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980" yWindow="-45" windowWidth="14070" windowHeight="12255" tabRatio="900"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面积表" sheetId="78"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地下车库" sheetId="82" r:id="rId23"/>
    <sheet name="收益法" sheetId="15" r:id="rId24"/>
    <sheet name="收益法地下厂房" sheetId="81" r:id="rId25"/>
    <sheet name="收益法 (元)" sheetId="67" state="hidden" r:id="rId26"/>
    <sheet name="收益法-酒店模型" sheetId="77" state="hidden" r:id="rId27"/>
    <sheet name="收益法（汇总）" sheetId="70"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80" r:id="rId48"/>
    <sheet name="拆分结果表" sheetId="83" r:id="rId49"/>
  </sheets>
  <externalReferences>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24">收益法地下厂房!$A$1:$F$43,收益法地下厂房!$H$3:$M$29,收益法地下厂房!$A$46:$F$71,收益法地下厂房!$I$46:$N$65</definedName>
    <definedName name="_xlnm.Print_Area" localSheetId="22">收益法地下车库!$A$1:$F$43,收益法地下车库!$H$3:$M$29,收益法地下车库!$A$46:$F$71,收益法地下车库!$I$46:$N$65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19" i="1" l="1"/>
  <c r="O18" i="1"/>
  <c r="N19" i="1"/>
  <c r="N20" i="1" s="1"/>
  <c r="N18" i="1"/>
  <c r="O20" i="1" l="1"/>
  <c r="K24" i="78"/>
  <c r="K22" i="78"/>
  <c r="K23" i="78"/>
  <c r="K21" i="78"/>
  <c r="K20" i="78"/>
  <c r="K19" i="78"/>
  <c r="K25" i="78" l="1"/>
  <c r="Y31" i="78"/>
  <c r="K13" i="3"/>
  <c r="K10" i="78"/>
  <c r="Y10" i="78"/>
  <c r="AM7" i="1" l="1"/>
  <c r="G21" i="6"/>
  <c r="L7" i="1"/>
  <c r="L8" i="1"/>
  <c r="E109" i="40" l="1"/>
  <c r="F109" i="40"/>
  <c r="D109" i="40"/>
  <c r="O66" i="40"/>
  <c r="N66" i="40"/>
  <c r="E34" i="40"/>
  <c r="E6" i="40"/>
  <c r="E5" i="40"/>
  <c r="E7" i="40"/>
  <c r="E41" i="40"/>
  <c r="AD6" i="80"/>
  <c r="Y29" i="78"/>
  <c r="AD2" i="80" l="1"/>
  <c r="N7" i="1"/>
  <c r="K18" i="78"/>
  <c r="A3" i="3" l="1"/>
  <c r="K13" i="78"/>
  <c r="AC3" i="78"/>
  <c r="K12" i="78"/>
  <c r="AB3" i="78"/>
  <c r="K11" i="78"/>
  <c r="AA3" i="78"/>
  <c r="Z3" i="78"/>
  <c r="K9" i="78"/>
  <c r="Q68" i="78"/>
  <c r="AY3" i="3" s="1"/>
  <c r="T68" i="78"/>
  <c r="R68" i="78"/>
  <c r="G71" i="78"/>
  <c r="E71" i="78"/>
  <c r="D71" i="78"/>
  <c r="K8" i="78" s="1"/>
  <c r="AE3" i="78" l="1"/>
  <c r="AD3" i="78"/>
  <c r="I13" i="3"/>
  <c r="M13" i="3"/>
  <c r="AN13" i="3"/>
  <c r="AL13" i="3"/>
  <c r="D3" i="4"/>
  <c r="E66" i="40" l="1"/>
  <c r="F66" i="40" s="1"/>
  <c r="G66" i="40" s="1"/>
  <c r="H66" i="40" s="1"/>
  <c r="I66" i="40" s="1"/>
  <c r="J66" i="40" s="1"/>
  <c r="K66" i="40" s="1"/>
  <c r="L66" i="40" s="1"/>
  <c r="M66" i="40" s="1"/>
  <c r="D66" i="40"/>
  <c r="I34" i="40"/>
  <c r="G34" i="40"/>
  <c r="C34" i="40"/>
  <c r="I6" i="40"/>
  <c r="G6" i="40"/>
  <c r="I41" i="40"/>
  <c r="G41" i="40"/>
  <c r="Q72" i="82"/>
  <c r="Q59" i="82"/>
  <c r="K59" i="82"/>
  <c r="P74" i="82" s="1"/>
  <c r="F59" i="82"/>
  <c r="Q58" i="82"/>
  <c r="Q51" i="82"/>
  <c r="J50" i="82"/>
  <c r="M47" i="82"/>
  <c r="D46" i="82"/>
  <c r="F34" i="82"/>
  <c r="F62" i="82" s="1"/>
  <c r="F33" i="82"/>
  <c r="F61" i="82" s="1"/>
  <c r="F32" i="82"/>
  <c r="F60" i="82" s="1"/>
  <c r="F31" i="82"/>
  <c r="F28" i="82"/>
  <c r="F23" i="82"/>
  <c r="D23" i="82" s="1"/>
  <c r="F21" i="82"/>
  <c r="M20" i="82"/>
  <c r="F20" i="82"/>
  <c r="M19" i="82"/>
  <c r="M18" i="82"/>
  <c r="F18" i="82"/>
  <c r="M17" i="82"/>
  <c r="F17" i="82"/>
  <c r="F15" i="82"/>
  <c r="Q72" i="81"/>
  <c r="Q59" i="81"/>
  <c r="K59" i="81"/>
  <c r="P74" i="81" s="1"/>
  <c r="F59" i="81"/>
  <c r="Q58" i="81"/>
  <c r="Q51" i="81"/>
  <c r="J50" i="81"/>
  <c r="M47" i="81"/>
  <c r="D46" i="81"/>
  <c r="F34" i="81"/>
  <c r="F62" i="81" s="1"/>
  <c r="F33" i="81"/>
  <c r="F61" i="81" s="1"/>
  <c r="F32" i="81"/>
  <c r="F60" i="81" s="1"/>
  <c r="F31" i="81"/>
  <c r="F28" i="81"/>
  <c r="F23" i="81"/>
  <c r="D23" i="81" s="1"/>
  <c r="F21" i="81"/>
  <c r="M20" i="81"/>
  <c r="F20" i="81"/>
  <c r="M19" i="81"/>
  <c r="M18" i="81"/>
  <c r="F18" i="81"/>
  <c r="M17" i="81"/>
  <c r="F17" i="81"/>
  <c r="F15" i="81"/>
  <c r="Y6" i="1"/>
  <c r="Y7" i="1" s="1"/>
  <c r="N14" i="1"/>
  <c r="N8" i="1"/>
  <c r="L14" i="1"/>
  <c r="I7" i="1"/>
  <c r="I7" i="40"/>
  <c r="G7" i="40"/>
  <c r="I5" i="40"/>
  <c r="G5" i="40"/>
  <c r="AD4" i="80"/>
  <c r="AD5" i="80"/>
  <c r="AD3" i="80"/>
  <c r="Y8" i="1" l="1"/>
  <c r="D24" i="82"/>
  <c r="P61" i="82"/>
  <c r="D22" i="82"/>
  <c r="D24" i="81"/>
  <c r="P61" i="81"/>
  <c r="D22" i="81"/>
  <c r="K14" i="78" l="1"/>
  <c r="G14" i="73"/>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G12" i="1" s="1"/>
  <c r="D13" i="1"/>
  <c r="D7" i="1"/>
  <c r="D8" i="1"/>
  <c r="A7" i="1"/>
  <c r="A8" i="1"/>
  <c r="B8" i="1"/>
  <c r="E8" i="1" s="1"/>
  <c r="A9" i="1"/>
  <c r="A10" i="1"/>
  <c r="A11" i="1"/>
  <c r="A12" i="1"/>
  <c r="A13" i="1"/>
  <c r="A6" i="1"/>
  <c r="B11" i="1"/>
  <c r="E11" i="1"/>
  <c r="B7" i="1"/>
  <c r="E7" i="1" s="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C10" i="40" s="1"/>
  <c r="H15" i="4"/>
  <c r="G15" i="4"/>
  <c r="F8" i="1" s="1"/>
  <c r="E15" i="4"/>
  <c r="D15" i="4"/>
  <c r="F7" i="1"/>
  <c r="L21" i="4"/>
  <c r="F19" i="4"/>
  <c r="F2" i="52"/>
  <c r="B50" i="72"/>
  <c r="D2" i="52"/>
  <c r="B46" i="72"/>
  <c r="B8" i="53"/>
  <c r="B23" i="72"/>
  <c r="L4" i="9"/>
  <c r="A24" i="51" s="1"/>
  <c r="B18" i="72" s="1"/>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5" i="3" s="1"/>
  <c r="F28" i="6" s="1"/>
  <c r="F30" i="6" s="1"/>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F23" i="15"/>
  <c r="D24" i="15" s="1"/>
  <c r="E22" i="6"/>
  <c r="E23" i="6"/>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F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G20" i="6" s="1"/>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U9"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s="1"/>
  <c r="H13" i="39"/>
  <c r="H14" i="40"/>
  <c r="AB14" i="40"/>
  <c r="J14" i="40"/>
  <c r="W14" i="40"/>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U12" i="37"/>
  <c r="H5" i="3"/>
  <c r="AA25" i="21"/>
  <c r="C12" i="43"/>
  <c r="H19" i="40"/>
  <c r="U19" i="40" s="1"/>
  <c r="F19" i="40"/>
  <c r="S19" i="40" s="1"/>
  <c r="S14" i="40"/>
  <c r="AC1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B5" i="3"/>
  <c r="E8" i="6" s="1"/>
  <c r="BR5" i="3"/>
  <c r="G28" i="6" s="1"/>
  <c r="AZ380" i="3"/>
  <c r="AZ384" i="3"/>
  <c r="AZ388" i="3"/>
  <c r="AZ392" i="3"/>
  <c r="AZ396" i="3"/>
  <c r="AZ394" i="3"/>
  <c r="AZ499" i="3"/>
  <c r="AZ509" i="3"/>
  <c r="G509" i="3"/>
  <c r="BL493" i="3"/>
  <c r="AZ491" i="3"/>
  <c r="AZ376" i="3"/>
  <c r="AZ390" i="3"/>
  <c r="AZ382" i="3"/>
  <c r="AZ493" i="3"/>
  <c r="F36" i="43"/>
  <c r="F81" i="43"/>
  <c r="H83" i="43" s="1"/>
  <c r="H113" i="43"/>
  <c r="F48" i="43"/>
  <c r="H52" i="43" s="1"/>
  <c r="F70" i="43"/>
  <c r="H73" i="43" s="1"/>
  <c r="M11" i="43"/>
  <c r="D17" i="43"/>
  <c r="F39" i="43"/>
  <c r="I17" i="43"/>
  <c r="F35" i="43"/>
  <c r="J17" i="43"/>
  <c r="F6" i="1"/>
  <c r="U17" i="39"/>
  <c r="S14" i="35"/>
  <c r="U43" i="21"/>
  <c r="U35" i="21"/>
  <c r="AC35" i="21"/>
  <c r="U10" i="2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E98" i="40"/>
  <c r="F98" i="40"/>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W38" i="40"/>
  <c r="AA32" i="40"/>
  <c r="S30" i="40"/>
  <c r="AA19" i="40"/>
  <c r="S28"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c r="BL17" i="3"/>
  <c r="AZ17" i="3"/>
  <c r="J56" i="9"/>
  <c r="J57" i="9" s="1"/>
  <c r="J59" i="9" s="1"/>
  <c r="J61" i="9" s="1"/>
  <c r="U29" i="34"/>
  <c r="E5" i="6"/>
  <c r="D9" i="11" s="1"/>
  <c r="C9" i="11" s="1"/>
  <c r="E32" i="6"/>
  <c r="L19" i="6"/>
  <c r="K1" i="12"/>
  <c r="AQ12"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K11" i="1"/>
  <c r="M11" i="1" s="1"/>
  <c r="AP6" i="1"/>
  <c r="B9" i="1"/>
  <c r="E9" i="1"/>
  <c r="G1" i="15"/>
  <c r="G1" i="69"/>
  <c r="U32" i="40"/>
  <c r="AB31" i="40"/>
  <c r="AB28" i="40"/>
  <c r="W28" i="40"/>
  <c r="W19" i="40"/>
  <c r="W27"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H67" i="43"/>
  <c r="H59" i="43"/>
  <c r="H60" i="43"/>
  <c r="H61" i="43"/>
  <c r="M4" i="43"/>
  <c r="M5" i="43"/>
  <c r="N12" i="43"/>
  <c r="N11" i="43"/>
  <c r="M10" i="43"/>
  <c r="C6" i="43" s="1"/>
  <c r="M2" i="43"/>
  <c r="M7" i="43"/>
  <c r="H70" i="43"/>
  <c r="H54" i="43"/>
  <c r="N9" i="43"/>
  <c r="M8" i="43"/>
  <c r="N10" i="43"/>
  <c r="H48" i="43"/>
  <c r="H74" i="43"/>
  <c r="M6" i="43"/>
  <c r="N7" i="43"/>
  <c r="N4" i="43"/>
  <c r="N2" i="43"/>
  <c r="H49" i="43"/>
  <c r="N17" i="43"/>
  <c r="L17" i="43"/>
  <c r="O17" i="43"/>
  <c r="M17" i="43"/>
  <c r="E17" i="43"/>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M23" i="15"/>
  <c r="D2" i="33"/>
  <c r="B11" i="76"/>
  <c r="L48" i="15"/>
  <c r="F5" i="73"/>
  <c r="F20" i="31"/>
  <c r="F6" i="15"/>
  <c r="E11" i="76"/>
  <c r="E13" i="76"/>
  <c r="M27" i="15"/>
  <c r="M6" i="15"/>
  <c r="F36" i="15"/>
  <c r="F38" i="15"/>
  <c r="D2" i="21"/>
  <c r="D4" i="73"/>
  <c r="E12" i="76"/>
  <c r="D7" i="73"/>
  <c r="B12" i="76"/>
  <c r="B8" i="76"/>
  <c r="F16" i="15"/>
  <c r="D5" i="73"/>
  <c r="AO9" i="1"/>
  <c r="E9" i="76"/>
  <c r="D2" i="35"/>
  <c r="D6" i="73"/>
  <c r="D2" i="37"/>
  <c r="B13" i="76"/>
  <c r="F7" i="73"/>
  <c r="L47" i="15"/>
  <c r="M24" i="15"/>
  <c r="E7" i="76"/>
  <c r="F8" i="15"/>
  <c r="E2" i="69"/>
  <c r="F4" i="73"/>
  <c r="F37" i="15"/>
  <c r="D2" i="34"/>
  <c r="F9" i="15"/>
  <c r="B9" i="76"/>
  <c r="AO10" i="1"/>
  <c r="D2" i="36"/>
  <c r="E8" i="76"/>
  <c r="F3" i="73"/>
  <c r="M9" i="15"/>
  <c r="F26" i="15"/>
  <c r="F13" i="15"/>
  <c r="AO11" i="1"/>
  <c r="AO12" i="1"/>
  <c r="M22" i="15"/>
  <c r="F40" i="15"/>
  <c r="AO13" i="1"/>
  <c r="M26" i="15"/>
  <c r="B10" i="76"/>
  <c r="F6" i="73"/>
  <c r="M28" i="15"/>
  <c r="M8" i="15"/>
  <c r="F42" i="15"/>
  <c r="J15" i="15"/>
  <c r="E10" i="76"/>
  <c r="D3" i="73"/>
  <c r="B7" i="76"/>
  <c r="C76" i="15"/>
  <c r="E2" i="68"/>
  <c r="AR10" i="1" l="1"/>
  <c r="G1" i="81"/>
  <c r="G1" i="82"/>
  <c r="G1" i="67"/>
  <c r="G1" i="68"/>
  <c r="F3" i="35"/>
  <c r="E21" i="6"/>
  <c r="AR2" i="78"/>
  <c r="W34" i="40"/>
  <c r="BA13" i="3"/>
  <c r="BA5" i="3" s="1"/>
  <c r="E20" i="6"/>
  <c r="K7" i="1" s="1"/>
  <c r="M7" i="1" s="1"/>
  <c r="AQ2" i="78"/>
  <c r="E19" i="6"/>
  <c r="K6" i="1" s="1"/>
  <c r="AP2" i="78"/>
  <c r="AN2" i="78" s="1"/>
  <c r="U34" i="40"/>
  <c r="T13" i="1"/>
  <c r="T10" i="1"/>
  <c r="T12" i="1"/>
  <c r="AQ9" i="1"/>
  <c r="E15" i="6"/>
  <c r="E60" i="40" s="1"/>
  <c r="AR11" i="1"/>
  <c r="T11" i="1"/>
  <c r="L27" i="6"/>
  <c r="G13" i="3"/>
  <c r="G5" i="3" s="1"/>
  <c r="B3" i="3" s="1"/>
  <c r="E283" i="3" s="1"/>
  <c r="BL13" i="3"/>
  <c r="BL5" i="3" s="1"/>
  <c r="D19" i="12"/>
  <c r="C19" i="12" s="1"/>
  <c r="AZ13" i="3"/>
  <c r="AZ5" i="3" s="1"/>
  <c r="E14" i="6"/>
  <c r="E63" i="39" s="1"/>
  <c r="E11" i="6"/>
  <c r="E60" i="39" s="1"/>
  <c r="E10" i="6"/>
  <c r="E13" i="6"/>
  <c r="G8" i="1"/>
  <c r="C28" i="81"/>
  <c r="C28" i="82"/>
  <c r="J51" i="15"/>
  <c r="G7" i="1"/>
  <c r="J51" i="81"/>
  <c r="J51" i="82"/>
  <c r="C21" i="68"/>
  <c r="S34" i="40"/>
  <c r="F36" i="40"/>
  <c r="AA36" i="40" s="1"/>
  <c r="H113" i="40"/>
  <c r="I113" i="40" s="1"/>
  <c r="J113" i="40" s="1"/>
  <c r="K113" i="40" s="1"/>
  <c r="L113" i="40" s="1"/>
  <c r="M113" i="40" s="1"/>
  <c r="H36" i="40"/>
  <c r="AB36" i="40" s="1"/>
  <c r="J36" i="40"/>
  <c r="W36" i="40" s="1"/>
  <c r="S37" i="40"/>
  <c r="AC36" i="40"/>
  <c r="U36" i="40"/>
  <c r="U35" i="40"/>
  <c r="W35" i="40"/>
  <c r="AC32" i="40"/>
  <c r="W32" i="40"/>
  <c r="AA27" i="40"/>
  <c r="AB27" i="40"/>
  <c r="AB33" i="40"/>
  <c r="U25" i="40"/>
  <c r="W25" i="40"/>
  <c r="S25" i="40"/>
  <c r="F92" i="40"/>
  <c r="G92" i="40" s="1"/>
  <c r="J23" i="40"/>
  <c r="H23" i="40"/>
  <c r="AB23" i="40" s="1"/>
  <c r="F23" i="40"/>
  <c r="U23" i="40"/>
  <c r="F90" i="40"/>
  <c r="G90" i="40" s="1"/>
  <c r="J21" i="40"/>
  <c r="W21" i="40" s="1"/>
  <c r="H21" i="40"/>
  <c r="AB21" i="40" s="1"/>
  <c r="F21" i="40"/>
  <c r="U21" i="40"/>
  <c r="AC21" i="40"/>
  <c r="F86" i="40"/>
  <c r="G86" i="40" s="1"/>
  <c r="H17" i="40"/>
  <c r="J17" i="40"/>
  <c r="W17" i="40" s="1"/>
  <c r="F17" i="40"/>
  <c r="AA17" i="40" s="1"/>
  <c r="AC17" i="40"/>
  <c r="S17" i="40"/>
  <c r="F15" i="40"/>
  <c r="S15" i="40" s="1"/>
  <c r="G84" i="40"/>
  <c r="J15" i="40"/>
  <c r="H15" i="40"/>
  <c r="AA15" i="40"/>
  <c r="P61" i="15"/>
  <c r="C94" i="9"/>
  <c r="C92" i="9"/>
  <c r="C5" i="11"/>
  <c r="F28" i="15"/>
  <c r="C28" i="15" s="1"/>
  <c r="F31" i="12"/>
  <c r="F54" i="9"/>
  <c r="M18" i="67"/>
  <c r="F30" i="68"/>
  <c r="C30" i="68" s="1"/>
  <c r="C31" i="12"/>
  <c r="C24" i="12"/>
  <c r="C77" i="9"/>
  <c r="C74" i="9" s="1"/>
  <c r="C13" i="12"/>
  <c r="C36" i="11"/>
  <c r="D68" i="9"/>
  <c r="M18" i="15"/>
  <c r="F32" i="15"/>
  <c r="F60" i="15" s="1"/>
  <c r="F30" i="69"/>
  <c r="F32" i="67"/>
  <c r="F60" i="67" s="1"/>
  <c r="F52" i="9"/>
  <c r="F28" i="67"/>
  <c r="C28" i="67" s="1"/>
  <c r="F30" i="11"/>
  <c r="F53" i="9"/>
  <c r="C21" i="69"/>
  <c r="D22" i="67"/>
  <c r="F76" i="40"/>
  <c r="F11" i="40" s="1"/>
  <c r="AA9" i="40"/>
  <c r="S36" i="40"/>
  <c r="AC9" i="40"/>
  <c r="G30" i="6"/>
  <c r="E28" i="6"/>
  <c r="E102" i="3"/>
  <c r="E220" i="3"/>
  <c r="E571" i="3"/>
  <c r="E524" i="3"/>
  <c r="E176" i="3"/>
  <c r="E147" i="3"/>
  <c r="E339" i="3"/>
  <c r="E15" i="3"/>
  <c r="E54" i="3"/>
  <c r="U6" i="3"/>
  <c r="E196" i="3"/>
  <c r="E406" i="3"/>
  <c r="E468" i="3"/>
  <c r="E171" i="3"/>
  <c r="E74" i="3"/>
  <c r="E78" i="3"/>
  <c r="E209" i="3"/>
  <c r="E354" i="3"/>
  <c r="E48" i="3"/>
  <c r="E284" i="3"/>
  <c r="E19" i="3"/>
  <c r="K8" i="1"/>
  <c r="E7" i="12"/>
  <c r="G27" i="6"/>
  <c r="D9" i="68"/>
  <c r="C9" i="68" s="1"/>
  <c r="D9" i="69"/>
  <c r="C9" i="69" s="1"/>
  <c r="C36" i="69"/>
  <c r="T9" i="1"/>
  <c r="M6" i="1"/>
  <c r="O6" i="1" s="1"/>
  <c r="P6" i="1" s="1"/>
  <c r="E217" i="3"/>
  <c r="E124" i="3"/>
  <c r="E244" i="3"/>
  <c r="E252" i="3"/>
  <c r="E576" i="3"/>
  <c r="E448" i="3"/>
  <c r="E512" i="3"/>
  <c r="E451" i="3"/>
  <c r="E556" i="3"/>
  <c r="E13" i="3"/>
  <c r="E452" i="3"/>
  <c r="E420" i="3"/>
  <c r="E104" i="3"/>
  <c r="E115" i="3"/>
  <c r="E139" i="3"/>
  <c r="E281" i="3"/>
  <c r="E332" i="3"/>
  <c r="E356" i="3"/>
  <c r="E42" i="3"/>
  <c r="F27" i="6"/>
  <c r="F35" i="6" s="1"/>
  <c r="E56" i="39"/>
  <c r="E51" i="40"/>
  <c r="E12" i="6"/>
  <c r="AT6" i="3"/>
  <c r="E261" i="3"/>
  <c r="E528" i="3"/>
  <c r="E183" i="3"/>
  <c r="E361" i="3"/>
  <c r="E503" i="3"/>
  <c r="E388" i="3"/>
  <c r="E555" i="3"/>
  <c r="E410" i="3"/>
  <c r="E337" i="3"/>
  <c r="E143" i="3"/>
  <c r="E270" i="3"/>
  <c r="E533" i="3"/>
  <c r="AR6" i="3"/>
  <c r="E561" i="3"/>
  <c r="E538" i="3"/>
  <c r="E439" i="3"/>
  <c r="E380" i="3"/>
  <c r="E231" i="3"/>
  <c r="E216" i="3"/>
  <c r="E185" i="3"/>
  <c r="E135" i="3"/>
  <c r="E530" i="3"/>
  <c r="E305" i="3"/>
  <c r="E329" i="3"/>
  <c r="E510" i="3"/>
  <c r="E205" i="3"/>
  <c r="E385" i="3"/>
  <c r="AI6" i="3"/>
  <c r="E423" i="3"/>
  <c r="E263" i="3"/>
  <c r="E191" i="3"/>
  <c r="E290" i="3"/>
  <c r="E117" i="3"/>
  <c r="E45" i="3"/>
  <c r="E224" i="3"/>
  <c r="E193" i="3"/>
  <c r="E313" i="3"/>
  <c r="E519" i="3"/>
  <c r="E532" i="3"/>
  <c r="E573" i="3"/>
  <c r="E529" i="3"/>
  <c r="E458" i="3"/>
  <c r="E553" i="3"/>
  <c r="X6" i="3"/>
  <c r="E314" i="3"/>
  <c r="E16" i="3"/>
  <c r="E434" i="3"/>
  <c r="E296" i="3"/>
  <c r="E136" i="3"/>
  <c r="E228" i="3"/>
  <c r="E157" i="3"/>
  <c r="E77" i="3"/>
  <c r="E253" i="3"/>
  <c r="E199" i="3"/>
  <c r="E286" i="3"/>
  <c r="E575" i="3"/>
  <c r="E499" i="3"/>
  <c r="R6" i="3"/>
  <c r="E502" i="3"/>
  <c r="E442"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O8" i="1"/>
  <c r="P8" i="1" s="1"/>
  <c r="O11" i="1"/>
  <c r="P11" i="1" s="1"/>
  <c r="O12" i="1"/>
  <c r="P12" i="1" s="1"/>
  <c r="AY6" i="3"/>
  <c r="E3" i="6"/>
  <c r="O9" i="1"/>
  <c r="D12" i="52"/>
  <c r="D127" i="9"/>
  <c r="D13" i="52" s="1"/>
  <c r="Y5" i="71"/>
  <c r="Z5" i="71" s="1"/>
  <c r="X5" i="71"/>
  <c r="AB5" i="71"/>
  <c r="AA5" i="71"/>
  <c r="C69" i="39"/>
  <c r="D67" i="39"/>
  <c r="D69" i="39" s="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B10" i="70"/>
  <c r="Q71" i="15"/>
  <c r="J53" i="15"/>
  <c r="L56" i="15" s="1"/>
  <c r="J57" i="15"/>
  <c r="J55" i="15" s="1"/>
  <c r="J58" i="15" s="1"/>
  <c r="Q50" i="15" s="1"/>
  <c r="I54" i="15"/>
  <c r="K1" i="73"/>
  <c r="B20" i="31"/>
  <c r="B21" i="31" s="1"/>
  <c r="I1" i="73"/>
  <c r="B39" i="1" s="1"/>
  <c r="B12" i="70"/>
  <c r="F51" i="15"/>
  <c r="B11" i="70"/>
  <c r="L59" i="15"/>
  <c r="N59" i="15"/>
  <c r="L58" i="15"/>
  <c r="M59" i="15"/>
  <c r="F66" i="15"/>
  <c r="F64" i="15"/>
  <c r="C27" i="15"/>
  <c r="F65" i="15"/>
  <c r="B9" i="70"/>
  <c r="B13" i="70"/>
  <c r="F68" i="15"/>
  <c r="F38" i="67"/>
  <c r="F42" i="67"/>
  <c r="F40" i="81"/>
  <c r="F40" i="67"/>
  <c r="M26" i="82"/>
  <c r="F8" i="67"/>
  <c r="L47" i="67"/>
  <c r="M22" i="81"/>
  <c r="M24" i="67"/>
  <c r="F8" i="81"/>
  <c r="L48" i="82"/>
  <c r="L47" i="81"/>
  <c r="M26" i="67"/>
  <c r="F7" i="15"/>
  <c r="F13" i="67"/>
  <c r="M8" i="81"/>
  <c r="F37" i="82"/>
  <c r="F43" i="15"/>
  <c r="M23" i="67"/>
  <c r="F42" i="81"/>
  <c r="C76" i="82"/>
  <c r="M6" i="82"/>
  <c r="F9" i="81"/>
  <c r="F16" i="81"/>
  <c r="C76" i="67"/>
  <c r="F6" i="82"/>
  <c r="F6" i="81"/>
  <c r="M28" i="81"/>
  <c r="J15" i="67"/>
  <c r="F9" i="67"/>
  <c r="F38" i="82"/>
  <c r="F7" i="82"/>
  <c r="F43" i="81"/>
  <c r="F26" i="81"/>
  <c r="M29" i="67"/>
  <c r="M28" i="82"/>
  <c r="M24" i="81"/>
  <c r="F7" i="67"/>
  <c r="F16" i="67"/>
  <c r="M22" i="82"/>
  <c r="M22" i="67"/>
  <c r="M27" i="82"/>
  <c r="L47" i="82"/>
  <c r="M6" i="81"/>
  <c r="L48" i="67"/>
  <c r="F36" i="67"/>
  <c r="F42" i="82"/>
  <c r="J15" i="81"/>
  <c r="F38" i="81"/>
  <c r="M8" i="67"/>
  <c r="M9" i="82"/>
  <c r="F13" i="82"/>
  <c r="J15" i="82"/>
  <c r="M29" i="82"/>
  <c r="F37" i="81"/>
  <c r="F37" i="67"/>
  <c r="F16" i="82"/>
  <c r="M27" i="81"/>
  <c r="M28" i="67"/>
  <c r="M29" i="81"/>
  <c r="F9" i="82"/>
  <c r="C16" i="15"/>
  <c r="F26" i="82"/>
  <c r="G1" i="73"/>
  <c r="M26" i="81"/>
  <c r="M6" i="67"/>
  <c r="F7" i="81"/>
  <c r="F26" i="67"/>
  <c r="M8" i="82"/>
  <c r="F8" i="82"/>
  <c r="M9" i="81"/>
  <c r="C76" i="81"/>
  <c r="L48" i="81"/>
  <c r="M23" i="82"/>
  <c r="F36" i="81"/>
  <c r="M29" i="15"/>
  <c r="M23" i="81"/>
  <c r="M9" i="67"/>
  <c r="F43" i="82"/>
  <c r="F6" i="67"/>
  <c r="F36" i="82"/>
  <c r="F40" i="82"/>
  <c r="F13" i="81"/>
  <c r="M27" i="67"/>
  <c r="F43" i="67"/>
  <c r="M24" i="82"/>
  <c r="F51" i="82" l="1"/>
  <c r="L58" i="82"/>
  <c r="Q73" i="82" s="1"/>
  <c r="C27" i="82"/>
  <c r="F68" i="82"/>
  <c r="F66" i="82"/>
  <c r="F65" i="82"/>
  <c r="F64" i="82"/>
  <c r="Q71" i="82"/>
  <c r="F51" i="67"/>
  <c r="F68" i="67"/>
  <c r="F64" i="67"/>
  <c r="F50" i="67"/>
  <c r="M7" i="67"/>
  <c r="J6" i="67" s="1"/>
  <c r="J18" i="67" s="1"/>
  <c r="F65" i="67"/>
  <c r="Q71" i="67"/>
  <c r="F66" i="67"/>
  <c r="F71" i="67"/>
  <c r="C6" i="67"/>
  <c r="C32" i="67" s="1"/>
  <c r="F70" i="67"/>
  <c r="N59" i="67"/>
  <c r="L58" i="67"/>
  <c r="Q73" i="67" s="1"/>
  <c r="L59" i="67"/>
  <c r="Q74" i="67" s="1"/>
  <c r="M59" i="67"/>
  <c r="C27" i="67"/>
  <c r="J53" i="67"/>
  <c r="F1" i="67" s="1"/>
  <c r="L56" i="67"/>
  <c r="J57" i="67"/>
  <c r="J55" i="67" s="1"/>
  <c r="J58" i="67" s="1"/>
  <c r="Q50" i="67" s="1"/>
  <c r="I54" i="67"/>
  <c r="Q71" i="81"/>
  <c r="F66" i="81"/>
  <c r="F65" i="81"/>
  <c r="C27" i="81"/>
  <c r="L58" i="81"/>
  <c r="Q60" i="81" s="1"/>
  <c r="F68" i="81"/>
  <c r="F64" i="81"/>
  <c r="F51" i="81"/>
  <c r="L57" i="81"/>
  <c r="L57" i="82"/>
  <c r="F71" i="15"/>
  <c r="F50" i="15"/>
  <c r="C49" i="15" s="1"/>
  <c r="M7" i="15"/>
  <c r="J6" i="15" s="1"/>
  <c r="J18" i="15" s="1"/>
  <c r="C6" i="15"/>
  <c r="C32" i="15" s="1"/>
  <c r="F50" i="81"/>
  <c r="M7" i="81"/>
  <c r="J6" i="81" s="1"/>
  <c r="J18" i="81" s="1"/>
  <c r="C6" i="81"/>
  <c r="F71" i="81"/>
  <c r="E35" i="6"/>
  <c r="G31" i="6"/>
  <c r="G35" i="6" s="1"/>
  <c r="U19" i="1"/>
  <c r="G16" i="1"/>
  <c r="F10" i="39" s="1"/>
  <c r="E195" i="3"/>
  <c r="E13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I3" i="6"/>
  <c r="E374" i="3"/>
  <c r="E255" i="3"/>
  <c r="E459" i="3"/>
  <c r="E449" i="3"/>
  <c r="E416" i="3"/>
  <c r="E430" i="3"/>
  <c r="E398" i="3"/>
  <c r="E541" i="3"/>
  <c r="E487" i="3"/>
  <c r="E466" i="3"/>
  <c r="E464" i="3"/>
  <c r="E421" i="3"/>
  <c r="E552" i="3"/>
  <c r="E542" i="3"/>
  <c r="AD6" i="3"/>
  <c r="E312" i="3"/>
  <c r="E141" i="3"/>
  <c r="E167" i="3"/>
  <c r="E212" i="3"/>
  <c r="E149" i="3"/>
  <c r="E181" i="3"/>
  <c r="E236" i="3"/>
  <c r="E262" i="3"/>
  <c r="E306" i="3"/>
  <c r="AK6" i="3"/>
  <c r="E511" i="3"/>
  <c r="E246" i="3"/>
  <c r="N6" i="3"/>
  <c r="E125" i="3"/>
  <c r="E437" i="3"/>
  <c r="E560" i="3"/>
  <c r="Q6" i="3"/>
  <c r="K6" i="3"/>
  <c r="E330" i="3"/>
  <c r="E133" i="3"/>
  <c r="E177" i="3"/>
  <c r="E277" i="3"/>
  <c r="E120" i="3"/>
  <c r="E161" i="3"/>
  <c r="E188" i="3"/>
  <c r="E245" i="3"/>
  <c r="E382" i="3"/>
  <c r="E578" i="3"/>
  <c r="E518" i="3"/>
  <c r="E128" i="3"/>
  <c r="E352" i="3"/>
  <c r="E545" i="3"/>
  <c r="E508" i="3"/>
  <c r="E343" i="3"/>
  <c r="E175" i="3"/>
  <c r="E61" i="3"/>
  <c r="E169" i="3"/>
  <c r="E298" i="3"/>
  <c r="E321" i="3"/>
  <c r="E338" i="3"/>
  <c r="E418" i="3"/>
  <c r="E506" i="3"/>
  <c r="E523" i="3"/>
  <c r="S6" i="3"/>
  <c r="E390" i="3"/>
  <c r="E97" i="3"/>
  <c r="E285" i="3"/>
  <c r="E359" i="3"/>
  <c r="E574" i="3"/>
  <c r="O6" i="3"/>
  <c r="E302" i="3"/>
  <c r="E17" i="3"/>
  <c r="E213" i="3"/>
  <c r="E565" i="3"/>
  <c r="E304" i="3"/>
  <c r="E237" i="3"/>
  <c r="E94" i="3"/>
  <c r="AL6" i="3"/>
  <c r="E391" i="3"/>
  <c r="E243" i="3"/>
  <c r="E225" i="3"/>
  <c r="E198" i="3"/>
  <c r="E41" i="3"/>
  <c r="E26" i="3"/>
  <c r="E470" i="3"/>
  <c r="E494" i="3"/>
  <c r="E497" i="3"/>
  <c r="E360" i="3"/>
  <c r="E408" i="3"/>
  <c r="E469" i="3"/>
  <c r="AG6" i="3"/>
  <c r="E164" i="3"/>
  <c r="E269" i="3"/>
  <c r="E536" i="3"/>
  <c r="E347" i="3"/>
  <c r="Y6" i="3"/>
  <c r="E127" i="3"/>
  <c r="E66" i="3"/>
  <c r="E307" i="3"/>
  <c r="E163" i="3"/>
  <c r="E482" i="3"/>
  <c r="E315" i="3"/>
  <c r="E106" i="3"/>
  <c r="E587" i="3"/>
  <c r="E585" i="3"/>
  <c r="E322" i="3"/>
  <c r="W6" i="3"/>
  <c r="E357" i="3"/>
  <c r="E194" i="3"/>
  <c r="E52" i="3"/>
  <c r="E50" i="3"/>
  <c r="E265" i="3"/>
  <c r="E280" i="3"/>
  <c r="E318" i="3"/>
  <c r="E86" i="3"/>
  <c r="E526" i="3"/>
  <c r="E21" i="3"/>
  <c r="E309" i="3"/>
  <c r="E264" i="3"/>
  <c r="E81" i="3"/>
  <c r="E370" i="3"/>
  <c r="E49" i="3"/>
  <c r="E522" i="3"/>
  <c r="E235" i="3"/>
  <c r="E170" i="3"/>
  <c r="E75" i="3"/>
  <c r="E279" i="3"/>
  <c r="E433" i="3"/>
  <c r="E457" i="3"/>
  <c r="E207" i="3"/>
  <c r="E83" i="3"/>
  <c r="E22" i="3"/>
  <c r="E326" i="3"/>
  <c r="E308" i="3"/>
  <c r="E287" i="3"/>
  <c r="E158" i="3"/>
  <c r="E113" i="3"/>
  <c r="E20" i="3"/>
  <c r="E364" i="3"/>
  <c r="E289" i="3"/>
  <c r="E123" i="3"/>
  <c r="E36" i="3"/>
  <c r="AQ6" i="3"/>
  <c r="E325" i="3"/>
  <c r="E299" i="3"/>
  <c r="E234" i="3"/>
  <c r="E137" i="3"/>
  <c r="E79" i="3"/>
  <c r="E409" i="3"/>
  <c r="E14" i="3"/>
  <c r="E257" i="3"/>
  <c r="E168" i="3"/>
  <c r="E475" i="3"/>
  <c r="E537" i="3"/>
  <c r="E288" i="3"/>
  <c r="E474" i="3"/>
  <c r="E145" i="3"/>
  <c r="I6" i="3"/>
  <c r="AA6" i="3"/>
  <c r="E549" i="3"/>
  <c r="E122" i="3"/>
  <c r="E107" i="3"/>
  <c r="E515" i="3"/>
  <c r="E481" i="3"/>
  <c r="E424" i="3"/>
  <c r="E344" i="3"/>
  <c r="AE6" i="3"/>
  <c r="E429" i="3"/>
  <c r="E496" i="3"/>
  <c r="E55" i="3"/>
  <c r="E73" i="3"/>
  <c r="E203" i="3"/>
  <c r="E256" i="3"/>
  <c r="E274" i="3"/>
  <c r="E394" i="3"/>
  <c r="E580" i="3"/>
  <c r="E32" i="3"/>
  <c r="E428" i="3"/>
  <c r="E412" i="3"/>
  <c r="E96" i="3"/>
  <c r="E129" i="3"/>
  <c r="E142" i="3"/>
  <c r="E200" i="3"/>
  <c r="E267" i="3"/>
  <c r="E249" i="3"/>
  <c r="E300" i="3"/>
  <c r="E371" i="3"/>
  <c r="E310" i="3"/>
  <c r="E492" i="3"/>
  <c r="E23" i="3"/>
  <c r="E84" i="3"/>
  <c r="E67" i="3"/>
  <c r="E33" i="3"/>
  <c r="E144" i="3"/>
  <c r="E184" i="3"/>
  <c r="E233" i="3"/>
  <c r="E355" i="3"/>
  <c r="E381" i="3"/>
  <c r="E68" i="3"/>
  <c r="E63" i="3"/>
  <c r="E268" i="3"/>
  <c r="E513" i="3"/>
  <c r="E118" i="3"/>
  <c r="E232" i="3"/>
  <c r="E383" i="3"/>
  <c r="E455" i="3"/>
  <c r="E111" i="3"/>
  <c r="E411" i="3"/>
  <c r="E101" i="3"/>
  <c r="E365" i="3"/>
  <c r="E218" i="3"/>
  <c r="E62" i="3"/>
  <c r="E340" i="3"/>
  <c r="E112" i="3"/>
  <c r="E392" i="3"/>
  <c r="E219" i="3"/>
  <c r="E100" i="3"/>
  <c r="E93" i="3"/>
  <c r="E208" i="3"/>
  <c r="E471" i="3"/>
  <c r="E438" i="3"/>
  <c r="E148" i="3"/>
  <c r="E397" i="3"/>
  <c r="E271" i="3"/>
  <c r="E472" i="3"/>
  <c r="E465" i="3"/>
  <c r="E577" i="3"/>
  <c r="E454" i="3"/>
  <c r="E146" i="3"/>
  <c r="E214" i="3"/>
  <c r="E362" i="3"/>
  <c r="E488" i="3"/>
  <c r="E18" i="3"/>
  <c r="E190" i="3"/>
  <c r="E248" i="3"/>
  <c r="E266" i="3"/>
  <c r="E386" i="3"/>
  <c r="E584" i="3"/>
  <c r="E24" i="3"/>
  <c r="E87" i="3"/>
  <c r="E250" i="3"/>
  <c r="E341" i="3"/>
  <c r="E51" i="3"/>
  <c r="AJ6" i="3"/>
  <c r="E399" i="3"/>
  <c r="E568" i="3"/>
  <c r="E453" i="3"/>
  <c r="E156" i="3"/>
  <c r="E89" i="3"/>
  <c r="E204" i="3"/>
  <c r="E327" i="3"/>
  <c r="Z6" i="3"/>
  <c r="AO6"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69" i="3"/>
  <c r="E114" i="3"/>
  <c r="E278" i="3"/>
  <c r="E415" i="3"/>
  <c r="E563" i="3"/>
  <c r="E395" i="3"/>
  <c r="E172" i="3"/>
  <c r="E260" i="3"/>
  <c r="E445" i="3"/>
  <c r="E550" i="3"/>
  <c r="E535"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53" i="3"/>
  <c r="E319" i="3"/>
  <c r="E501" i="3"/>
  <c r="E153" i="3"/>
  <c r="E426" i="3"/>
  <c r="E328" i="3"/>
  <c r="E539" i="3"/>
  <c r="E567" i="3"/>
  <c r="E461" i="3"/>
  <c r="E227" i="3"/>
  <c r="E165" i="3"/>
  <c r="E353" i="3"/>
  <c r="E495" i="3"/>
  <c r="AN6" i="3"/>
  <c r="E586" i="3"/>
  <c r="E402" i="3"/>
  <c r="E350" i="3"/>
  <c r="E303" i="3"/>
  <c r="E301" i="3"/>
  <c r="E159" i="3"/>
  <c r="E99" i="3"/>
  <c r="E91" i="3"/>
  <c r="E221" i="3"/>
  <c r="E180" i="3"/>
  <c r="E140" i="3"/>
  <c r="E85" i="3"/>
  <c r="E223" i="3"/>
  <c r="E238" i="3"/>
  <c r="E197" i="3"/>
  <c r="E116" i="3"/>
  <c r="E173" i="3"/>
  <c r="E105" i="3"/>
  <c r="E369" i="3"/>
  <c r="E393" i="3"/>
  <c r="E525" i="3"/>
  <c r="E493" i="3"/>
  <c r="E534" i="3"/>
  <c r="E564" i="3"/>
  <c r="T6" i="3"/>
  <c r="E543" i="3"/>
  <c r="E405" i="3"/>
  <c r="E427" i="3"/>
  <c r="E456" i="3"/>
  <c r="E366" i="3"/>
  <c r="E282" i="3"/>
  <c r="E583" i="3"/>
  <c r="E336" i="3"/>
  <c r="E293" i="3"/>
  <c r="E64" i="39"/>
  <c r="E379" i="3"/>
  <c r="E206" i="3"/>
  <c r="E275" i="3"/>
  <c r="E373" i="3"/>
  <c r="E473" i="3"/>
  <c r="E80" i="3"/>
  <c r="E450" i="3"/>
  <c r="E154" i="3"/>
  <c r="E324" i="3"/>
  <c r="E72" i="3"/>
  <c r="E323" i="3"/>
  <c r="E34" i="3"/>
  <c r="E31" i="3"/>
  <c r="E368" i="3"/>
  <c r="E222" i="3"/>
  <c r="AF6" i="3"/>
  <c r="E35" i="3"/>
  <c r="E174" i="3"/>
  <c r="E351" i="3"/>
  <c r="E562" i="3"/>
  <c r="E82" i="3"/>
  <c r="E179" i="3"/>
  <c r="E251" i="3"/>
  <c r="E342" i="3"/>
  <c r="E38" i="3"/>
  <c r="E150" i="3"/>
  <c r="E527" i="3"/>
  <c r="E16" i="6"/>
  <c r="E59" i="40"/>
  <c r="E56" i="40"/>
  <c r="F71" i="82"/>
  <c r="C6" i="82"/>
  <c r="F50" i="82"/>
  <c r="M7" i="82"/>
  <c r="J6" i="82" s="1"/>
  <c r="J18" i="82" s="1"/>
  <c r="M8" i="1"/>
  <c r="E58" i="40"/>
  <c r="E62" i="39"/>
  <c r="F7" i="34"/>
  <c r="L56" i="81"/>
  <c r="F7" i="36"/>
  <c r="J7" i="37"/>
  <c r="H7" i="36"/>
  <c r="U7" i="36" s="1"/>
  <c r="J60" i="81"/>
  <c r="Q48" i="81" s="1"/>
  <c r="J53" i="81"/>
  <c r="J59" i="81"/>
  <c r="N59" i="81"/>
  <c r="J57" i="81"/>
  <c r="J55" i="81" s="1"/>
  <c r="J58" i="81" s="1"/>
  <c r="Q50" i="81" s="1"/>
  <c r="I54" i="81"/>
  <c r="L59" i="81"/>
  <c r="M59" i="81"/>
  <c r="L46" i="81"/>
  <c r="Q73" i="81"/>
  <c r="L60" i="81"/>
  <c r="L60" i="82"/>
  <c r="L59" i="82"/>
  <c r="M59" i="82"/>
  <c r="J60" i="82"/>
  <c r="Q48" i="82" s="1"/>
  <c r="I54" i="82"/>
  <c r="J59" i="82"/>
  <c r="N59" i="82"/>
  <c r="J57" i="82"/>
  <c r="J55" i="82" s="1"/>
  <c r="J58" i="82" s="1"/>
  <c r="Q50" i="82" s="1"/>
  <c r="J53" i="82"/>
  <c r="L46" i="82"/>
  <c r="L56" i="82"/>
  <c r="AA23" i="40"/>
  <c r="S23" i="40"/>
  <c r="AC23" i="40"/>
  <c r="W23" i="40"/>
  <c r="AA21" i="40"/>
  <c r="S21" i="40"/>
  <c r="U17" i="40"/>
  <c r="AB17" i="40"/>
  <c r="AB15" i="40"/>
  <c r="U15" i="40"/>
  <c r="W15" i="40"/>
  <c r="AC15" i="40"/>
  <c r="F11" i="82"/>
  <c r="M11" i="82"/>
  <c r="F11" i="81"/>
  <c r="M11" i="81"/>
  <c r="F48" i="68"/>
  <c r="C48" i="68"/>
  <c r="C48" i="11"/>
  <c r="C30" i="11"/>
  <c r="F48" i="69"/>
  <c r="C48" i="69"/>
  <c r="C30" i="69"/>
  <c r="AA11" i="40"/>
  <c r="S11" i="40"/>
  <c r="H11" i="40"/>
  <c r="J11" i="40"/>
  <c r="G76" i="40"/>
  <c r="H76" i="40" s="1"/>
  <c r="I76" i="40" s="1"/>
  <c r="J76" i="40" s="1"/>
  <c r="K76" i="40" s="1"/>
  <c r="L76" i="40" s="1"/>
  <c r="M76" i="40" s="1"/>
  <c r="Q16" i="1"/>
  <c r="E30" i="6"/>
  <c r="K14" i="1"/>
  <c r="C34" i="69" s="1"/>
  <c r="H16" i="1"/>
  <c r="O7" i="1"/>
  <c r="P7" i="1" s="1"/>
  <c r="AC6" i="3"/>
  <c r="E57" i="40"/>
  <c r="E61" i="39"/>
  <c r="E65" i="39" s="1"/>
  <c r="F31" i="6"/>
  <c r="E27" i="6"/>
  <c r="H6" i="3"/>
  <c r="P9"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83" i="3"/>
  <c r="AY66" i="3"/>
  <c r="AY23" i="3"/>
  <c r="AY176" i="3"/>
  <c r="AY155" i="3"/>
  <c r="AY115" i="3"/>
  <c r="AY59" i="3"/>
  <c r="AY188" i="3"/>
  <c r="AY131" i="3"/>
  <c r="AY276" i="3"/>
  <c r="AY58" i="3"/>
  <c r="AY297" i="3"/>
  <c r="AY268" i="3"/>
  <c r="AY225" i="3"/>
  <c r="AY371" i="3"/>
  <c r="AY335" i="3"/>
  <c r="AY318" i="3"/>
  <c r="AY470" i="3"/>
  <c r="AY428" i="3"/>
  <c r="AY409" i="3"/>
  <c r="AY106"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87" i="3"/>
  <c r="AY34" i="3"/>
  <c r="AY144" i="3"/>
  <c r="AY95" i="3"/>
  <c r="AY152" i="3"/>
  <c r="AY111" i="3"/>
  <c r="AY253" i="3"/>
  <c r="AY382" i="3"/>
  <c r="AY303" i="3"/>
  <c r="AY460" i="3"/>
  <c r="AY529"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42" i="3"/>
  <c r="AY153" i="3"/>
  <c r="AY122" i="3"/>
  <c r="AY113" i="3"/>
  <c r="AY51" i="3"/>
  <c r="AY207" i="3"/>
  <c r="AY124" i="3"/>
  <c r="AY42" i="3"/>
  <c r="AY281" i="3"/>
  <c r="AY168" i="3"/>
  <c r="AY236" i="3"/>
  <c r="AY366" i="3"/>
  <c r="AY473" i="3"/>
  <c r="AY441"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34"/>
  <c r="D3" i="33"/>
  <c r="D19" i="11"/>
  <c r="C19" i="11" s="1"/>
  <c r="C17" i="4"/>
  <c r="B4" i="52" s="1"/>
  <c r="B43" i="72" s="1"/>
  <c r="L18" i="9"/>
  <c r="D3" i="37"/>
  <c r="D37" i="11"/>
  <c r="C37" i="11" s="1"/>
  <c r="M18" i="9"/>
  <c r="B118" i="9" s="1"/>
  <c r="B14" i="74" s="1"/>
  <c r="B1" i="74" s="1"/>
  <c r="D3" i="21"/>
  <c r="E6" i="6"/>
  <c r="D14" i="12"/>
  <c r="J10" i="40"/>
  <c r="W10" i="40" s="1"/>
  <c r="H10" i="39"/>
  <c r="AB10" i="39" s="1"/>
  <c r="F10" i="40"/>
  <c r="AA10" i="40" s="1"/>
  <c r="J10" i="39"/>
  <c r="AC10" i="39" s="1"/>
  <c r="H10" i="40"/>
  <c r="U10" i="40" s="1"/>
  <c r="L109" i="43"/>
  <c r="L102" i="43"/>
  <c r="L105" i="43"/>
  <c r="L104" i="43"/>
  <c r="L106" i="43"/>
  <c r="L107" i="43"/>
  <c r="L103"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H102" i="43"/>
  <c r="H103" i="43"/>
  <c r="H104" i="43"/>
  <c r="H109" i="43"/>
  <c r="H107" i="43"/>
  <c r="H105" i="43"/>
  <c r="H106"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6" i="43"/>
  <c r="I103" i="43"/>
  <c r="I102" i="43"/>
  <c r="I107" i="43"/>
  <c r="I105" i="43"/>
  <c r="D109" i="43"/>
  <c r="D103" i="43"/>
  <c r="D104" i="43"/>
  <c r="D107" i="43"/>
  <c r="D105" i="43"/>
  <c r="D106" i="43"/>
  <c r="D102" i="43"/>
  <c r="D22" i="43"/>
  <c r="F107" i="43"/>
  <c r="F106" i="43"/>
  <c r="F103" i="43"/>
  <c r="F104" i="43"/>
  <c r="F102" i="43"/>
  <c r="F105" i="43"/>
  <c r="F109" i="43"/>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AB7" i="36"/>
  <c r="T36" i="36" s="1"/>
  <c r="G36" i="36" s="1"/>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P25" i="43"/>
  <c r="P23" i="43"/>
  <c r="B70" i="39" s="1"/>
  <c r="M28" i="43"/>
  <c r="N28" i="43"/>
  <c r="O28" i="43"/>
  <c r="P28" i="43"/>
  <c r="M11" i="67"/>
  <c r="J10" i="67" s="1"/>
  <c r="F11" i="15"/>
  <c r="M11" i="15"/>
  <c r="F11" i="67"/>
  <c r="F1" i="15"/>
  <c r="Q52" i="15"/>
  <c r="Q60" i="15"/>
  <c r="Q73" i="15"/>
  <c r="Q74" i="15"/>
  <c r="Q61" i="15"/>
  <c r="C16" i="67"/>
  <c r="C16" i="82"/>
  <c r="AE6" i="1"/>
  <c r="C16" i="81"/>
  <c r="Q61" i="67" l="1"/>
  <c r="Q60" i="82"/>
  <c r="Q60" i="67"/>
  <c r="J10" i="81"/>
  <c r="J5" i="81" s="1"/>
  <c r="J26" i="81" s="1"/>
  <c r="C49" i="81"/>
  <c r="C49" i="67"/>
  <c r="Q52" i="67"/>
  <c r="J10" i="15"/>
  <c r="J5" i="15" s="1"/>
  <c r="J24" i="15" s="1"/>
  <c r="J5" i="67"/>
  <c r="J24" i="67" s="1"/>
  <c r="C49" i="82"/>
  <c r="I37" i="15"/>
  <c r="C33" i="81"/>
  <c r="C32" i="81"/>
  <c r="J10" i="82"/>
  <c r="J5" i="82" s="1"/>
  <c r="J26" i="82" s="1"/>
  <c r="C33" i="82"/>
  <c r="C32" i="82"/>
  <c r="Q52" i="82"/>
  <c r="F1" i="82"/>
  <c r="Q66" i="82"/>
  <c r="Q57" i="82"/>
  <c r="Q74" i="81"/>
  <c r="Q61" i="81"/>
  <c r="Q74" i="82"/>
  <c r="Q61" i="82"/>
  <c r="Q57" i="81"/>
  <c r="Q66" i="81"/>
  <c r="Q52" i="81"/>
  <c r="F1" i="81"/>
  <c r="F24" i="81"/>
  <c r="C24" i="81" s="1"/>
  <c r="F24" i="82"/>
  <c r="C53" i="82"/>
  <c r="C10" i="82"/>
  <c r="C5" i="82" s="1"/>
  <c r="C53" i="81"/>
  <c r="C48" i="81" s="1"/>
  <c r="C10" i="81"/>
  <c r="C5" i="81" s="1"/>
  <c r="W11" i="40"/>
  <c r="AC11" i="40"/>
  <c r="AB11" i="40"/>
  <c r="U11" i="40"/>
  <c r="C35" i="69"/>
  <c r="C38" i="69"/>
  <c r="M14" i="1"/>
  <c r="K16" i="1"/>
  <c r="U20" i="1" s="1"/>
  <c r="F27" i="68"/>
  <c r="F28" i="12"/>
  <c r="C29" i="12" s="1"/>
  <c r="D28" i="12" s="1"/>
  <c r="F27" i="69"/>
  <c r="F27" i="11"/>
  <c r="E6" i="3"/>
  <c r="K24" i="6"/>
  <c r="M24" i="6" s="1"/>
  <c r="I24" i="6" s="1"/>
  <c r="S24" i="6" s="1"/>
  <c r="K21" i="6"/>
  <c r="K25" i="6"/>
  <c r="M25" i="6" s="1"/>
  <c r="I25" i="6" s="1"/>
  <c r="S25" i="6" s="1"/>
  <c r="E31" i="6"/>
  <c r="E34" i="6" s="1"/>
  <c r="K23" i="6"/>
  <c r="M23" i="6" s="1"/>
  <c r="I23" i="6" s="1"/>
  <c r="S23" i="6" s="1"/>
  <c r="K20" i="6"/>
  <c r="K19" i="6"/>
  <c r="S6" i="1" s="1"/>
  <c r="K22" i="6"/>
  <c r="M22" i="6" s="1"/>
  <c r="I22" i="6" s="1"/>
  <c r="S22" i="6" s="1"/>
  <c r="K26" i="6"/>
  <c r="M26" i="6" s="1"/>
  <c r="I26" i="6" s="1"/>
  <c r="S26" i="6" s="1"/>
  <c r="U10" i="39"/>
  <c r="W10" i="39"/>
  <c r="AB10" i="40"/>
  <c r="D17" i="12"/>
  <c r="C17" i="12" s="1"/>
  <c r="C14" i="12"/>
  <c r="C20" i="11"/>
  <c r="C28" i="11" s="1"/>
  <c r="C27" i="11" s="1"/>
  <c r="M19" i="9"/>
  <c r="C118" i="9" s="1"/>
  <c r="C14" i="74" s="1"/>
  <c r="B2" i="74" s="1"/>
  <c r="D19" i="6"/>
  <c r="D26" i="6"/>
  <c r="C18" i="4"/>
  <c r="D8" i="6"/>
  <c r="D23" i="6"/>
  <c r="D14" i="6"/>
  <c r="D6" i="6"/>
  <c r="D9" i="6"/>
  <c r="D10" i="6"/>
  <c r="L19" i="9"/>
  <c r="D29" i="6"/>
  <c r="D25" i="6"/>
  <c r="D15" i="6"/>
  <c r="D22" i="6"/>
  <c r="D21" i="6"/>
  <c r="D24" i="6"/>
  <c r="D20" i="6"/>
  <c r="D5" i="6"/>
  <c r="D12" i="6"/>
  <c r="D11" i="6"/>
  <c r="D13" i="6"/>
  <c r="D28" i="6"/>
  <c r="E61" i="40"/>
  <c r="D10" i="68"/>
  <c r="D10" i="11"/>
  <c r="C10" i="11" s="1"/>
  <c r="D20" i="12"/>
  <c r="C20" i="12" s="1"/>
  <c r="D10" i="69"/>
  <c r="C7" i="74"/>
  <c r="C8" i="74"/>
  <c r="S10" i="40"/>
  <c r="AC10" i="40"/>
  <c r="U7" i="37"/>
  <c r="C115" i="43"/>
  <c r="D113" i="43" s="1"/>
  <c r="S4" i="43"/>
  <c r="T4" i="43" s="1"/>
  <c r="V4" i="43" s="1"/>
  <c r="S2" i="43"/>
  <c r="T2" i="43" s="1"/>
  <c r="V2" i="43" s="1"/>
  <c r="S6" i="43"/>
  <c r="T6" i="43" s="1"/>
  <c r="V6" i="43" s="1"/>
  <c r="C23" i="43"/>
  <c r="C21" i="43" s="1"/>
  <c r="C29" i="43" s="1"/>
  <c r="C30" i="43" s="1"/>
  <c r="E30" i="43" s="1"/>
  <c r="S7" i="43"/>
  <c r="T7" i="43" s="1"/>
  <c r="V7" i="43" s="1"/>
  <c r="S5" i="43"/>
  <c r="T5" i="43" s="1"/>
  <c r="V5" i="43" s="1"/>
  <c r="S3" i="43"/>
  <c r="T3" i="43" s="1"/>
  <c r="V3" i="43" s="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J26" i="67"/>
  <c r="C53" i="67"/>
  <c r="C48" i="67" s="1"/>
  <c r="C10" i="67"/>
  <c r="C5" i="67" s="1"/>
  <c r="C53" i="15"/>
  <c r="C48" i="15" s="1"/>
  <c r="C10" i="15"/>
  <c r="C5" i="15" s="1"/>
  <c r="F25" i="12"/>
  <c r="F22" i="69"/>
  <c r="F41" i="69" s="1"/>
  <c r="F24" i="67"/>
  <c r="C24" i="67" s="1"/>
  <c r="F22" i="11"/>
  <c r="F22" i="68"/>
  <c r="F24" i="15"/>
  <c r="C24" i="15" s="1"/>
  <c r="C17" i="15"/>
  <c r="AE7" i="1"/>
  <c r="AE8" i="1"/>
  <c r="F41" i="15"/>
  <c r="J24" i="81" l="1"/>
  <c r="J26" i="15"/>
  <c r="J29" i="15" s="1"/>
  <c r="C48" i="82"/>
  <c r="C66" i="82" s="1"/>
  <c r="F69" i="15"/>
  <c r="D30" i="6"/>
  <c r="H25" i="6"/>
  <c r="R25" i="6" s="1"/>
  <c r="J24" i="82"/>
  <c r="E6" i="70"/>
  <c r="C38" i="82"/>
  <c r="C24" i="82"/>
  <c r="C38" i="81"/>
  <c r="C66" i="81"/>
  <c r="C60" i="81"/>
  <c r="E29" i="43"/>
  <c r="C29" i="11"/>
  <c r="D27" i="11" s="1"/>
  <c r="C47" i="11"/>
  <c r="D45" i="11" s="1"/>
  <c r="C47" i="69"/>
  <c r="D45" i="69" s="1"/>
  <c r="C29" i="69"/>
  <c r="D27" i="69" s="1"/>
  <c r="F45" i="69"/>
  <c r="F45" i="68"/>
  <c r="C29" i="68"/>
  <c r="D27" i="68" s="1"/>
  <c r="C47" i="68"/>
  <c r="D45" i="68" s="1"/>
  <c r="O14" i="1"/>
  <c r="M16" i="1"/>
  <c r="N16" i="1" s="1"/>
  <c r="H26" i="6"/>
  <c r="R26" i="6" s="1"/>
  <c r="M20" i="6"/>
  <c r="I20" i="6" s="1"/>
  <c r="S7" i="1"/>
  <c r="M21" i="6"/>
  <c r="I21" i="6" s="1"/>
  <c r="S8" i="1"/>
  <c r="AR6" i="1"/>
  <c r="T6" i="1"/>
  <c r="AQ6" i="1"/>
  <c r="H22" i="6"/>
  <c r="R22" i="6" s="1"/>
  <c r="H24" i="6"/>
  <c r="R24" i="6" s="1"/>
  <c r="H23" i="6"/>
  <c r="R23" i="6" s="1"/>
  <c r="D16" i="6"/>
  <c r="M19" i="6"/>
  <c r="K27" i="6"/>
  <c r="C10" i="69"/>
  <c r="C8" i="69" s="1"/>
  <c r="C5" i="69" s="1"/>
  <c r="C23" i="69" s="1"/>
  <c r="D19" i="69"/>
  <c r="D7" i="74"/>
  <c r="D8" i="74"/>
  <c r="C10" i="68"/>
  <c r="B29" i="1" s="1"/>
  <c r="D19" i="68"/>
  <c r="C4" i="52"/>
  <c r="B45" i="72" s="1"/>
  <c r="A10" i="51"/>
  <c r="B9" i="72" s="1"/>
  <c r="A7" i="51"/>
  <c r="B7" i="72" s="1"/>
  <c r="D27"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F41" i="67"/>
  <c r="C17" i="81"/>
  <c r="E6" i="76"/>
  <c r="B6" i="76"/>
  <c r="C17" i="67"/>
  <c r="C14" i="15"/>
  <c r="F41" i="81"/>
  <c r="F41" i="82"/>
  <c r="C17" i="82"/>
  <c r="C14" i="67"/>
  <c r="F69" i="82" l="1"/>
  <c r="J29" i="82"/>
  <c r="F69" i="67"/>
  <c r="J29" i="67"/>
  <c r="C60" i="82"/>
  <c r="C18" i="67"/>
  <c r="C15" i="67"/>
  <c r="D31" i="6"/>
  <c r="I5" i="6" s="1"/>
  <c r="C18" i="15"/>
  <c r="C15" i="15"/>
  <c r="E8" i="70"/>
  <c r="E7" i="70"/>
  <c r="J29" i="81"/>
  <c r="F69" i="81"/>
  <c r="L16" i="1"/>
  <c r="C34" i="68"/>
  <c r="C34" i="11"/>
  <c r="F50" i="69"/>
  <c r="F50" i="68"/>
  <c r="F50" i="11"/>
  <c r="P14" i="1"/>
  <c r="P16" i="1" s="1"/>
  <c r="C11" i="12" s="1"/>
  <c r="O16" i="1"/>
  <c r="AR8" i="1"/>
  <c r="AQ8" i="1"/>
  <c r="T8" i="1"/>
  <c r="AQ7" i="1"/>
  <c r="AR7" i="1"/>
  <c r="T7" i="1"/>
  <c r="S16" i="1"/>
  <c r="S21" i="6"/>
  <c r="H21" i="6"/>
  <c r="R21" i="6" s="1"/>
  <c r="R8" i="1" s="1"/>
  <c r="S20" i="6"/>
  <c r="H20" i="6"/>
  <c r="R20" i="6" s="1"/>
  <c r="R7" i="1" s="1"/>
  <c r="I19" i="6"/>
  <c r="M27" i="6"/>
  <c r="I6" i="6"/>
  <c r="C19" i="69"/>
  <c r="C24" i="69" s="1"/>
  <c r="D37" i="69"/>
  <c r="C37" i="69" s="1"/>
  <c r="C33" i="69" s="1"/>
  <c r="C19" i="68"/>
  <c r="D37" i="68"/>
  <c r="C37" i="68"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11"/>
  <c r="C31" i="11" s="1"/>
  <c r="F35" i="67"/>
  <c r="M21" i="67"/>
  <c r="C14" i="81"/>
  <c r="C14" i="82"/>
  <c r="C20" i="69" l="1"/>
  <c r="C28" i="69" s="1"/>
  <c r="C27" i="69" s="1"/>
  <c r="C19" i="67"/>
  <c r="C20" i="67" s="1"/>
  <c r="C26" i="67" s="1"/>
  <c r="J20" i="67"/>
  <c r="C34" i="67"/>
  <c r="F63" i="67"/>
  <c r="C62" i="67" s="1"/>
  <c r="E2" i="70"/>
  <c r="C19" i="15"/>
  <c r="C20" i="15" s="1"/>
  <c r="C26" i="15" s="1"/>
  <c r="C15" i="82"/>
  <c r="C18" i="82"/>
  <c r="C18" i="81"/>
  <c r="C15" i="81"/>
  <c r="T16" i="1"/>
  <c r="C15" i="12"/>
  <c r="C12" i="12"/>
  <c r="C38" i="68"/>
  <c r="C35" i="68"/>
  <c r="C38" i="11"/>
  <c r="C35" i="11"/>
  <c r="H19" i="6"/>
  <c r="S19" i="6"/>
  <c r="S27" i="6" s="1"/>
  <c r="I27" i="6"/>
  <c r="C24" i="68"/>
  <c r="C39" i="69"/>
  <c r="C43" i="69" s="1"/>
  <c r="C42" i="69"/>
  <c r="I69" i="39"/>
  <c r="J67" i="39"/>
  <c r="B3" i="76"/>
  <c r="D6" i="71"/>
  <c r="M20" i="43"/>
  <c r="I63" i="40"/>
  <c r="H65" i="40"/>
  <c r="I58" i="21"/>
  <c r="J58" i="21" s="1"/>
  <c r="K58" i="21" s="1"/>
  <c r="L58" i="21" s="1"/>
  <c r="M58" i="21" s="1"/>
  <c r="N58" i="21" s="1"/>
  <c r="O58" i="21" s="1"/>
  <c r="H7" i="21" s="1"/>
  <c r="J7" i="21"/>
  <c r="F7" i="21"/>
  <c r="J48" i="35"/>
  <c r="Q48" i="15"/>
  <c r="C25" i="69" l="1"/>
  <c r="C22" i="69" s="1"/>
  <c r="C31" i="69" s="1"/>
  <c r="C23" i="67"/>
  <c r="C29" i="67" s="1"/>
  <c r="C19" i="82"/>
  <c r="C20" i="82" s="1"/>
  <c r="C26" i="82" s="1"/>
  <c r="C19" i="81"/>
  <c r="C20" i="81" s="1"/>
  <c r="C26" i="81" s="1"/>
  <c r="C23" i="15"/>
  <c r="C29" i="15" s="1"/>
  <c r="C33" i="11"/>
  <c r="C39" i="11" s="1"/>
  <c r="C41" i="69"/>
  <c r="C16" i="12"/>
  <c r="C33" i="68"/>
  <c r="J33" i="68" s="1"/>
  <c r="AM4" i="78" s="1"/>
  <c r="H27" i="6"/>
  <c r="R19" i="6"/>
  <c r="C46" i="69"/>
  <c r="C45" i="69" s="1"/>
  <c r="J69" i="39"/>
  <c r="K67" i="39"/>
  <c r="U7" i="21"/>
  <c r="AB7" i="21"/>
  <c r="T48" i="21" s="1"/>
  <c r="G48" i="21" s="1"/>
  <c r="S7" i="21"/>
  <c r="AA7" i="21"/>
  <c r="R48" i="21" s="1"/>
  <c r="J63" i="40"/>
  <c r="I65" i="40"/>
  <c r="K48" i="35"/>
  <c r="L48" i="35" s="1"/>
  <c r="M48" i="35" s="1"/>
  <c r="N48" i="35" s="1"/>
  <c r="O48" i="35" s="1"/>
  <c r="H7" i="35" s="1"/>
  <c r="J7" i="35"/>
  <c r="AC7" i="21"/>
  <c r="V48" i="21" s="1"/>
  <c r="I48" i="21" s="1"/>
  <c r="W7" i="21"/>
  <c r="AM5" i="78" l="1"/>
  <c r="AL4" i="78"/>
  <c r="C42" i="68"/>
  <c r="J14" i="67"/>
  <c r="J22" i="67" s="1"/>
  <c r="J59" i="67"/>
  <c r="J60" i="67" s="1"/>
  <c r="Q48" i="67" s="1"/>
  <c r="C57" i="67"/>
  <c r="C64" i="67" s="1"/>
  <c r="C33" i="67"/>
  <c r="C31" i="67" s="1"/>
  <c r="J19" i="67"/>
  <c r="J17" i="67" s="1"/>
  <c r="C36" i="67"/>
  <c r="C13" i="67"/>
  <c r="C37" i="67" s="1"/>
  <c r="Q49" i="67"/>
  <c r="C61" i="67"/>
  <c r="C59" i="67" s="1"/>
  <c r="C23" i="82"/>
  <c r="C29" i="82" s="1"/>
  <c r="C57" i="82" s="1"/>
  <c r="C57" i="15"/>
  <c r="Q49" i="15"/>
  <c r="J14" i="15"/>
  <c r="C36" i="15"/>
  <c r="C13" i="15"/>
  <c r="J19" i="15"/>
  <c r="C23" i="81"/>
  <c r="C29" i="81" s="1"/>
  <c r="C42" i="11"/>
  <c r="C49" i="69"/>
  <c r="C51" i="69" s="1"/>
  <c r="C52" i="69" s="1"/>
  <c r="B2" i="69" s="1"/>
  <c r="B3" i="69" s="1"/>
  <c r="C39" i="68"/>
  <c r="C43" i="68" s="1"/>
  <c r="C46" i="11"/>
  <c r="C45" i="11" s="1"/>
  <c r="C43" i="11"/>
  <c r="R27" i="6"/>
  <c r="R6" i="1"/>
  <c r="L67" i="39"/>
  <c r="K69" i="39"/>
  <c r="W7" i="35"/>
  <c r="AC7" i="35"/>
  <c r="V38" i="35" s="1"/>
  <c r="I38" i="35" s="1"/>
  <c r="J65" i="40"/>
  <c r="K63" i="40"/>
  <c r="I52" i="21"/>
  <c r="J52" i="21" s="1"/>
  <c r="U7" i="35"/>
  <c r="AB7" i="35"/>
  <c r="T38" i="35" s="1"/>
  <c r="G38" i="35" s="1"/>
  <c r="R49" i="21"/>
  <c r="E48" i="21"/>
  <c r="G52" i="21"/>
  <c r="H52" i="21" s="1"/>
  <c r="G53" i="21"/>
  <c r="H53" i="21" s="1"/>
  <c r="F7" i="35"/>
  <c r="F35" i="15"/>
  <c r="M21" i="15"/>
  <c r="F35" i="81"/>
  <c r="F35" i="82"/>
  <c r="M21" i="81"/>
  <c r="M21" i="82"/>
  <c r="J13" i="67" l="1"/>
  <c r="J23" i="67" s="1"/>
  <c r="AM6" i="78"/>
  <c r="AL5" i="78"/>
  <c r="C41" i="68"/>
  <c r="C75" i="67"/>
  <c r="C56" i="67"/>
  <c r="C65" i="67" s="1"/>
  <c r="C30" i="67"/>
  <c r="C39" i="67" s="1"/>
  <c r="Q69" i="67" s="1"/>
  <c r="Q70" i="67"/>
  <c r="J16" i="67"/>
  <c r="J25" i="67" s="1"/>
  <c r="C58" i="67"/>
  <c r="C67" i="67" s="1"/>
  <c r="C68" i="67" s="1"/>
  <c r="J19" i="82"/>
  <c r="C13" i="82"/>
  <c r="C75" i="82" s="1"/>
  <c r="J14" i="82"/>
  <c r="J13" i="82" s="1"/>
  <c r="J23" i="82" s="1"/>
  <c r="Q49" i="82"/>
  <c r="C36" i="82"/>
  <c r="C36" i="81"/>
  <c r="J14" i="81"/>
  <c r="Q49" i="81"/>
  <c r="C57" i="81"/>
  <c r="J19" i="81"/>
  <c r="C13" i="81"/>
  <c r="C56" i="15"/>
  <c r="C65" i="15" s="1"/>
  <c r="Q70" i="15"/>
  <c r="C75" i="15"/>
  <c r="C37" i="15"/>
  <c r="J13" i="15"/>
  <c r="J23" i="15" s="1"/>
  <c r="J22" i="15"/>
  <c r="C61" i="15"/>
  <c r="C64" i="15"/>
  <c r="C64" i="82"/>
  <c r="C61" i="82"/>
  <c r="C41" i="11"/>
  <c r="C49" i="11" s="1"/>
  <c r="C51" i="11" s="1"/>
  <c r="C52" i="11" s="1"/>
  <c r="B2" i="11" s="1"/>
  <c r="B3" i="11" s="1"/>
  <c r="F63" i="82"/>
  <c r="C62" i="82" s="1"/>
  <c r="C34" i="82"/>
  <c r="C31" i="82" s="1"/>
  <c r="J20" i="82"/>
  <c r="J20" i="81"/>
  <c r="J17" i="81" s="1"/>
  <c r="F63" i="81"/>
  <c r="C62" i="81" s="1"/>
  <c r="C34" i="81"/>
  <c r="C31" i="81" s="1"/>
  <c r="J20" i="15"/>
  <c r="J17" i="15" s="1"/>
  <c r="F63" i="15"/>
  <c r="C62" i="15" s="1"/>
  <c r="C59" i="15" s="1"/>
  <c r="C34" i="15"/>
  <c r="C31" i="15" s="1"/>
  <c r="C30" i="15" s="1"/>
  <c r="C39" i="15" s="1"/>
  <c r="R16" i="1"/>
  <c r="C46" i="68"/>
  <c r="C45" i="68" s="1"/>
  <c r="C57" i="69"/>
  <c r="C56"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L51" i="67"/>
  <c r="L51" i="15"/>
  <c r="AM7" i="78" l="1"/>
  <c r="AL6" i="78"/>
  <c r="C49" i="68"/>
  <c r="C51" i="68" s="1"/>
  <c r="F35" i="9" s="1"/>
  <c r="Q68" i="67"/>
  <c r="C40" i="67"/>
  <c r="C45" i="67" s="1"/>
  <c r="C46" i="67" s="1"/>
  <c r="C80" i="67"/>
  <c r="C79" i="67" s="1"/>
  <c r="L57" i="67"/>
  <c r="L60" i="67" s="1"/>
  <c r="L46" i="67" s="1"/>
  <c r="Q67" i="67"/>
  <c r="C71" i="67"/>
  <c r="Q70" i="82"/>
  <c r="C37" i="82"/>
  <c r="C30" i="82" s="1"/>
  <c r="C39" i="82" s="1"/>
  <c r="C40" i="82" s="1"/>
  <c r="J17" i="82"/>
  <c r="J22" i="82"/>
  <c r="C59" i="82"/>
  <c r="C58" i="15"/>
  <c r="C67" i="15" s="1"/>
  <c r="C68" i="15" s="1"/>
  <c r="C71" i="15" s="1"/>
  <c r="C56" i="82"/>
  <c r="C65" i="82" s="1"/>
  <c r="J16" i="15"/>
  <c r="J25" i="15" s="1"/>
  <c r="C75" i="81"/>
  <c r="C37" i="81"/>
  <c r="C30" i="81" s="1"/>
  <c r="C39" i="81" s="1"/>
  <c r="Q70" i="81"/>
  <c r="C56" i="81"/>
  <c r="C65" i="81" s="1"/>
  <c r="C64" i="81"/>
  <c r="C61" i="81"/>
  <c r="C59" i="81" s="1"/>
  <c r="J13" i="81"/>
  <c r="J23" i="81" s="1"/>
  <c r="J22" i="81"/>
  <c r="Q67" i="15"/>
  <c r="L57" i="15"/>
  <c r="L60" i="15" s="1"/>
  <c r="C80" i="15"/>
  <c r="C79" i="15" s="1"/>
  <c r="Q69" i="15"/>
  <c r="Q68" i="15" s="1"/>
  <c r="C40" i="15"/>
  <c r="C56" i="11"/>
  <c r="C57" i="11" s="1"/>
  <c r="M69" i="39"/>
  <c r="N67" i="39"/>
  <c r="R39" i="35"/>
  <c r="E38" i="35"/>
  <c r="M63" i="40"/>
  <c r="L65" i="40"/>
  <c r="L51" i="81"/>
  <c r="AM8" i="78" l="1"/>
  <c r="AM9" i="78" s="1"/>
  <c r="AM10" i="78" s="1"/>
  <c r="AM11" i="78" s="1"/>
  <c r="AL7" i="78"/>
  <c r="I51" i="68"/>
  <c r="C83" i="67"/>
  <c r="C82" i="67" s="1"/>
  <c r="Q47" i="67"/>
  <c r="Q53" i="67" s="1"/>
  <c r="D2" i="67"/>
  <c r="B2" i="67" s="1"/>
  <c r="Q57" i="67"/>
  <c r="Q56" i="67"/>
  <c r="Q65" i="67"/>
  <c r="C43" i="67"/>
  <c r="Q66" i="67"/>
  <c r="C46" i="15"/>
  <c r="J16" i="82"/>
  <c r="J25" i="82" s="1"/>
  <c r="Q69" i="82"/>
  <c r="Q68" i="82" s="1"/>
  <c r="C80" i="82"/>
  <c r="C79" i="82" s="1"/>
  <c r="C58" i="82"/>
  <c r="C67" i="82" s="1"/>
  <c r="C68" i="82" s="1"/>
  <c r="C71" i="82" s="1"/>
  <c r="J16" i="81"/>
  <c r="J25" i="81" s="1"/>
  <c r="C58" i="81"/>
  <c r="C67" i="81" s="1"/>
  <c r="C68" i="81" s="1"/>
  <c r="C71" i="81" s="1"/>
  <c r="Q69" i="81"/>
  <c r="Q68" i="81" s="1"/>
  <c r="C80" i="81"/>
  <c r="C79" i="81" s="1"/>
  <c r="C40" i="81"/>
  <c r="Q47" i="81" s="1"/>
  <c r="Q53" i="81" s="1"/>
  <c r="Q47" i="82"/>
  <c r="Q53" i="82" s="1"/>
  <c r="B2" i="82"/>
  <c r="Q65" i="82"/>
  <c r="Q75" i="82" s="1"/>
  <c r="Q56" i="82"/>
  <c r="Q62" i="82" s="1"/>
  <c r="C43" i="82"/>
  <c r="C83" i="82"/>
  <c r="C82" i="82" s="1"/>
  <c r="Q67" i="81"/>
  <c r="Q65" i="15"/>
  <c r="Q47" i="15"/>
  <c r="Q53" i="15" s="1"/>
  <c r="Q56" i="15"/>
  <c r="C43" i="15"/>
  <c r="C83" i="15"/>
  <c r="C82" i="15" s="1"/>
  <c r="L46" i="15"/>
  <c r="B2" i="15" s="1"/>
  <c r="Q57" i="15"/>
  <c r="Q66" i="15"/>
  <c r="O67" i="39"/>
  <c r="O69" i="39" s="1"/>
  <c r="N69" i="39"/>
  <c r="F7" i="39" s="1"/>
  <c r="C39" i="35"/>
  <c r="B2" i="35" s="1"/>
  <c r="B3" i="35" s="1"/>
  <c r="C38" i="35"/>
  <c r="M65" i="40"/>
  <c r="E43" i="35"/>
  <c r="F43" i="35" s="1"/>
  <c r="E42" i="35"/>
  <c r="F42" i="35" s="1"/>
  <c r="I43" i="35"/>
  <c r="J43" i="35" s="1"/>
  <c r="L51" i="82"/>
  <c r="AO6" i="1"/>
  <c r="AO8" i="1"/>
  <c r="Q75" i="67" l="1"/>
  <c r="Q67" i="82"/>
  <c r="AM12" i="78"/>
  <c r="AL11" i="78"/>
  <c r="Q62" i="67"/>
  <c r="B3" i="67"/>
  <c r="Q62" i="15"/>
  <c r="C46" i="82"/>
  <c r="C46" i="81"/>
  <c r="C43" i="81"/>
  <c r="Q65" i="81"/>
  <c r="Q75" i="81" s="1"/>
  <c r="C83" i="81"/>
  <c r="C82" i="81" s="1"/>
  <c r="Q56" i="81"/>
  <c r="Q62" i="81" s="1"/>
  <c r="B2" i="81"/>
  <c r="B8" i="70"/>
  <c r="H8" i="70" s="1"/>
  <c r="B3" i="82"/>
  <c r="Q75" i="15"/>
  <c r="B6" i="70"/>
  <c r="B3" i="15"/>
  <c r="H7" i="39"/>
  <c r="J7" i="39"/>
  <c r="S7" i="39"/>
  <c r="AA7" i="39"/>
  <c r="R47" i="39" s="1"/>
  <c r="O65" i="40"/>
  <c r="N65" i="40"/>
  <c r="AO7" i="1"/>
  <c r="B3" i="81" l="1"/>
  <c r="AM13" i="78"/>
  <c r="AL12" i="78"/>
  <c r="H6" i="70"/>
  <c r="B7" i="70"/>
  <c r="W7" i="39"/>
  <c r="AC7" i="39"/>
  <c r="V47" i="39" s="1"/>
  <c r="I47" i="39" s="1"/>
  <c r="E47" i="39"/>
  <c r="R48" i="39"/>
  <c r="U7" i="39"/>
  <c r="AB7" i="39"/>
  <c r="T47" i="39" s="1"/>
  <c r="G47" i="39" s="1"/>
  <c r="J7" i="40"/>
  <c r="F7" i="40"/>
  <c r="H7" i="40"/>
  <c r="AM14" i="78" l="1"/>
  <c r="AL13" i="78"/>
  <c r="B2" i="70"/>
  <c r="H7"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J7" i="70" l="1"/>
  <c r="AM15" i="78"/>
  <c r="AL14" i="78"/>
  <c r="B3" i="70"/>
  <c r="J6" i="70"/>
  <c r="D21" i="9"/>
  <c r="D102"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J8" i="70" l="1"/>
  <c r="AM16" i="78"/>
  <c r="AL15" i="78"/>
  <c r="D103" i="9"/>
  <c r="C42" i="40"/>
  <c r="C43" i="40"/>
  <c r="E47" i="40"/>
  <c r="F47" i="40" s="1"/>
  <c r="E46" i="40"/>
  <c r="F46" i="40" s="1"/>
  <c r="I47" i="40"/>
  <c r="J47" i="40" s="1"/>
  <c r="AM17" i="78" l="1"/>
  <c r="AL16" i="78"/>
  <c r="B58" i="40"/>
  <c r="F58" i="40" s="1"/>
  <c r="AB4" i="78" s="1"/>
  <c r="B54" i="40"/>
  <c r="F54" i="40" s="1"/>
  <c r="B53" i="40"/>
  <c r="F53" i="40" s="1"/>
  <c r="B59" i="40"/>
  <c r="F59" i="40" s="1"/>
  <c r="B52" i="40"/>
  <c r="F52" i="40" s="1"/>
  <c r="B56" i="40"/>
  <c r="F56" i="40" s="1"/>
  <c r="B60" i="40"/>
  <c r="F60" i="40" s="1"/>
  <c r="B57" i="40"/>
  <c r="F57" i="40" s="1"/>
  <c r="AA4" i="78" s="1"/>
  <c r="B51" i="40"/>
  <c r="F51" i="40" s="1"/>
  <c r="Z4" i="78" s="1"/>
  <c r="AD4" i="78" s="1"/>
  <c r="AM18" i="78" l="1"/>
  <c r="AL17" i="78"/>
  <c r="F61" i="40"/>
  <c r="B2" i="40" s="1"/>
  <c r="AM19" i="78" l="1"/>
  <c r="AL18" i="78"/>
  <c r="B3" i="40"/>
  <c r="K119" i="9"/>
  <c r="C6" i="68"/>
  <c r="C7" i="68" s="1"/>
  <c r="C8" i="68"/>
  <c r="C18" i="12"/>
  <c r="C21" i="12" s="1"/>
  <c r="AM20" i="78" l="1"/>
  <c r="AL19" i="78"/>
  <c r="C5" i="68"/>
  <c r="C20" i="68" s="1"/>
  <c r="C25" i="68" s="1"/>
  <c r="C22" i="12"/>
  <c r="C27" i="12" s="1"/>
  <c r="C25" i="12" s="1"/>
  <c r="AM21" i="78" l="1"/>
  <c r="AL20" i="78"/>
  <c r="C23" i="68"/>
  <c r="C22" i="68" s="1"/>
  <c r="C28" i="68"/>
  <c r="C27" i="68" s="1"/>
  <c r="C30" i="12"/>
  <c r="C28" i="12" s="1"/>
  <c r="C32" i="12" s="1"/>
  <c r="B2" i="12" s="1"/>
  <c r="B3" i="12" s="1"/>
  <c r="AM22" i="78" l="1"/>
  <c r="AL21" i="78"/>
  <c r="C31" i="68"/>
  <c r="C52" i="68" s="1"/>
  <c r="B2" i="68" s="1"/>
  <c r="B3" i="68" s="1"/>
  <c r="C20" i="9"/>
  <c r="C19" i="9"/>
  <c r="AM23" i="78" l="1"/>
  <c r="AL22" i="78"/>
  <c r="D22" i="9"/>
  <c r="C21" i="9"/>
  <c r="C102" i="9"/>
  <c r="G19" i="9"/>
  <c r="W68" i="78" s="1"/>
  <c r="C57" i="68"/>
  <c r="G20" i="9"/>
  <c r="C103" i="9"/>
  <c r="AM24" i="78" l="1"/>
  <c r="AL23" i="78"/>
  <c r="G21" i="9"/>
  <c r="F34" i="9"/>
  <c r="C32" i="9"/>
  <c r="C56" i="68"/>
  <c r="AM25" i="78" l="1"/>
  <c r="AL24" i="78"/>
  <c r="H118" i="9"/>
  <c r="AG4" i="78" s="1"/>
  <c r="AM26" i="78" l="1"/>
  <c r="AL25" i="78"/>
  <c r="C104" i="9"/>
  <c r="I118" i="9"/>
  <c r="H101" i="9"/>
  <c r="H4" i="52"/>
  <c r="D14" i="74"/>
  <c r="AN4" i="78" s="1"/>
  <c r="AJ4" i="78" s="1"/>
  <c r="H119" i="9"/>
  <c r="H5" i="52" s="1"/>
  <c r="AM27" i="78" l="1"/>
  <c r="AL26" i="78"/>
  <c r="AP4" i="78"/>
  <c r="AQ4" i="78"/>
  <c r="E14" i="74"/>
  <c r="AO4" i="78" s="1"/>
  <c r="B5" i="74"/>
  <c r="F14" i="74"/>
  <c r="D5" i="53"/>
  <c r="H107" i="9"/>
  <c r="M48" i="9"/>
  <c r="D45" i="9"/>
  <c r="C105" i="9"/>
  <c r="H102" i="9"/>
  <c r="D7" i="53" s="1"/>
  <c r="B21" i="72" s="1"/>
  <c r="I4" i="52"/>
  <c r="AP12" i="78" l="1"/>
  <c r="AP15" i="78"/>
  <c r="AM28" i="78"/>
  <c r="AM29" i="78" s="1"/>
  <c r="AM30" i="78" s="1"/>
  <c r="AL27" i="78"/>
  <c r="AP16" i="78"/>
  <c r="AQ65" i="78"/>
  <c r="AQ63" i="78"/>
  <c r="AQ61" i="78"/>
  <c r="AQ59" i="78"/>
  <c r="AQ57" i="78"/>
  <c r="AQ55" i="78"/>
  <c r="AQ66" i="78"/>
  <c r="AQ64" i="78"/>
  <c r="AQ62" i="78"/>
  <c r="AQ60" i="78"/>
  <c r="AQ58" i="78"/>
  <c r="AQ56" i="78"/>
  <c r="AQ51" i="78"/>
  <c r="AQ49" i="78"/>
  <c r="AQ47" i="78"/>
  <c r="AQ45" i="78"/>
  <c r="AQ43" i="78"/>
  <c r="AQ41" i="78"/>
  <c r="AQ39" i="78"/>
  <c r="AQ37" i="78"/>
  <c r="AQ35" i="78"/>
  <c r="AQ52" i="78"/>
  <c r="AQ50" i="78"/>
  <c r="AQ48" i="78"/>
  <c r="AQ46" i="78"/>
  <c r="AQ44" i="78"/>
  <c r="AQ42" i="78"/>
  <c r="AQ40" i="78"/>
  <c r="AQ38" i="78"/>
  <c r="AQ36" i="78"/>
  <c r="AQ34" i="78"/>
  <c r="AQ9" i="78"/>
  <c r="AQ28" i="78"/>
  <c r="AQ3" i="78"/>
  <c r="AQ8" i="78"/>
  <c r="AP65" i="78"/>
  <c r="AP63" i="78"/>
  <c r="AP61" i="78"/>
  <c r="AP59" i="78"/>
  <c r="AP57" i="78"/>
  <c r="AP55" i="78"/>
  <c r="AP66" i="78"/>
  <c r="AP64" i="78"/>
  <c r="AP62" i="78"/>
  <c r="AP60" i="78"/>
  <c r="AP58" i="78"/>
  <c r="AP56" i="78"/>
  <c r="AP30" i="78"/>
  <c r="AP51" i="78"/>
  <c r="AP49" i="78"/>
  <c r="AP47" i="78"/>
  <c r="AP45" i="78"/>
  <c r="AP43" i="78"/>
  <c r="AP41" i="78"/>
  <c r="AP39" i="78"/>
  <c r="AP37" i="78"/>
  <c r="AP35" i="78"/>
  <c r="AP33" i="78"/>
  <c r="AP52" i="78"/>
  <c r="AP50" i="78"/>
  <c r="AP48" i="78"/>
  <c r="AP46" i="78"/>
  <c r="AP44" i="78"/>
  <c r="AP42" i="78"/>
  <c r="AP40" i="78"/>
  <c r="AP38" i="78"/>
  <c r="AP36" i="78"/>
  <c r="AP34" i="78"/>
  <c r="AP32" i="78"/>
  <c r="AP25" i="78"/>
  <c r="AP23" i="78"/>
  <c r="AP21" i="78"/>
  <c r="AP19" i="78"/>
  <c r="AP17" i="78"/>
  <c r="AP13" i="78"/>
  <c r="AP11" i="78"/>
  <c r="AP26" i="78"/>
  <c r="AP24" i="78"/>
  <c r="AP22" i="78"/>
  <c r="AP20" i="78"/>
  <c r="AP18" i="78"/>
  <c r="AP14" i="78"/>
  <c r="AP5" i="78"/>
  <c r="AP6" i="78"/>
  <c r="AP3" i="78"/>
  <c r="AR4" i="78"/>
  <c r="D52" i="9"/>
  <c r="C93" i="9"/>
  <c r="C86" i="9" s="1"/>
  <c r="D55" i="9"/>
  <c r="M53" i="9" s="1"/>
  <c r="C72" i="9"/>
  <c r="C85" i="9"/>
  <c r="D53" i="9"/>
  <c r="C78" i="9"/>
  <c r="C73" i="9" s="1"/>
  <c r="C64" i="9"/>
  <c r="C63" i="9" s="1"/>
  <c r="C67" i="9" s="1"/>
  <c r="D122" i="9"/>
  <c r="H108" i="9"/>
  <c r="D15" i="53" s="1"/>
  <c r="B31" i="72" s="1"/>
  <c r="D13" i="53"/>
  <c r="M49" i="9"/>
  <c r="B20" i="72"/>
  <c r="D6" i="53"/>
  <c r="B22" i="72" s="1"/>
  <c r="C5" i="74"/>
  <c r="D5" i="74"/>
  <c r="AM31" i="78" l="1"/>
  <c r="AM32" i="78" s="1"/>
  <c r="AL30" i="78"/>
  <c r="AR53" i="78"/>
  <c r="AR67" i="78"/>
  <c r="AR7" i="78"/>
  <c r="AR27" i="78"/>
  <c r="AN60" i="78"/>
  <c r="AR3" i="78"/>
  <c r="AN66" i="78"/>
  <c r="AN64" i="78"/>
  <c r="AN56" i="78"/>
  <c r="AN51" i="78"/>
  <c r="AN49" i="78"/>
  <c r="AN47" i="78"/>
  <c r="AN45" i="78"/>
  <c r="AN43" i="78"/>
  <c r="AN41" i="78"/>
  <c r="AN39" i="78"/>
  <c r="AN37" i="78"/>
  <c r="AN35" i="78"/>
  <c r="AN33" i="78"/>
  <c r="AN52" i="78"/>
  <c r="AN50" i="78"/>
  <c r="AN48" i="78"/>
  <c r="AN46" i="78"/>
  <c r="AN44" i="78"/>
  <c r="AN42" i="78"/>
  <c r="AN40" i="78"/>
  <c r="AN38" i="78"/>
  <c r="AN36" i="78"/>
  <c r="AN34" i="78"/>
  <c r="AN32" i="78"/>
  <c r="AN30" i="78"/>
  <c r="AN25" i="78"/>
  <c r="AN23" i="78"/>
  <c r="AN21" i="78"/>
  <c r="AN19" i="78"/>
  <c r="AN17" i="78"/>
  <c r="AN15" i="78"/>
  <c r="AN13" i="78"/>
  <c r="AN11" i="78"/>
  <c r="AN26" i="78"/>
  <c r="AN24" i="78"/>
  <c r="AN22" i="78"/>
  <c r="AN20" i="78"/>
  <c r="AN18" i="78"/>
  <c r="AN16" i="78"/>
  <c r="AN14" i="78"/>
  <c r="AN12" i="78"/>
  <c r="AN6" i="78"/>
  <c r="C95" i="9"/>
  <c r="C96" i="9" s="1"/>
  <c r="E96" i="9" s="1"/>
  <c r="E97" i="9" s="1"/>
  <c r="B30" i="72"/>
  <c r="D14" i="53"/>
  <c r="B32" i="72" s="1"/>
  <c r="G14" i="74"/>
  <c r="B6" i="74" s="1"/>
  <c r="D8" i="52"/>
  <c r="D123" i="9"/>
  <c r="D9" i="52" s="1"/>
  <c r="C97" i="9"/>
  <c r="D58" i="9" s="1"/>
  <c r="D56" i="9" s="1"/>
  <c r="M54" i="9" s="1"/>
  <c r="L66" i="9"/>
  <c r="M66" i="9" s="1"/>
  <c r="L68" i="9"/>
  <c r="M68" i="9" s="1"/>
  <c r="L65" i="9"/>
  <c r="M65" i="9" s="1"/>
  <c r="L67" i="9"/>
  <c r="M67" i="9" s="1"/>
  <c r="L64" i="9"/>
  <c r="M64" i="9" s="1"/>
  <c r="L63" i="9"/>
  <c r="M63" i="9" s="1"/>
  <c r="C68" i="9"/>
  <c r="D54" i="9" s="1"/>
  <c r="D59" i="9"/>
  <c r="M55" i="9" s="1"/>
  <c r="C79" i="9"/>
  <c r="AM33" i="78" l="1"/>
  <c r="AL32" i="78"/>
  <c r="AO6" i="78"/>
  <c r="AK6" i="78" s="1"/>
  <c r="AJ6" i="78"/>
  <c r="AO14" i="78"/>
  <c r="AK14" i="78" s="1"/>
  <c r="AJ14" i="78"/>
  <c r="AO18" i="78"/>
  <c r="AK18" i="78" s="1"/>
  <c r="AJ18" i="78"/>
  <c r="AO22" i="78"/>
  <c r="AK22" i="78" s="1"/>
  <c r="AJ22" i="78"/>
  <c r="AO26" i="78"/>
  <c r="AK26" i="78" s="1"/>
  <c r="AJ26" i="78"/>
  <c r="AO13" i="78"/>
  <c r="AK13" i="78" s="1"/>
  <c r="AJ13" i="78"/>
  <c r="AO17" i="78"/>
  <c r="AK17" i="78" s="1"/>
  <c r="AJ17" i="78"/>
  <c r="AO21" i="78"/>
  <c r="AK21" i="78" s="1"/>
  <c r="AJ21" i="78"/>
  <c r="AO25" i="78"/>
  <c r="AK25" i="78" s="1"/>
  <c r="AJ25" i="78"/>
  <c r="AO32" i="78"/>
  <c r="AK32" i="78" s="1"/>
  <c r="AJ32" i="78"/>
  <c r="AO36" i="78"/>
  <c r="AO40" i="78"/>
  <c r="AO44" i="78"/>
  <c r="AO48" i="78"/>
  <c r="AO52" i="78"/>
  <c r="AO35" i="78"/>
  <c r="AO39" i="78"/>
  <c r="AO43" i="78"/>
  <c r="AO47" i="78"/>
  <c r="AO51" i="78"/>
  <c r="AO12" i="78"/>
  <c r="AK12" i="78" s="1"/>
  <c r="AJ12" i="78"/>
  <c r="AO16" i="78"/>
  <c r="AK16" i="78" s="1"/>
  <c r="AJ16" i="78"/>
  <c r="AO20" i="78"/>
  <c r="AK20" i="78" s="1"/>
  <c r="AJ20" i="78"/>
  <c r="AO24" i="78"/>
  <c r="AK24" i="78" s="1"/>
  <c r="AJ24" i="78"/>
  <c r="AO11" i="78"/>
  <c r="AK11" i="78" s="1"/>
  <c r="AJ11" i="78"/>
  <c r="AO15" i="78"/>
  <c r="AK15" i="78" s="1"/>
  <c r="AJ15" i="78"/>
  <c r="AO19" i="78"/>
  <c r="AK19" i="78" s="1"/>
  <c r="AJ19" i="78"/>
  <c r="AO23" i="78"/>
  <c r="AK23" i="78" s="1"/>
  <c r="AJ23" i="78"/>
  <c r="AO30" i="78"/>
  <c r="AK30" i="78" s="1"/>
  <c r="AJ30" i="78"/>
  <c r="AO34" i="78"/>
  <c r="AO38" i="78"/>
  <c r="AO42" i="78"/>
  <c r="AO46" i="78"/>
  <c r="AO50" i="78"/>
  <c r="AO33" i="78"/>
  <c r="AO37" i="78"/>
  <c r="AO41" i="78"/>
  <c r="AO45" i="78"/>
  <c r="AO49" i="78"/>
  <c r="AN59" i="78"/>
  <c r="AN63" i="78"/>
  <c r="AN57" i="78"/>
  <c r="AN61" i="78"/>
  <c r="AN65" i="78"/>
  <c r="AN58" i="78"/>
  <c r="AN62" i="78"/>
  <c r="AN55" i="78"/>
  <c r="AO56" i="78"/>
  <c r="AO60" i="78"/>
  <c r="AO64" i="78"/>
  <c r="AN53" i="78"/>
  <c r="AN7" i="78"/>
  <c r="AN27" i="78"/>
  <c r="M69" i="9"/>
  <c r="N69" i="9" s="1"/>
  <c r="N57" i="9"/>
  <c r="N58" i="9" s="1"/>
  <c r="C80" i="9"/>
  <c r="E80" i="9" s="1"/>
  <c r="E81" i="9" s="1"/>
  <c r="C6" i="74"/>
  <c r="D6" i="74"/>
  <c r="AK33" i="78" l="1"/>
  <c r="AM34" i="78"/>
  <c r="AL33" i="78"/>
  <c r="AJ33" i="78" s="1"/>
  <c r="AO55" i="78"/>
  <c r="AO62" i="78"/>
  <c r="AO58" i="78"/>
  <c r="AO65" i="78"/>
  <c r="AO61" i="78"/>
  <c r="AO57" i="78"/>
  <c r="AO63" i="78"/>
  <c r="AO59" i="78"/>
  <c r="AO27" i="78"/>
  <c r="AK27" i="78" s="1"/>
  <c r="AJ27" i="78"/>
  <c r="AO7" i="78"/>
  <c r="AK7" i="78" s="1"/>
  <c r="AJ7" i="78"/>
  <c r="AO53" i="78"/>
  <c r="AN67" i="78"/>
  <c r="AO66" i="78"/>
  <c r="C81" i="9"/>
  <c r="P57" i="9"/>
  <c r="N59" i="9"/>
  <c r="N60" i="9" s="1"/>
  <c r="AM35" i="78" l="1"/>
  <c r="AL34" i="78"/>
  <c r="AJ34" i="78" s="1"/>
  <c r="AK34" i="78"/>
  <c r="AO67" i="78"/>
  <c r="N61" i="9"/>
  <c r="D35" i="9"/>
  <c r="D34" i="9"/>
  <c r="AM36" i="78" l="1"/>
  <c r="AL35" i="78"/>
  <c r="AJ35" i="78" s="1"/>
  <c r="AK35" i="78"/>
  <c r="C35" i="9"/>
  <c r="AM37" i="78" l="1"/>
  <c r="AL36" i="78"/>
  <c r="AJ36" i="78" s="1"/>
  <c r="AK36" i="78"/>
  <c r="F118" i="9"/>
  <c r="C34" i="9"/>
  <c r="D118" i="9" s="1"/>
  <c r="K118" i="9" l="1"/>
  <c r="AI4" i="78"/>
  <c r="AB6" i="78" s="1"/>
  <c r="AB7" i="78" s="1"/>
  <c r="AM38" i="78"/>
  <c r="AL37" i="78"/>
  <c r="AJ37" i="78" s="1"/>
  <c r="AK37" i="78"/>
  <c r="D119" i="9"/>
  <c r="D5" i="52" s="1"/>
  <c r="B49" i="72" s="1"/>
  <c r="D4" i="52"/>
  <c r="B47" i="72" s="1"/>
  <c r="F4" i="52"/>
  <c r="B51" i="72" s="1"/>
  <c r="F119" i="9"/>
  <c r="F5" i="52" s="1"/>
  <c r="B53" i="72" s="1"/>
  <c r="AH4" i="78"/>
  <c r="G118" i="9"/>
  <c r="Z9" i="78" l="1"/>
  <c r="V53" i="78" s="1"/>
  <c r="Z6" i="78"/>
  <c r="Z7" i="78" s="1"/>
  <c r="AA6" i="78"/>
  <c r="AM39" i="78"/>
  <c r="AL38" i="78"/>
  <c r="AJ38" i="78" s="1"/>
  <c r="AK38" i="78"/>
  <c r="G4" i="52"/>
  <c r="B52" i="72" s="1"/>
  <c r="E118" i="9"/>
  <c r="E4" i="52" s="1"/>
  <c r="B48" i="72" s="1"/>
  <c r="V31" i="78" l="1"/>
  <c r="V54" i="78"/>
  <c r="X54" i="78" s="1"/>
  <c r="G45" i="83" s="1"/>
  <c r="V33" i="78"/>
  <c r="V32" i="78"/>
  <c r="V30" i="78"/>
  <c r="V27" i="78"/>
  <c r="V29" i="78"/>
  <c r="V13" i="78"/>
  <c r="V15" i="78"/>
  <c r="V17" i="78"/>
  <c r="V19" i="78"/>
  <c r="V21" i="78"/>
  <c r="V23" i="78"/>
  <c r="V25" i="78"/>
  <c r="V12" i="78"/>
  <c r="V14" i="78"/>
  <c r="V16" i="78"/>
  <c r="V18" i="78"/>
  <c r="V20" i="78"/>
  <c r="V22" i="78"/>
  <c r="V24" i="78"/>
  <c r="V26" i="78"/>
  <c r="V11" i="78"/>
  <c r="V10" i="78"/>
  <c r="V7" i="78"/>
  <c r="V5" i="78"/>
  <c r="V6" i="78"/>
  <c r="AA7" i="78"/>
  <c r="V34" i="78" s="1"/>
  <c r="AM40" i="78"/>
  <c r="AL39" i="78"/>
  <c r="AJ39" i="78" s="1"/>
  <c r="AK39" i="78"/>
  <c r="V55" i="78" l="1"/>
  <c r="V64" i="78"/>
  <c r="V60" i="78"/>
  <c r="V56" i="78"/>
  <c r="V63" i="78"/>
  <c r="V59" i="78"/>
  <c r="V66" i="78"/>
  <c r="V62" i="78"/>
  <c r="V58" i="78"/>
  <c r="V65" i="78"/>
  <c r="V61" i="78"/>
  <c r="V57" i="78"/>
  <c r="V49" i="78"/>
  <c r="V45" i="78"/>
  <c r="V41" i="78"/>
  <c r="V37" i="78"/>
  <c r="V52" i="78"/>
  <c r="V48" i="78"/>
  <c r="V44" i="78"/>
  <c r="V40" i="78"/>
  <c r="V36" i="78"/>
  <c r="V51" i="78"/>
  <c r="V47" i="78"/>
  <c r="V43" i="78"/>
  <c r="V39" i="78"/>
  <c r="V35" i="78"/>
  <c r="V50" i="78"/>
  <c r="V46" i="78"/>
  <c r="V42" i="78"/>
  <c r="V38" i="78"/>
  <c r="V9" i="78"/>
  <c r="V28" i="78"/>
  <c r="V8" i="78"/>
  <c r="X31" i="78"/>
  <c r="G23" i="83" s="1"/>
  <c r="AM41" i="78"/>
  <c r="AL40" i="78"/>
  <c r="AJ40" i="78" s="1"/>
  <c r="AK40" i="78"/>
  <c r="AN5" i="78"/>
  <c r="AO5" i="78" s="1"/>
  <c r="V67" i="78" l="1"/>
  <c r="V68" i="78" s="1"/>
  <c r="W69" i="78" s="1"/>
  <c r="X29" i="78"/>
  <c r="X10" i="78"/>
  <c r="AM42" i="78"/>
  <c r="AL41" i="78"/>
  <c r="AJ41" i="78" s="1"/>
  <c r="AK41" i="78"/>
  <c r="AJ5" i="78"/>
  <c r="Z29" i="78" l="1"/>
  <c r="G22" i="83"/>
  <c r="Z10" i="78"/>
  <c r="G5" i="83"/>
  <c r="AM43" i="78"/>
  <c r="AL42" i="78"/>
  <c r="AJ42" i="78" s="1"/>
  <c r="AK42" i="78"/>
  <c r="AK5" i="78"/>
  <c r="AM44" i="78" l="1"/>
  <c r="AL43" i="78"/>
  <c r="AJ43" i="78" s="1"/>
  <c r="AK43" i="78"/>
  <c r="AM45" i="78" l="1"/>
  <c r="AL44" i="78"/>
  <c r="AJ44" i="78" s="1"/>
  <c r="AK44" i="78"/>
  <c r="AM46" i="78" l="1"/>
  <c r="AL45" i="78"/>
  <c r="AJ45" i="78" s="1"/>
  <c r="AK45" i="78"/>
  <c r="AM47" i="78" l="1"/>
  <c r="AL46" i="78"/>
  <c r="AJ46" i="78" s="1"/>
  <c r="AK46" i="78"/>
  <c r="AM48" i="78" l="1"/>
  <c r="AL47" i="78"/>
  <c r="AJ47" i="78" s="1"/>
  <c r="AK47" i="78"/>
  <c r="AM49" i="78" l="1"/>
  <c r="AL48" i="78"/>
  <c r="AJ48" i="78" s="1"/>
  <c r="AK48" i="78"/>
  <c r="AM50" i="78" l="1"/>
  <c r="AL49" i="78"/>
  <c r="AJ49" i="78" s="1"/>
  <c r="AK49" i="78"/>
  <c r="AM51" i="78" l="1"/>
  <c r="AL50" i="78"/>
  <c r="AJ50" i="78" s="1"/>
  <c r="AK50" i="78"/>
  <c r="AM52" i="78" l="1"/>
  <c r="AL51" i="78"/>
  <c r="AJ51" i="78" s="1"/>
  <c r="AK51" i="78"/>
  <c r="AM53" i="78" l="1"/>
  <c r="AL52" i="78"/>
  <c r="AJ52" i="78" s="1"/>
  <c r="AK52" i="78"/>
  <c r="AM54" i="78" l="1"/>
  <c r="AM55" i="78" s="1"/>
  <c r="AL53" i="78"/>
  <c r="AJ53" i="78" s="1"/>
  <c r="AK53" i="78"/>
  <c r="AM56" i="78" l="1"/>
  <c r="AL55" i="78"/>
  <c r="AJ55" i="78" s="1"/>
  <c r="AK55" i="78"/>
  <c r="AM57" i="78" l="1"/>
  <c r="AL56" i="78"/>
  <c r="AJ56" i="78" s="1"/>
  <c r="AK56" i="78"/>
  <c r="AM58" i="78" l="1"/>
  <c r="AL57" i="78"/>
  <c r="AJ57" i="78" s="1"/>
  <c r="AK57" i="78"/>
  <c r="AM59" i="78" l="1"/>
  <c r="AL58" i="78"/>
  <c r="AJ58" i="78" s="1"/>
  <c r="AK58" i="78"/>
  <c r="AM60" i="78" l="1"/>
  <c r="AL59" i="78"/>
  <c r="AJ59" i="78" s="1"/>
  <c r="AK59" i="78"/>
  <c r="AM61" i="78" l="1"/>
  <c r="AL60" i="78"/>
  <c r="AJ60" i="78" s="1"/>
  <c r="AK60" i="78"/>
  <c r="AM62" i="78" l="1"/>
  <c r="AL61" i="78"/>
  <c r="AJ61" i="78" s="1"/>
  <c r="AK61" i="78"/>
  <c r="AM63" i="78" l="1"/>
  <c r="AL62" i="78"/>
  <c r="AJ62" i="78" s="1"/>
  <c r="AK62" i="78"/>
  <c r="AM64" i="78" l="1"/>
  <c r="AL63" i="78"/>
  <c r="AJ63" i="78" s="1"/>
  <c r="AK63" i="78"/>
  <c r="AM65" i="78" l="1"/>
  <c r="AL64" i="78"/>
  <c r="AJ64" i="78" s="1"/>
  <c r="AK64" i="78"/>
  <c r="AM66" i="78" l="1"/>
  <c r="AL65" i="78"/>
  <c r="AJ65" i="78" s="1"/>
  <c r="AK65" i="78"/>
  <c r="AM67" i="78" l="1"/>
  <c r="AL66" i="78"/>
  <c r="AJ66" i="78" s="1"/>
  <c r="AK66" i="78"/>
  <c r="AL67" i="78" l="1"/>
  <c r="AJ67" i="78" s="1"/>
  <c r="AK67"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<sst xmlns="http://schemas.openxmlformats.org/spreadsheetml/2006/main" count="10124" uniqueCount="3798">
  <si>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</si>
  <si>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</si>
  <si>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</si>
  <si>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</si>
  <si>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</si>
  <si>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</si>
  <si>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</si>
  <si>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</si>
  <si>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</si>
  <si>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</si>
  <si>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</si>
  <si>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</si>
  <si>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</si>
  <si>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</si>
  <si>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</si>
  <si>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</si>
  <si>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</si>
  <si>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</si>
  <si>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</si>
  <si>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</si>
  <si>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</si>
  <si>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</si>
  <si>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</si>
  <si>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</si>
  <si>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</si>
  <si>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</si>
  <si>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</si>
  <si>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</si>
  <si>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</si>
  <si>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</si>
  <si>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</si>
  <si>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</si>
  <si>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</si>
  <si>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</si>
  <si>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</si>
  <si>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</si>
  <si>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</si>
  <si>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</si>
  <si>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</si>
  <si>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</si>
  <si>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</si>
  <si>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</si>
  <si>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</si>
  <si>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</si>
  <si>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</si>
  <si>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</si>
  <si>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</si>
  <si>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</si>
  <si>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</si>
  <si>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</si>
  <si>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</si>
  <si>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</si>
  <si>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</si>
  <si>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</si>
  <si>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</si>
  <si>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</si>
  <si>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</si>
  <si>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</si>
  <si>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</si>
  <si>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</si>
  <si>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</si>
  <si>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</si>
  <si>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</si>
  <si>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</si>
  <si>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</si>
  <si>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</si>
  <si>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</si>
  <si>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</si>
  <si>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</si>
  <si>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</si>
  <si>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</si>
  <si>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</si>
  <si>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</si>
  <si>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</si>
  <si>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</si>
  <si>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</si>
  <si>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</si>
  <si>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</si>
  <si>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</si>
  <si>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</si>
  <si>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</si>
  <si>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</si>
  <si>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</si>
  <si>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</si>
  <si>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</si>
  <si>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</si>
  <si>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</si>
  <si>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</si>
  <si>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</si>
  <si>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</si>
  <si>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</si>
  <si>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</si>
  <si>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</si>
  <si>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</si>
  <si>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</si>
  <si>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</si>
  <si>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</si>
  <si>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</si>
  <si>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</si>
  <si>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</si>
  <si>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</si>
  <si>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</si>
  <si>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</si>
  <si>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</si>
  <si>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</si>
  <si>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</si>
  <si>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</si>
  <si>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</si>
  <si>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</si>
  <si>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</si>
  <si>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</si>
  <si>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</si>
  <si>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</si>
  <si>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</si>
  <si>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</si>
  <si>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</si>
  <si>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</si>
  <si>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</si>
  <si>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</si>
  <si>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</si>
  <si>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</si>
  <si>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</si>
  <si>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</si>
  <si>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</si>
  <si>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</si>
  <si>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</si>
  <si>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</si>
  <si>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</si>
  <si>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</si>
  <si>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</si>
  <si>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</si>
  <si>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</si>
  <si>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</si>
  <si>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</si>
  <si>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</si>
  <si>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</si>
  <si>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</si>
  <si>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</si>
  <si>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</si>
  <si>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</si>
  <si>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</si>
  <si>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</si>
  <si>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</si>
  <si>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</si>
  <si>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</si>
  <si>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</si>
  <si>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</si>
  <si>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</si>
  <si>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</si>
  <si>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</si>
  <si>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</si>
  <si>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</si>
  <si>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</si>
  <si>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</si>
  <si>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</si>
  <si>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</si>
  <si>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</si>
  <si>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</si>
  <si>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</si>
  <si>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</si>
  <si>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</si>
  <si>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</si>
  <si>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</si>
  <si>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</si>
  <si>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</si>
  <si>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</si>
  <si>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</si>
  <si>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</si>
  <si>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</si>
  <si>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</si>
  <si>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</si>
  <si>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</si>
  <si>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</si>
  <si>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</si>
  <si>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</si>
  <si>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</si>
  <si>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</si>
  <si>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</si>
  <si>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</si>
  <si>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</si>
  <si>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</si>
  <si>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</si>
  <si>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</si>
  <si>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</si>
  <si>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</si>
  <si>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</si>
  <si>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</si>
  <si>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</si>
  <si>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</si>
  <si>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</si>
  <si>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</si>
  <si>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</si>
  <si>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</si>
  <si>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</si>
  <si>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</si>
  <si>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</si>
  <si>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</si>
  <si>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</si>
  <si>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</si>
  <si>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</si>
  <si>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</si>
  <si>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</si>
  <si>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</si>
  <si>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</si>
  <si>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</si>
  <si>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</si>
  <si>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</si>
  <si>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</si>
  <si>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</si>
  <si>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</si>
  <si>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</si>
  <si>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</si>
  <si>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</si>
  <si>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</si>
  <si>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</si>
  <si>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</si>
  <si>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</si>
  <si>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</si>
  <si>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</si>
  <si>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</si>
  <si>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</si>
  <si>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</si>
  <si>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</si>
  <si>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</si>
  <si>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</si>
  <si>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</si>
  <si>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</si>
  <si>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</si>
  <si>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</si>
  <si>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</si>
  <si>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</si>
  <si>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</si>
  <si>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</si>
  <si>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</si>
  <si>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</si>
  <si>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</si>
  <si>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</si>
  <si>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</si>
  <si>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</si>
  <si>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</si>
  <si>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</si>
  <si>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</si>
  <si>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</si>
  <si>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</si>
  <si>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</si>
  <si>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</si>
  <si>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</si>
  <si>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</si>
  <si>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</si>
  <si>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</si>
  <si>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</si>
  <si>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</si>
  <si>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</si>
  <si>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</si>
  <si>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</si>
  <si>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</si>
  <si>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</si>
  <si>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</si>
  <si>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</si>
  <si>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</si>
  <si>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</si>
  <si>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</si>
  <si>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</si>
  <si>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</si>
  <si>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</si>
  <si>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</si>
  <si>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</si>
  <si>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</si>
  <si>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</si>
  <si>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</si>
  <si>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</si>
  <si>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</si>
  <si>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</si>
  <si>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</si>
  <si>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</si>
  <si>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</si>
  <si>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</si>
  <si>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</si>
  <si>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</si>
  <si>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</si>
  <si>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</si>
  <si>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</si>
  <si>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</si>
  <si>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</si>
  <si>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</si>
  <si>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</si>
  <si>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</si>
  <si>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</si>
  <si>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</si>
  <si>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</si>
  <si>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</si>
  <si>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</si>
  <si>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</si>
  <si>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</si>
  <si>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</si>
  <si>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</si>
  <si>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</si>
  <si>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</si>
  <si>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</si>
  <si>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</si>
  <si>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</si>
  <si>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</si>
  <si>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</si>
  <si>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</si>
  <si>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</si>
  <si>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</si>
  <si>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</si>
  <si>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</si>
  <si>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</si>
  <si>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</si>
  <si>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</si>
  <si>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</si>
  <si>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</si>
  <si>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</si>
  <si>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</si>
  <si>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</si>
  <si>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</si>
  <si>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</si>
  <si>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</si>
  <si>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</si>
  <si>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</si>
  <si>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</si>
  <si>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</si>
  <si>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</si>
  <si>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</si>
  <si>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</si>
  <si>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</si>
  <si>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</si>
  <si>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</si>
  <si>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</si>
  <si>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</si>
  <si>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</si>
  <si>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</si>
  <si>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</si>
  <si>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</si>
  <si>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</si>
  <si>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</si>
  <si>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</si>
  <si>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</si>
  <si>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</si>
  <si>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</si>
  <si>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</si>
  <si>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</si>
  <si>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</si>
  <si>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</si>
  <si>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</si>
  <si>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</si>
  <si>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</si>
  <si>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</si>
  <si>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</si>
  <si>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</si>
  <si>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</si>
  <si>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</si>
  <si>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</si>
  <si>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</si>
  <si>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</si>
  <si>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</si>
  <si>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</si>
  <si>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</si>
  <si>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</si>
  <si>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</si>
  <si>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</si>
  <si>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</si>
  <si>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</si>
  <si>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</si>
  <si>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</si>
  <si>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</si>
  <si>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</si>
  <si>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</si>
  <si>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</si>
  <si>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</si>
  <si>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</si>
  <si>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</si>
  <si>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</si>
  <si>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</si>
  <si>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</si>
  <si>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</si>
  <si>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</si>
  <si>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</si>
  <si>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</si>
  <si>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</si>
  <si>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</si>
  <si>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</si>
  <si>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</si>
  <si>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</si>
  <si>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</si>
  <si>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</si>
  <si>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</si>
  <si>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</si>
  <si>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</si>
  <si>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</si>
  <si>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</si>
  <si>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</si>
  <si>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</si>
  <si>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</si>
  <si>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</si>
  <si>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</si>
  <si>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</si>
  <si>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</si>
  <si>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</si>
  <si>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</si>
  <si>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</si>
  <si>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</si>
  <si>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</si>
  <si>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</si>
  <si>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</si>
  <si>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</si>
  <si>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</si>
  <si>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</si>
  <si>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</si>
  <si>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</si>
  <si>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</si>
  <si>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</si>
  <si>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</si>
  <si>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</si>
  <si>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</si>
  <si>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</si>
  <si>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</si>
  <si>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</si>
  <si>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</si>
  <si>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</si>
  <si>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</si>
  <si>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</si>
  <si>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</si>
  <si>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</si>
  <si>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</si>
  <si>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</si>
  <si>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</si>
  <si>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</si>
  <si>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</si>
  <si>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</si>
  <si>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</si>
  <si>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</si>
  <si>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</si>
  <si>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</si>
  <si>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</si>
  <si>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</si>
  <si>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</si>
  <si>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</si>
  <si>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</si>
  <si>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</si>
  <si>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</si>
  <si>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</si>
  <si>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</si>
  <si>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</si>
  <si>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</si>
  <si>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</si>
  <si>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</si>
  <si>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</si>
  <si>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</si>
  <si>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</si>
  <si>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</si>
  <si>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</si>
  <si>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</si>
  <si>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</si>
  <si>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</si>
  <si>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</si>
  <si>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</si>
  <si>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</si>
  <si>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</si>
  <si>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</si>
  <si>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</si>
  <si>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</si>
  <si>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</si>
  <si>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</si>
  <si>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</si>
  <si>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</si>
  <si>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</si>
  <si>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</si>
  <si>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</si>
  <si>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</si>
  <si>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</si>
  <si>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</si>
  <si>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</si>
  <si>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</si>
  <si>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</si>
  <si>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</si>
  <si>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</si>
  <si>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</si>
  <si>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</si>
  <si>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</si>
  <si>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</si>
  <si>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</si>
  <si>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</si>
  <si>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</si>
  <si>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</si>
  <si>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</si>
  <si>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</si>
  <si>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</si>
  <si>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</si>
  <si>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</si>
  <si>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</si>
  <si>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</si>
  <si>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</si>
  <si>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</si>
  <si>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</si>
  <si>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</si>
  <si>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</si>
  <si>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</si>
  <si>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</si>
  <si>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</si>
  <si>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</si>
  <si>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</si>
  <si>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</si>
  <si>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</si>
  <si>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</si>
  <si>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</si>
  <si>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</si>
  <si>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</si>
  <si>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</si>
  <si>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</si>
  <si>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</si>
  <si>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</si>
  <si>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</si>
  <si>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</si>
  <si>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</si>
  <si>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</si>
  <si>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</si>
  <si>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</si>
  <si>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</si>
  <si>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</si>
  <si>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</si>
  <si>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</si>
  <si>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</si>
  <si>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</si>
  <si>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</si>
  <si>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</si>
  <si>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</si>
  <si>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</si>
  <si>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</si>
  <si>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</si>
  <si>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</si>
  <si>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</si>
  <si>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</si>
  <si>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</si>
  <si>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</si>
  <si>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</si>
  <si>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</si>
  <si>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</si>
  <si>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</si>
  <si>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</si>
  <si>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</si>
  <si>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</si>
  <si>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</si>
  <si>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</si>
  <si>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</si>
  <si>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</si>
  <si>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</si>
  <si>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</si>
  <si>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</si>
  <si>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</si>
  <si>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</si>
  <si>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</si>
  <si>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</si>
  <si>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</si>
  <si>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</si>
  <si>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</si>
  <si>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</si>
  <si>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</si>
  <si>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</si>
  <si>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</si>
  <si>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</si>
  <si>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</si>
  <si>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</si>
  <si>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</si>
  <si>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</si>
  <si>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</si>
  <si>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</si>
  <si>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</si>
  <si>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</si>
  <si>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</si>
  <si>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</si>
  <si>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</si>
  <si>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</si>
  <si>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</si>
  <si>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</si>
  <si>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</si>
  <si>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</si>
  <si>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</si>
  <si>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</si>
  <si>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</si>
  <si>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</si>
  <si>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</si>
  <si>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</si>
  <si>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</si>
  <si>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</si>
  <si>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</si>
  <si>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</si>
  <si>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</si>
  <si>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</si>
  <si>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</si>
  <si>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</si>
  <si>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</si>
  <si>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</si>
  <si>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</si>
  <si>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</si>
  <si>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</si>
  <si>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</si>
  <si>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</si>
  <si>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</si>
  <si>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</si>
  <si>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</si>
  <si>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</si>
  <si>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</si>
  <si>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</si>
  <si>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</si>
  <si>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</si>
  <si>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</si>
  <si>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</si>
  <si>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</si>
  <si>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</si>
  <si>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</si>
  <si>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</si>
  <si>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</si>
  <si>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</si>
  <si>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</si>
  <si>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</si>
  <si>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</si>
  <si>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</si>
  <si>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</si>
  <si>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</si>
  <si>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</si>
  <si>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</si>
  <si>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</si>
  <si>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</si>
  <si>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</si>
  <si>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</si>
  <si>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</si>
  <si>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</si>
  <si>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</si>
  <si>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</si>
  <si>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</si>
  <si>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</si>
  <si>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</si>
  <si>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</si>
  <si>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</si>
  <si>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</si>
  <si>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</si>
  <si>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</si>
  <si>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</si>
  <si>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</si>
  <si>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</si>
  <si>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</si>
  <si>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</si>
  <si>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</si>
  <si>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</si>
  <si>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</si>
  <si>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</si>
  <si>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</si>
  <si>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</si>
  <si>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</si>
  <si>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</si>
  <si>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</si>
  <si>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</si>
  <si>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</si>
  <si>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</si>
  <si>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</si>
  <si>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</si>
  <si>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</si>
  <si>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</si>
  <si>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</si>
  <si>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</si>
  <si>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</si>
  <si>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</si>
  <si>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</si>
  <si>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</si>
  <si>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</si>
  <si>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</si>
  <si>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</si>
  <si>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</si>
  <si>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</si>
  <si>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</si>
  <si>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</si>
  <si>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</si>
  <si>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</si>
  <si>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</si>
  <si>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</si>
  <si>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</si>
  <si>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</si>
  <si>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</si>
  <si>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</si>
  <si>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</si>
  <si>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</si>
  <si>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</si>
  <si>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</si>
  <si>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</si>
  <si>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</si>
  <si>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</si>
  <si>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</si>
  <si>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</si>
  <si>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</si>
  <si>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</si>
  <si>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</si>
  <si>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</si>
  <si>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</si>
  <si>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</si>
  <si>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</si>
  <si>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</si>
  <si>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</si>
  <si>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</si>
  <si>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</si>
  <si>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</si>
  <si>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</si>
  <si>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</si>
  <si>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</si>
  <si>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</si>
  <si>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</si>
  <si>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</si>
  <si>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</si>
  <si>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</si>
  <si>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</si>
  <si>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</si>
  <si>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</si>
  <si>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</si>
  <si>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</si>
  <si>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</si>
  <si>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</si>
  <si>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</si>
  <si>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</si>
  <si>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</si>
  <si>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</si>
  <si>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</si>
  <si>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</si>
  <si>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</si>
  <si>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</si>
  <si>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</si>
  <si>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</si>
  <si>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</si>
  <si>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</si>
  <si>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</si>
  <si>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</si>
  <si>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</si>
  <si>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</si>
  <si>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</si>
  <si>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</si>
  <si>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</si>
  <si>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</si>
  <si>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</si>
  <si>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</si>
  <si>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</si>
  <si>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</si>
  <si>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</si>
  <si>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</si>
  <si>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</si>
  <si>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</si>
  <si>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</si>
  <si>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</si>
  <si>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</si>
  <si>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</si>
  <si>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</si>
  <si>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</si>
  <si>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</si>
  <si>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</si>
  <si>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</si>
  <si>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</si>
  <si>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</si>
  <si>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</si>
  <si>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</si>
  <si>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</si>
  <si>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</si>
  <si>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</si>
  <si>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</si>
  <si>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</si>
  <si>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</si>
  <si>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</si>
  <si>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</si>
  <si>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</si>
  <si>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</si>
  <si>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</si>
  <si>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</si>
  <si>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</si>
  <si>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</si>
  <si>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</si>
  <si>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</si>
  <si>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</si>
  <si>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</si>
  <si>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</si>
  <si>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</si>
  <si>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</si>
  <si>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</si>
  <si>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</si>
  <si>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</si>
  <si>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</si>
  <si>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</si>
  <si>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</si>
  <si>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</si>
  <si>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</si>
  <si>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</si>
  <si>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</si>
  <si>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</si>
  <si>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</si>
  <si>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</si>
  <si>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</si>
  <si>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</si>
  <si>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</si>
  <si>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</si>
  <si>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</si>
  <si>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</si>
  <si>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</si>
  <si>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</si>
  <si>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</si>
  <si>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</si>
  <si>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</si>
  <si>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</si>
  <si>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</si>
  <si>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</si>
  <si>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</si>
  <si>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</si>
  <si>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</si>
  <si>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</si>
  <si>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</si>
  <si>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</si>
  <si>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</si>
  <si>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</si>
  <si>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</si>
  <si>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</si>
  <si>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</si>
  <si>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</si>
  <si>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</si>
  <si>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</si>
  <si>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</si>
  <si>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</si>
  <si>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</si>
  <si>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</si>
  <si>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</si>
  <si>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</si>
  <si>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</si>
  <si>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</si>
  <si>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</si>
  <si>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</si>
  <si>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</si>
  <si>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</si>
  <si>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</si>
  <si>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</si>
  <si>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</si>
  <si>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</si>
  <si>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</si>
  <si>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</si>
  <si>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</si>
  <si>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</si>
  <si>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</si>
  <si>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</si>
  <si>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</si>
  <si>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</si>
  <si>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</si>
  <si>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</si>
  <si>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</si>
  <si>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</si>
  <si>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</si>
  <si>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</si>
  <si>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</si>
  <si>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</si>
  <si>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</si>
  <si>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</si>
  <si>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</si>
  <si>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</si>
  <si>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</si>
  <si>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</si>
  <si>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</si>
  <si>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</si>
  <si>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</si>
  <si>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</si>
  <si>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</si>
  <si>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</si>
  <si>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</si>
  <si>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</si>
  <si>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</si>
  <si>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</si>
  <si>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</si>
  <si>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</si>
  <si>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</si>
  <si>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</si>
  <si>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</si>
  <si>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</si>
  <si>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</si>
  <si>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</si>
  <si>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</si>
  <si>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</si>
  <si>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</si>
  <si>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</si>
  <si>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</si>
  <si>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</si>
  <si>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</si>
  <si>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</si>
  <si>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</si>
  <si>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</si>
  <si>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</si>
  <si>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</si>
  <si>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</si>
  <si>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</si>
  <si>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</si>
  <si>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</si>
  <si>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</si>
  <si>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</si>
  <si>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</si>
  <si>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</si>
  <si>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</si>
  <si>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</si>
  <si>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</si>
  <si>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</si>
  <si>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</si>
  <si>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</si>
  <si>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</si>
  <si>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</si>
  <si>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</si>
  <si>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</si>
  <si>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</si>
  <si>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</si>
  <si>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</si>
  <si>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</si>
  <si>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</si>
  <si>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</si>
  <si>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</si>
  <si>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</si>
  <si>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</si>
  <si>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</si>
  <si>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</si>
  <si>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</si>
  <si>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</si>
  <si>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</si>
  <si>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</si>
  <si>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</si>
  <si>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</si>
  <si>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</si>
  <si>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</si>
  <si>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</si>
  <si>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</si>
  <si>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</si>
  <si>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</si>
  <si>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</si>
  <si>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</si>
  <si>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</si>
  <si>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</si>
  <si>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</si>
  <si>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</si>
  <si>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</si>
  <si>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</si>
  <si>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</si>
  <si>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</si>
  <si>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</si>
  <si>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</si>
  <si>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</si>
  <si>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</si>
  <si>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</si>
  <si>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</si>
  <si>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</si>
  <si>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</si>
  <si>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</si>
  <si>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</si>
  <si>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</si>
  <si>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</si>
  <si>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</si>
  <si>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</si>
  <si>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</si>
  <si>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</si>
  <si>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</si>
  <si>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</si>
  <si>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</si>
  <si>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</si>
  <si>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</si>
  <si>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</si>
  <si>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</si>
  <si>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</si>
  <si>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</si>
  <si>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</si>
  <si>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</si>
  <si>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</si>
  <si>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</si>
  <si>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</si>
  <si>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</si>
  <si>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</si>
  <si>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</si>
  <si>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</si>
  <si>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</si>
  <si>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</si>
  <si>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</si>
  <si>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</si>
  <si>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</si>
  <si>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</si>
  <si>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</si>
  <si>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</si>
  <si>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</si>
  <si>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</si>
  <si>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</si>
  <si>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</si>
  <si>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</si>
  <si>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</si>
  <si>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</si>
  <si>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</si>
  <si>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</si>
  <si>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</si>
  <si>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</si>
  <si>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</si>
  <si>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</si>
  <si>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</si>
  <si>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</si>
  <si>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</si>
  <si>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</si>
  <si>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</si>
  <si>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</si>
  <si>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</si>
  <si>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</si>
  <si>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</si>
  <si>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</si>
  <si>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</si>
  <si>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</si>
  <si>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</si>
  <si>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</si>
  <si>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</si>
  <si>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</si>
  <si>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</si>
  <si>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</si>
  <si>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</si>
  <si>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</si>
  <si>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</si>
  <si>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</si>
  <si>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</si>
  <si>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</si>
  <si>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</si>
  <si>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</si>
  <si>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</si>
  <si>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</si>
  <si>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</si>
  <si>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</si>
  <si>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</si>
  <si>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</si>
  <si>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</si>
  <si>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</si>
  <si>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</si>
  <si>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</si>
  <si>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</si>
  <si>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</si>
  <si>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</si>
  <si>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</si>
  <si>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</si>
  <si>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</si>
  <si>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</si>
  <si>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</si>
  <si>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</si>
  <si>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</si>
  <si>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</si>
  <si>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</si>
  <si>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</si>
  <si>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</si>
  <si>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</si>
  <si>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</si>
  <si>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</si>
  <si>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</si>
  <si>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</si>
  <si>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</si>
  <si>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</si>
  <si>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</si>
  <si>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</si>
  <si>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</si>
  <si>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</si>
  <si>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</si>
  <si>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</si>
  <si>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</si>
  <si>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</si>
  <si>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</si>
  <si>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</si>
  <si>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</si>
  <si>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</si>
  <si>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</si>
  <si>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</si>
  <si>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</si>
  <si>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</si>
  <si>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</si>
  <si>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</si>
  <si>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</si>
  <si>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</si>
  <si>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</si>
  <si>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</si>
  <si>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</si>
  <si>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</si>
  <si>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</si>
  <si>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</si>
  <si>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</si>
  <si>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</si>
  <si>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</si>
  <si>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</si>
  <si>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</si>
  <si>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</si>
  <si>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</si>
  <si>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</si>
  <si>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</si>
  <si>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</si>
  <si>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</si>
  <si>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</si>
  <si>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</si>
  <si>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</si>
  <si>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</si>
  <si>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</si>
  <si>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</si>
  <si>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</si>
  <si>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</si>
  <si>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</si>
  <si>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</si>
  <si>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</si>
  <si>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</si>
  <si>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</si>
  <si>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</si>
  <si>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</si>
  <si>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</si>
  <si>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</si>
  <si>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</si>
  <si>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</si>
  <si>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</si>
  <si>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</si>
  <si>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</si>
  <si>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</si>
  <si>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</si>
  <si>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</si>
  <si>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</si>
  <si>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</si>
  <si>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</si>
  <si>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</si>
  <si>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</si>
  <si>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</si>
  <si>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</si>
  <si>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</si>
  <si>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</si>
  <si>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</si>
  <si>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</si>
  <si>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</si>
  <si>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</si>
  <si>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</si>
  <si>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</si>
  <si>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</si>
  <si>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</si>
  <si>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</si>
  <si>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</si>
  <si>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</si>
  <si>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</si>
  <si>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</si>
  <si>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</si>
  <si>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</si>
  <si>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</si>
  <si>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</si>
  <si>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</si>
  <si>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</si>
  <si>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</si>
  <si>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</si>
  <si>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</si>
  <si>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</si>
  <si>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</si>
  <si>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</si>
  <si>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</si>
  <si>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</si>
  <si>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</si>
  <si>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</si>
  <si>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</si>
  <si>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</si>
  <si>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</si>
  <si>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</si>
  <si>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</si>
  <si>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</si>
  <si>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</si>
  <si>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</si>
  <si>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</si>
  <si>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</si>
  <si>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</si>
  <si>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</si>
  <si>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</si>
  <si>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</si>
  <si>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</si>
  <si>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</si>
  <si>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</si>
  <si>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</si>
  <si>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</si>
  <si>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</si>
  <si>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</si>
  <si>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</si>
  <si>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</si>
  <si>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</si>
  <si>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</si>
  <si>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</si>
  <si>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</si>
  <si>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</si>
  <si>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</si>
  <si>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</si>
  <si>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</si>
  <si>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</si>
  <si>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</si>
  <si>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</si>
  <si>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</si>
  <si>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</si>
  <si>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</si>
  <si>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</si>
  <si>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</si>
  <si>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</si>
  <si>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</si>
  <si>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</si>
  <si>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</si>
  <si>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</si>
  <si>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</si>
  <si>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</si>
  <si>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</si>
  <si>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</si>
  <si>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</si>
  <si>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</si>
  <si>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</si>
  <si>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</si>
  <si>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</si>
  <si>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</si>
  <si>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</si>
  <si>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</si>
  <si>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</si>
  <si>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</si>
  <si>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</si>
  <si>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</si>
  <si>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</si>
  <si>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</si>
  <si>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</si>
  <si>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</si>
  <si>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</si>
  <si>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</si>
  <si>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</si>
  <si>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</si>
  <si>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</si>
  <si>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</si>
  <si>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</si>
  <si>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</si>
  <si>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</si>
  <si>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</si>
  <si>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</si>
  <si>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</si>
  <si>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</si>
  <si>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</si>
  <si>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</si>
  <si>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</si>
  <si>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</si>
  <si>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</si>
  <si>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</si>
  <si>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</si>
  <si>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</si>
  <si>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</si>
  <si>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</si>
  <si>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</si>
  <si>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</si>
  <si>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</si>
  <si>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</si>
  <si>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</si>
  <si>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</si>
  <si>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</si>
  <si>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</si>
  <si>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</si>
  <si>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</si>
  <si>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</si>
  <si>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</si>
  <si>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</si>
  <si>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</si>
  <si>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</si>
  <si>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</si>
  <si>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</si>
  <si>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</si>
  <si>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</si>
  <si>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</si>
  <si>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</si>
  <si>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</si>
  <si>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</si>
  <si>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</si>
  <si>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</si>
  <si>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</si>
  <si>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</si>
  <si>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</si>
  <si>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</si>
  <si>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</si>
  <si>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</si>
  <si>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</si>
  <si>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</si>
  <si>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</si>
  <si>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</si>
  <si>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</si>
  <si>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</si>
  <si>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</si>
  <si>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</si>
  <si>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</si>
  <si>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</si>
  <si>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</si>
  <si>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</si>
  <si>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</si>
  <si>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</si>
  <si>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</si>
  <si>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</si>
  <si>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</si>
  <si>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</si>
  <si>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</si>
  <si>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</si>
  <si>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</si>
  <si>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</si>
  <si>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</si>
  <si>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</si>
  <si>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</si>
  <si>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</si>
  <si>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</si>
  <si>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</si>
  <si>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</si>
  <si>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</si>
  <si>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</si>
  <si>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</si>
  <si>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</si>
  <si>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</si>
  <si>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</si>
  <si>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</si>
  <si>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</si>
  <si>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</si>
  <si>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</si>
  <si>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</si>
  <si>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</si>
  <si>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</si>
  <si>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</si>
  <si>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</si>
  <si>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</si>
  <si>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</si>
  <si>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</si>
  <si>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</si>
  <si>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</si>
  <si>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</si>
  <si>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</si>
  <si>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</si>
  <si>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</si>
  <si>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</si>
  <si>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</si>
  <si>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</si>
  <si>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</si>
  <si>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</si>
  <si>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</si>
  <si>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</si>
  <si>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</si>
  <si>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</si>
  <si>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</si>
  <si>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</si>
  <si>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</si>
  <si>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</si>
  <si>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</si>
  <si>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</si>
  <si>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</si>
  <si>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</si>
  <si>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</si>
  <si>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</si>
  <si>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</si>
  <si>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</si>
  <si>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</si>
  <si>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</si>
  <si>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</si>
  <si>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</si>
  <si>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</si>
  <si>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</si>
  <si>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</si>
  <si>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</si>
  <si>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</si>
  <si>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</si>
  <si>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</si>
  <si>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</si>
  <si>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</si>
  <si>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</si>
  <si>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</si>
  <si>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</si>
  <si>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</si>
  <si>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</si>
  <si>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</si>
  <si>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</si>
  <si>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</si>
  <si>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</si>
  <si>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</si>
  <si>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</si>
  <si>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</si>
  <si>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</si>
  <si>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</si>
  <si>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</si>
  <si>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</si>
  <si>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</si>
  <si>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</si>
  <si>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</si>
  <si>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</si>
  <si>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</si>
  <si>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</si>
  <si>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</si>
  <si>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</si>
  <si>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</si>
  <si>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</si>
  <si>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</si>
  <si>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</si>
  <si>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</si>
  <si>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</si>
  <si>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</si>
  <si>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</si>
  <si>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</si>
  <si>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</si>
  <si>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</si>
  <si>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</si>
  <si>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</si>
  <si>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</si>
  <si>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</si>
  <si>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</si>
  <si>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</si>
  <si>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</si>
  <si>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</si>
  <si>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</si>
  <si>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</si>
  <si>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</si>
  <si>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</si>
  <si>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</si>
  <si>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</si>
  <si>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</si>
  <si>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</si>
  <si>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</si>
  <si>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</si>
  <si>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</si>
  <si>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</si>
  <si>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</si>
  <si>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</si>
  <si>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</si>
  <si>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</si>
  <si>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</si>
  <si>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</si>
  <si>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</si>
  <si>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</si>
  <si>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</si>
  <si>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</si>
  <si>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</si>
  <si>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</si>
  <si>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</si>
  <si>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</si>
  <si>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</si>
  <si>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</si>
  <si>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</si>
  <si>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</si>
  <si>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</si>
  <si>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</si>
  <si>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</si>
  <si>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</si>
  <si>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</si>
  <si>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</si>
  <si>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</si>
  <si>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</si>
  <si>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</si>
  <si>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</si>
  <si>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</si>
  <si>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</si>
  <si>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</si>
  <si>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</si>
  <si>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</si>
  <si>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</si>
  <si>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</si>
  <si>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</si>
  <si>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</si>
  <si>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</si>
  <si>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</si>
  <si>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</si>
  <si>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</si>
  <si>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</si>
  <si>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</si>
  <si>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</si>
  <si>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</si>
  <si>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</si>
  <si>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</si>
  <si>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</si>
  <si>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</si>
  <si>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</si>
  <si>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</si>
  <si>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</si>
  <si>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</si>
  <si>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</si>
  <si>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</si>
  <si>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</si>
  <si>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</si>
  <si>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</si>
  <si>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</si>
  <si>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</si>
  <si>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</si>
  <si>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</si>
  <si>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</si>
  <si>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</si>
  <si>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</si>
  <si>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</si>
  <si>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</si>
  <si>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</si>
  <si>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</si>
  <si>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</si>
  <si>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</si>
  <si>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</si>
  <si>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</si>
  <si>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</si>
  <si>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</si>
  <si>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</si>
  <si>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</si>
  <si>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</si>
  <si>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</si>
  <si>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</si>
  <si>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</si>
  <si>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</si>
  <si>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</si>
  <si>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</si>
  <si>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</si>
  <si>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</si>
  <si>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</si>
  <si>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</si>
  <si>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</si>
  <si>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</si>
  <si>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</si>
  <si>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</si>
  <si>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</si>
  <si>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</si>
  <si>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</si>
  <si>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</si>
  <si>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</si>
  <si>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</si>
  <si>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</si>
  <si>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</si>
  <si>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</si>
  <si>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</si>
  <si>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</si>
  <si>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</si>
  <si>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</si>
  <si>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</si>
  <si>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</si>
  <si>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</si>
  <si>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</si>
  <si>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</si>
  <si>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</si>
  <si>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</si>
  <si>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</si>
  <si>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</si>
  <si>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</si>
  <si>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</si>
  <si>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</si>
  <si>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</si>
  <si>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</si>
  <si>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</si>
  <si>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</si>
  <si>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</si>
  <si>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</si>
  <si>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</si>
  <si>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</si>
  <si>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</si>
  <si>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</si>
  <si>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</si>
  <si>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</si>
  <si>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</si>
  <si>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</si>
  <si>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</si>
  <si>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</si>
  <si>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</si>
  <si>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</si>
  <si>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</si>
  <si>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</si>
  <si>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</si>
  <si>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</si>
  <si>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</si>
  <si>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</si>
  <si>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</si>
  <si>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</si>
  <si>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</si>
  <si>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</si>
  <si>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</si>
  <si>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</si>
  <si>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</si>
  <si>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</si>
  <si>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</si>
  <si>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</si>
  <si>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</si>
  <si>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</si>
  <si>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</si>
  <si>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</si>
  <si>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</si>
  <si>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</si>
  <si>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</si>
  <si>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</si>
  <si>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</si>
  <si>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</si>
  <si>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</si>
  <si>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</si>
  <si>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</si>
  <si>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</si>
  <si>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</si>
  <si>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</si>
  <si>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</si>
  <si>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</si>
  <si>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</si>
  <si>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</si>
  <si>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</si>
  <si>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</si>
  <si>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</si>
  <si>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</si>
  <si>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</si>
  <si>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</si>
  <si>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</si>
  <si>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</si>
  <si>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</si>
  <si>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</si>
  <si>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</si>
  <si>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</si>
  <si>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</si>
  <si>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</si>
  <si>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</si>
  <si>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</si>
  <si>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</si>
  <si>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</si>
  <si>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</si>
  <si>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</si>
  <si>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</si>
  <si>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</si>
  <si>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</si>
  <si>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</si>
  <si>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</si>
  <si>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</si>
  <si>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</si>
  <si>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</si>
  <si>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</si>
  <si>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</si>
  <si>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</si>
  <si>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</si>
  <si>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</si>
  <si>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</si>
  <si>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</si>
  <si>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</si>
  <si>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</si>
  <si>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</si>
  <si>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</si>
  <si>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</si>
  <si>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</si>
  <si>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</si>
  <si>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</si>
  <si>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</si>
  <si>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</si>
  <si>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</si>
  <si>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</si>
  <si>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</si>
  <si>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</si>
  <si>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</si>
  <si>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</si>
  <si>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</si>
  <si>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</si>
  <si>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</si>
  <si>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</si>
  <si>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</si>
  <si>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</si>
  <si>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</si>
  <si>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</si>
  <si>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</si>
  <si>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</si>
  <si>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</si>
  <si>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</si>
  <si>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</si>
  <si>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</si>
  <si>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</si>
  <si>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</si>
  <si>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</si>
  <si>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</si>
  <si>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</si>
  <si>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</si>
  <si>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</si>
  <si>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</si>
  <si>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</si>
  <si>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</si>
  <si>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</si>
  <si>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</si>
  <si>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</si>
  <si>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</si>
  <si>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</si>
  <si>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</si>
  <si>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</si>
  <si>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</si>
  <si>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</si>
  <si>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</si>
  <si>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</si>
  <si>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</si>
  <si>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</si>
  <si>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</si>
  <si>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</si>
  <si>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</si>
  <si>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</si>
  <si>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</si>
  <si>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</si>
  <si>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</si>
  <si>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</si>
  <si>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</si>
  <si>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</si>
  <si>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</si>
  <si>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</si>
  <si>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</si>
  <si>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</si>
  <si>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</si>
  <si>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</si>
  <si>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</si>
  <si>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</si>
  <si>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</si>
  <si>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</si>
  <si>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</si>
  <si>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</si>
  <si>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</si>
  <si>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</si>
  <si>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</si>
  <si>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</si>
  <si>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</si>
  <si>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</si>
  <si>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</si>
  <si>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</si>
  <si>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</si>
  <si>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</si>
  <si>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</si>
  <si>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</si>
  <si>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</si>
  <si>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</si>
  <si>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</si>
  <si>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</si>
  <si>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</si>
  <si>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</si>
  <si>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</si>
  <si>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</si>
  <si>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</si>
  <si>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</si>
  <si>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</si>
  <si>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</si>
  <si>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</si>
  <si>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</si>
  <si>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</si>
  <si>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</si>
  <si>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</si>
  <si>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</si>
  <si>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</si>
  <si>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</si>
  <si>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</si>
  <si>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</si>
  <si>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</si>
  <si>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</si>
  <si>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</si>
  <si>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</si>
  <si>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</si>
  <si>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</si>
  <si>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</si>
  <si>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</si>
  <si>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</si>
  <si>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</si>
  <si>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</si>
  <si>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</si>
  <si>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</si>
  <si>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</si>
  <si>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</si>
  <si>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</si>
  <si>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</si>
  <si>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</si>
  <si>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</si>
  <si>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</si>
  <si>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</si>
  <si>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</si>
  <si>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</si>
  <si>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</si>
  <si>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</si>
  <si>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</si>
  <si>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</si>
  <si>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</si>
  <si>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</si>
  <si>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</si>
  <si>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</si>
  <si>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</si>
  <si>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</si>
  <si>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</si>
  <si>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</si>
  <si>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</si>
  <si>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</si>
  <si>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</si>
  <si>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</si>
  <si>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</si>
  <si>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</si>
  <si>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</si>
  <si>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</si>
  <si>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</si>
  <si>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</si>
  <si>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</si>
  <si>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</si>
  <si>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</si>
  <si>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</si>
  <si>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</si>
  <si>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</si>
  <si>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</si>
  <si>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</si>
  <si>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</si>
  <si>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</si>
  <si>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</si>
  <si>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</si>
  <si>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</si>
  <si>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</si>
  <si>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</si>
  <si>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</si>
  <si>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</si>
  <si>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</si>
  <si>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</si>
  <si>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</si>
  <si>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</si>
  <si>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</si>
  <si>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</si>
  <si>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</si>
  <si>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</si>
  <si>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</si>
  <si>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</si>
  <si>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</si>
  <si>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</si>
  <si>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</si>
  <si>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</si>
  <si>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</si>
  <si>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</si>
  <si>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</si>
  <si>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</si>
  <si>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</si>
  <si>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</si>
  <si>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</si>
  <si>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</si>
  <si>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</si>
  <si>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</si>
  <si>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</si>
  <si>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</si>
  <si>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</si>
  <si>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</si>
  <si>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</si>
  <si>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</si>
  <si>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</si>
  <si>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</si>
  <si>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</si>
  <si>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</si>
  <si>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</si>
  <si>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</si>
  <si>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</si>
  <si>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</si>
  <si>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</si>
  <si>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</si>
  <si>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</si>
  <si>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</si>
  <si>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</si>
  <si>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</si>
  <si>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</si>
  <si>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</si>
  <si>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</si>
  <si>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</si>
  <si>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</si>
  <si>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</si>
  <si>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</si>
  <si>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</si>
  <si>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</si>
  <si>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</si>
  <si>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</si>
  <si>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</si>
  <si>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</si>
  <si>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</si>
  <si>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</si>
  <si>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</si>
  <si>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</si>
  <si>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</si>
  <si>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</si>
  <si>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</si>
  <si>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</si>
  <si>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</si>
  <si>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</si>
  <si>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</si>
  <si>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</si>
  <si>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</si>
  <si>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</si>
  <si>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</si>
  <si>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</si>
  <si>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</si>
  <si>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</si>
  <si>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</si>
  <si>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</si>
  <si>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</si>
  <si>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</si>
  <si>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</si>
  <si>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</si>
  <si>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</si>
  <si>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</si>
  <si>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</si>
  <si>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</si>
  <si>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</si>
  <si>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</si>
  <si>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</si>
  <si>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</si>
  <si>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</si>
  <si>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</si>
  <si>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</si>
  <si>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</si>
  <si>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</si>
  <si>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</si>
  <si>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</si>
  <si>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</si>
  <si>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</si>
  <si>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</si>
  <si>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</si>
  <si>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</si>
  <si>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</si>
  <si>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</si>
  <si>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</si>
  <si>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</si>
  <si>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</si>
  <si>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</si>
  <si>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</si>
  <si>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</si>
  <si>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</si>
  <si>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</si>
  <si>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</si>
  <si>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</si>
  <si>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</si>
  <si>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</si>
  <si>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</si>
  <si>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</si>
  <si>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</si>
  <si>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</si>
  <si>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</si>
  <si>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</si>
  <si>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</si>
  <si>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</si>
  <si>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</si>
  <si>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</si>
  <si>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</si>
  <si>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</si>
  <si>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</si>
  <si>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</si>
  <si>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</si>
  <si>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</si>
  <si>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</si>
  <si>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</si>
  <si>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</si>
  <si>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</si>
  <si>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</si>
  <si>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</si>
  <si>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</si>
  <si>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</si>
  <si>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</si>
  <si>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</si>
  <si>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</si>
  <si>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</si>
  <si>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</si>
  <si>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</si>
  <si>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</si>
  <si>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</si>
  <si>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</si>
  <si>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</si>
  <si>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</si>
  <si>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</si>
  <si>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</si>
  <si>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</si>
  <si>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</si>
  <si>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</si>
  <si>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</si>
  <si>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</si>
  <si>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</si>
  <si>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</si>
  <si>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</si>
  <si>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</si>
  <si>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</si>
  <si>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</si>
  <si>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</si>
  <si>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</si>
  <si>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</si>
  <si>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</si>
  <si>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</si>
  <si>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</si>
  <si>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</si>
  <si>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</si>
  <si>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</si>
  <si>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</si>
  <si>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</si>
  <si>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</si>
  <si>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</si>
  <si>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</si>
  <si>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</si>
  <si>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</si>
  <si>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</si>
  <si>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</si>
  <si>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</si>
  <si>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</si>
  <si>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</si>
  <si>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</si>
  <si>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</si>
  <si>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</si>
  <si>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</si>
  <si>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</si>
  <si>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</si>
  <si>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</si>
  <si>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</si>
  <si>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</si>
  <si>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</si>
  <si>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</si>
  <si>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</si>
  <si>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</si>
  <si>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</si>
  <si>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</si>
  <si>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</si>
  <si>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</si>
  <si>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</si>
  <si>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</si>
  <si>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</si>
  <si>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</si>
  <si>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</si>
  <si>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</si>
  <si>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</si>
  <si>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</si>
  <si>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</si>
  <si>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</si>
  <si>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</si>
  <si>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</si>
  <si>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</si>
  <si>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</si>
  <si>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</si>
  <si>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</si>
  <si>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</si>
  <si>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</si>
  <si>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</si>
  <si>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</si>
  <si>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</si>
  <si>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</si>
  <si>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</si>
  <si>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</si>
  <si>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</si>
  <si>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</si>
  <si>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</si>
  <si>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</si>
  <si>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</si>
  <si>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</si>
  <si>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</si>
  <si>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</si>
  <si>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</si>
  <si>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</si>
  <si>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</si>
  <si>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</si>
  <si>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</si>
  <si>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</si>
  <si>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</si>
  <si>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</si>
  <si>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</si>
  <si>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</si>
  <si>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</si>
  <si>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</si>
  <si>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</si>
  <si>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</si>
  <si>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</si>
  <si>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</si>
  <si>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</si>
  <si>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</si>
  <si>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</si>
  <si>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</si>
  <si>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</si>
  <si>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</si>
  <si>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</si>
  <si>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</si>
  <si>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</si>
  <si>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</si>
  <si>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</si>
  <si>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</si>
  <si>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</si>
  <si>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</si>
  <si>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</si>
  <si>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</si>
  <si>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</si>
  <si>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</si>
  <si>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</si>
  <si>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</si>
  <si>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</si>
  <si>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</si>
  <si>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</si>
  <si>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</si>
  <si>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</si>
  <si>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</si>
  <si>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</si>
  <si>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</si>
  <si>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</si>
  <si>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</si>
  <si>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</si>
  <si>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</si>
  <si>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</si>
  <si>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</si>
  <si>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</si>
  <si>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</si>
  <si>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</si>
  <si>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</si>
  <si>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</si>
  <si>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</si>
  <si>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</si>
  <si>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</si>
  <si>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</si>
  <si>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</si>
  <si>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</si>
  <si>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</si>
  <si>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</si>
  <si>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</si>
  <si>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</si>
  <si>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</si>
  <si>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</si>
  <si>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</si>
  <si>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</si>
  <si>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</si>
  <si>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</si>
  <si>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</si>
  <si>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</si>
  <si>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</si>
  <si>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</si>
  <si>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</si>
  <si>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</si>
  <si>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</si>
  <si>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</si>
  <si>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</si>
  <si>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</si>
  <si>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</si>
  <si>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</si>
  <si>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</si>
  <si>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</si>
  <si>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</si>
  <si>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</si>
  <si>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</si>
  <si>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</si>
  <si>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</si>
  <si>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</si>
  <si>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</si>
  <si>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</si>
  <si>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</si>
  <si>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</si>
  <si>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</si>
  <si>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</si>
  <si>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</si>
  <si>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</si>
  <si>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</si>
  <si>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</si>
  <si>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</si>
  <si>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</si>
  <si>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</si>
  <si>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</si>
  <si>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</si>
  <si>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</si>
  <si>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</si>
  <si>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</si>
  <si>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</si>
  <si>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</si>
  <si>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</si>
  <si>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</si>
  <si>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</si>
  <si>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</si>
  <si>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</si>
  <si>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</si>
  <si>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</si>
  <si>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</si>
  <si>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</si>
  <si>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</si>
  <si>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</si>
  <si>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</si>
  <si>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</si>
  <si>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</si>
  <si>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</si>
  <si>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</si>
  <si>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</si>
  <si>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</si>
  <si>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</si>
  <si>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</si>
  <si>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</si>
  <si>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</si>
  <si>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</si>
  <si>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</si>
  <si>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</si>
  <si>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</si>
  <si>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</si>
  <si>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</si>
  <si>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</si>
  <si>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</si>
  <si>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</si>
  <si>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</si>
  <si>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</si>
  <si>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</si>
  <si>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</si>
  <si>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</si>
  <si>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</si>
  <si>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</si>
  <si>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</si>
  <si>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</si>
  <si>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</si>
  <si>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</si>
  <si>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</si>
  <si>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</si>
  <si>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</si>
  <si>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</si>
  <si>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</si>
  <si>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</si>
  <si>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</si>
  <si>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</si>
  <si>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</si>
  <si>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</si>
  <si>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</si>
  <si>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</si>
  <si>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</si>
  <si>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</si>
  <si>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</si>
  <si>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</si>
  <si>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</si>
  <si>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</si>
  <si>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</si>
  <si>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</si>
  <si>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</si>
  <si>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</si>
  <si>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</si>
  <si>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</si>
  <si>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</si>
  <si>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</si>
  <si>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</si>
  <si>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</si>
  <si>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</si>
  <si>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</si>
  <si>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</si>
  <si>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</si>
  <si>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</si>
  <si>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</si>
  <si>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</si>
  <si>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</si>
  <si>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</si>
  <si>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</si>
  <si>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</si>
  <si>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</si>
  <si>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</si>
  <si>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</si>
  <si>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</si>
  <si>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</si>
  <si>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</si>
  <si>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</si>
  <si>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</si>
  <si>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</si>
  <si>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</si>
  <si>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</si>
  <si>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</si>
  <si>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</si>
  <si>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</si>
  <si>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</si>
  <si>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</si>
  <si>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</si>
  <si>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</si>
  <si>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</si>
  <si>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</si>
  <si>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</si>
  <si>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</si>
  <si>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</si>
  <si>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</si>
  <si>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</si>
  <si>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</si>
  <si>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</si>
  <si>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</si>
  <si>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</si>
  <si>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</si>
  <si>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</si>
  <si>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</si>
  <si>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</si>
  <si>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</si>
  <si>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</si>
  <si>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</si>
  <si>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</si>
  <si>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</si>
  <si>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</si>
  <si>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</si>
  <si>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</si>
  <si>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</si>
  <si>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</si>
  <si>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</si>
  <si>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</si>
  <si>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</si>
  <si>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</si>
  <si>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</si>
  <si>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</si>
  <si>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</si>
  <si>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</si>
  <si>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</si>
  <si>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</si>
  <si>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</si>
  <si>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</si>
  <si>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</si>
  <si>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</si>
  <si>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</si>
  <si>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</si>
  <si>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</si>
  <si>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</si>
  <si>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</si>
  <si>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</si>
  <si>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</si>
  <si>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</si>
  <si>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</si>
  <si>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</si>
  <si>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</si>
  <si>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</si>
  <si>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</si>
  <si>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</si>
  <si>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</si>
  <si>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</si>
  <si>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</si>
  <si>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</si>
  <si>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</si>
  <si>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</si>
  <si>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</si>
  <si>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</si>
  <si>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</si>
  <si>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</si>
  <si>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</si>
  <si>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</si>
  <si>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</si>
  <si>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</si>
  <si>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</si>
  <si>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</si>
  <si>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</si>
  <si>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</si>
  <si>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</si>
  <si>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</si>
  <si>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</si>
  <si>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</si>
  <si>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</si>
  <si>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</si>
  <si>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</si>
  <si>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</si>
  <si>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</si>
  <si>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</si>
  <si>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</si>
  <si>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</si>
  <si>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</si>
  <si>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</si>
  <si>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</si>
  <si>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</si>
  <si>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</si>
  <si>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</si>
  <si>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</si>
  <si>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</si>
  <si>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</si>
  <si>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</si>
  <si>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</si>
  <si>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</si>
  <si>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</si>
  <si>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</si>
  <si>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</si>
  <si>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</si>
  <si>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</si>
  <si>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</si>
  <si>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</si>
  <si>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</si>
  <si>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</si>
  <si>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</si>
  <si>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</si>
  <si>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</si>
  <si>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</si>
  <si>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</si>
  <si>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</si>
  <si>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</si>
  <si>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</si>
  <si>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</si>
  <si>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</si>
  <si>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</si>
  <si>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</si>
  <si>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</si>
  <si>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</si>
  <si>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</si>
  <si>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</si>
  <si>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</si>
  <si>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</si>
  <si>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</si>
  <si>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</si>
  <si>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</si>
  <si>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</si>
  <si>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</si>
  <si>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</si>
  <si>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</si>
  <si>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</si>
  <si>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</si>
  <si>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</si>
  <si>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</si>
  <si>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</si>
  <si>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</si>
  <si>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</si>
  <si>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</si>
  <si>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</si>
  <si>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</si>
  <si>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</si>
  <si>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</si>
  <si>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</si>
  <si>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</si>
  <si>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</si>
  <si>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</si>
  <si>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</si>
  <si>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</si>
  <si>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</si>
  <si>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</si>
  <si>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</si>
  <si>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</si>
  <si>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</si>
  <si>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</si>
  <si>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</si>
  <si>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</si>
  <si>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</si>
  <si>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</si>
  <si>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</si>
  <si>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</si>
  <si>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</si>
  <si>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</si>
  <si>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</si>
  <si>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</si>
  <si>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</si>
  <si>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</si>
  <si>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</si>
  <si>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</si>
  <si>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</si>
  <si>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</si>
  <si>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</si>
  <si>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</si>
  <si>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</si>
  <si>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</si>
  <si>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</si>
  <si>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</si>
  <si>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</si>
  <si>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</si>
  <si>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</si>
  <si>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</si>
  <si>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</si>
  <si>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</si>
  <si>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</si>
  <si>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</si>
  <si>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</si>
  <si>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</si>
  <si>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</si>
  <si>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</si>
  <si>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</si>
  <si>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</si>
  <si>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</si>
  <si>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</si>
  <si>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</si>
  <si>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</si>
  <si>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</si>
  <si>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</si>
  <si>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</si>
  <si>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</si>
  <si>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</si>
  <si>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</si>
  <si>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</si>
  <si>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</si>
  <si>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</si>
  <si>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</si>
  <si>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</si>
  <si>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</si>
  <si>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</si>
  <si>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</si>
  <si>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</si>
  <si>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</si>
  <si>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</si>
  <si>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</si>
  <si>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</si>
  <si>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</si>
  <si>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</si>
  <si>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</si>
  <si>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</si>
  <si>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</si>
  <si>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</si>
  <si>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</si>
  <si>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</si>
  <si>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</si>
  <si>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</si>
  <si>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</si>
  <si>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</si>
  <si>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</si>
  <si>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</si>
  <si>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</si>
  <si>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</si>
  <si>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</si>
  <si>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</si>
  <si>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</si>
  <si>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</si>
  <si>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</si>
  <si>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</si>
  <si>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</si>
  <si>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</si>
  <si>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</si>
  <si>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</si>
  <si>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</si>
  <si>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</si>
  <si>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</si>
  <si>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</si>
  <si>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</si>
  <si>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</si>
  <si>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</si>
  <si>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</si>
  <si>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</si>
  <si>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</si>
  <si>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</si>
  <si>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</si>
  <si>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</si>
  <si>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</si>
  <si>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</si>
  <si>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</si>
  <si>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</si>
  <si>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</si>
  <si>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</si>
  <si>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</si>
  <si>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</si>
  <si>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</si>
  <si>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</si>
  <si>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</si>
  <si>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</si>
  <si>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</si>
  <si>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</si>
  <si>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</si>
  <si>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</si>
  <si>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</si>
  <si>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</si>
  <si>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</si>
  <si>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</si>
  <si>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</si>
  <si>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</si>
  <si>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</si>
  <si>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</si>
  <si>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</si>
  <si>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</si>
  <si>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</si>
  <si>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</si>
  <si>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</si>
  <si>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</si>
  <si>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</si>
  <si>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</si>
  <si>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</si>
  <si>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</si>
  <si>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</si>
  <si>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</si>
  <si>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</si>
  <si>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</si>
  <si>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</si>
  <si>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</si>
  <si>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</si>
  <si>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</si>
  <si>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</si>
  <si>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</si>
  <si>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</si>
  <si>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</si>
  <si>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</si>
  <si>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</si>
  <si>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</si>
  <si>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</si>
  <si>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</si>
  <si>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</si>
  <si>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</si>
  <si>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</si>
  <si>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</si>
  <si>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</si>
  <si>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</si>
  <si>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</si>
  <si>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</si>
  <si>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</si>
  <si>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</si>
  <si>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</si>
  <si>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</si>
  <si>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</si>
  <si>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</si>
  <si>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</si>
  <si>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</si>
  <si>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</si>
  <si>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</si>
  <si>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</si>
  <si>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</si>
  <si>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</si>
  <si>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</si>
  <si>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</si>
  <si>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</si>
  <si>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</si>
  <si>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</si>
  <si>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</si>
  <si>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</si>
  <si>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</si>
  <si>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</si>
  <si>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</si>
  <si>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</si>
  <si>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</si>
  <si>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</si>
  <si>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</si>
  <si>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</si>
  <si>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</si>
  <si>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</si>
  <si>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</si>
  <si>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</si>
  <si>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</si>
  <si>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</si>
  <si>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</si>
  <si>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</si>
  <si>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</si>
  <si>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</si>
  <si>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</si>
  <si>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</si>
  <si>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</si>
  <si>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</si>
  <si>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</si>
  <si>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</si>
  <si>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</si>
  <si>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</si>
  <si>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</si>
  <si>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</si>
  <si>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</si>
  <si>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</si>
  <si>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</si>
  <si>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</si>
  <si>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</si>
  <si>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</si>
  <si>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</si>
  <si>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</si>
  <si>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</si>
  <si>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</si>
  <si>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</si>
  <si>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</si>
  <si>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</si>
  <si>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</si>
  <si>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</si>
  <si>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</si>
  <si>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</si>
  <si>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</si>
  <si>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</si>
  <si>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</si>
  <si>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</si>
  <si>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</si>
  <si>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</si>
  <si>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</si>
  <si>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</si>
  <si>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</si>
  <si>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</si>
  <si>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</si>
  <si>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</si>
  <si>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</si>
  <si>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</si>
  <si>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</si>
  <si>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</si>
  <si>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</si>
  <si>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</si>
  <si>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</si>
  <si>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</si>
  <si>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</si>
  <si>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</si>
  <si>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</si>
  <si>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</si>
  <si>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</si>
  <si>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</si>
  <si>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</si>
  <si>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</si>
  <si>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</si>
  <si>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</si>
  <si>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</si>
  <si>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</si>
  <si>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</si>
  <si>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</si>
  <si>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</si>
  <si>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</si>
  <si>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</si>
  <si>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</si>
  <si>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</si>
  <si>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</si>
  <si>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</si>
  <si>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</si>
  <si>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</si>
  <si>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</si>
  <si>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</si>
  <si>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</si>
  <si>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</si>
  <si>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</si>
  <si>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</si>
  <si>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</si>
  <si>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</si>
  <si>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</si>
  <si>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</si>
  <si>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</si>
  <si>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</si>
  <si>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</si>
  <si>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</si>
  <si>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</si>
  <si>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</si>
  <si>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</si>
  <si>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</si>
  <si>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</si>
  <si>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</si>
  <si>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</si>
  <si>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</si>
  <si>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</si>
  <si>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</si>
  <si>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</si>
  <si>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</si>
  <si>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</si>
  <si>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</si>
  <si>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</si>
  <si>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</si>
  <si>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</si>
  <si>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</si>
  <si>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</si>
  <si>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</si>
  <si>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</si>
  <si>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</si>
  <si>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</si>
  <si>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</si>
  <si>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</si>
  <si>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</si>
  <si>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</si>
  <si>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</si>
  <si>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</si>
  <si>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</si>
  <si>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</si>
  <si>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</si>
  <si>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</si>
  <si>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</si>
  <si>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</si>
  <si>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</si>
  <si>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</si>
  <si>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</si>
  <si>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</si>
  <si>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</si>
  <si>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</si>
  <si>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</si>
  <si>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</si>
  <si>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</si>
  <si>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</si>
  <si>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</si>
  <si>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</si>
  <si>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</si>
  <si>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</si>
  <si>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</si>
  <si>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</si>
  <si>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</si>
  <si>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</si>
  <si>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</si>
  <si>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</si>
  <si>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</si>
  <si>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</si>
  <si>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</si>
  <si>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</si>
  <si>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</si>
  <si>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</si>
  <si>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</si>
  <si>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</si>
  <si>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</si>
  <si>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</si>
  <si>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</si>
  <si>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</si>
  <si>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</si>
  <si>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</si>
  <si>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</si>
  <si>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</si>
  <si>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</si>
  <si>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</si>
  <si>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</si>
  <si>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</si>
  <si>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</si>
  <si>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</si>
  <si>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</si>
  <si>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</si>
  <si>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</si>
  <si>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</si>
  <si>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</si>
  <si>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</si>
  <si>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</si>
  <si>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</si>
  <si>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</si>
  <si>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</si>
  <si>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</si>
  <si>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</si>
  <si>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</si>
  <si>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</si>
  <si>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</si>
  <si>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</si>
  <si>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</si>
  <si>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</si>
  <si>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</si>
  <si>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</si>
  <si>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</si>
  <si>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</si>
  <si>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</si>
  <si>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</si>
  <si>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</si>
  <si>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</si>
  <si>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</si>
  <si>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</si>
  <si>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</si>
  <si>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</si>
  <si>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</si>
  <si>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</si>
  <si>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</si>
  <si>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</si>
  <si>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</si>
  <si>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</si>
  <si>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</si>
  <si>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</si>
  <si>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</si>
  <si>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</si>
  <si>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</si>
  <si>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</si>
  <si>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</si>
  <si>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</si>
  <si>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</si>
  <si>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</si>
  <si>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</si>
  <si>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</si>
  <si>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</si>
  <si>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</si>
  <si>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</si>
  <si>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</si>
  <si>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</si>
  <si>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</si>
  <si>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</si>
  <si>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</si>
  <si>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</si>
  <si>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</si>
  <si>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</si>
  <si>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</si>
  <si>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</si>
  <si>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</si>
  <si>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</si>
  <si>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</si>
  <si>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</si>
  <si>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</si>
  <si>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</si>
  <si>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</si>
  <si>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</si>
  <si>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</si>
  <si>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</si>
  <si>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</si>
  <si>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</si>
  <si>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</si>
  <si>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</si>
  <si>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</si>
  <si>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</si>
  <si>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</si>
  <si>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</si>
  <si>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</si>
  <si>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</si>
  <si>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</si>
  <si>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</si>
  <si>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</si>
  <si>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</si>
  <si>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</si>
  <si>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</si>
  <si>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</si>
  <si>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</si>
  <si>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</si>
  <si>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</si>
  <si>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</si>
  <si>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</si>
  <si>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</si>
  <si>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</si>
  <si>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</si>
  <si>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</si>
  <si>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</si>
  <si>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</si>
  <si>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</si>
  <si>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</si>
  <si>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</si>
  <si>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</si>
  <si>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</si>
  <si>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</si>
  <si>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</si>
  <si>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</si>
  <si>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</si>
  <si>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</si>
  <si>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</si>
  <si>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</si>
  <si>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</si>
  <si>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</si>
  <si>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</si>
  <si>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</si>
  <si>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</si>
  <si>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</si>
  <si>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</si>
  <si>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</si>
  <si>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</si>
  <si>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</si>
  <si>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</si>
  <si>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</si>
  <si>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</si>
  <si>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</si>
  <si>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</si>
  <si>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</si>
  <si>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</si>
  <si>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</si>
  <si>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</si>
  <si>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</si>
  <si>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</si>
  <si>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</si>
  <si>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</si>
  <si>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</si>
  <si>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</si>
  <si>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</si>
  <si>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</si>
  <si>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</si>
  <si>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</si>
  <si>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</si>
  <si>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</si>
  <si>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</si>
  <si>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</si>
  <si>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</si>
  <si>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</si>
  <si>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</si>
  <si>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</si>
  <si>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</si>
  <si>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</si>
  <si>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</si>
  <si>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</si>
  <si>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</si>
  <si>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</si>
  <si>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</si>
  <si>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</si>
  <si>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</si>
  <si>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</si>
  <si>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</si>
  <si>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</si>
  <si>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</si>
  <si>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</si>
  <si>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</si>
  <si>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</si>
  <si>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</si>
  <si>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</si>
  <si>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</si>
  <si>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</si>
  <si>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</si>
  <si>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</si>
  <si>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</si>
  <si>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</si>
  <si>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</si>
  <si>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</si>
  <si>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</si>
  <si>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</si>
  <si>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</si>
  <si>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</si>
  <si>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</si>
  <si>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</si>
  <si>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</si>
  <si>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</si>
  <si>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</si>
  <si>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</si>
  <si>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</si>
  <si>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</si>
  <si>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</si>
  <si>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</si>
  <si>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</si>
  <si>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</si>
  <si>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</si>
  <si>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</si>
  <si>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</si>
  <si>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</si>
  <si>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</si>
  <si>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</si>
  <si>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</si>
  <si>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</si>
  <si>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</si>
  <si>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</si>
  <si>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</si>
  <si>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</si>
  <si>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</si>
  <si>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</si>
  <si>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</si>
  <si>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</si>
  <si>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</si>
  <si>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</si>
  <si>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</si>
  <si>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</si>
  <si>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</si>
  <si>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</si>
  <si>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</si>
  <si>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</si>
  <si>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</si>
  <si>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</si>
  <si>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</si>
  <si>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</si>
  <si>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</si>
  <si>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</si>
  <si>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</si>
  <si>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</si>
  <si>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</si>
  <si>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</si>
  <si>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</si>
  <si>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</si>
  <si>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</si>
  <si>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</si>
  <si>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</si>
  <si>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</si>
  <si>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</si>
  <si>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</si>
  <si>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</si>
  <si>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</si>
  <si>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</si>
  <si>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</si>
  <si>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</si>
  <si>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</si>
  <si>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</si>
  <si>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</si>
  <si>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</si>
  <si>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</si>
  <si>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</si>
  <si>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</si>
  <si>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</si>
  <si>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</si>
  <si>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</si>
  <si>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</si>
  <si>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</si>
  <si>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</si>
  <si>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</si>
  <si>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</si>
  <si>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</si>
  <si>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</si>
  <si>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</si>
  <si>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</si>
  <si>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</si>
  <si>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</si>
  <si>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</si>
  <si>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</si>
  <si>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</si>
  <si>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</si>
  <si>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</si>
  <si>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</si>
  <si>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</si>
  <si>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</si>
  <si>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</si>
  <si>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</si>
  <si>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</si>
  <si>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</si>
  <si>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</si>
  <si>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</si>
  <si>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</si>
  <si>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</si>
  <si>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</si>
  <si>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</si>
  <si>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</si>
  <si>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</si>
  <si>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</si>
  <si>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</si>
  <si>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</si>
  <si>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</si>
  <si>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</si>
  <si>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</si>
  <si>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</si>
  <si>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</si>
  <si>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</si>
  <si>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</si>
  <si>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</si>
  <si>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</si>
  <si>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</si>
  <si>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</si>
  <si>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</si>
  <si>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</si>
  <si>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</si>
  <si>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</si>
  <si>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</si>
  <si>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</si>
  <si>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</si>
  <si>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</si>
  <si>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</si>
  <si>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</si>
  <si>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</si>
  <si>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</si>
  <si>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</si>
  <si>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</si>
  <si>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</si>
  <si>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</si>
  <si>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</si>
  <si>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</si>
  <si>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</si>
  <si>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</si>
  <si>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</si>
  <si>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</si>
  <si>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</si>
  <si>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</si>
  <si>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</si>
  <si>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</si>
  <si>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</si>
  <si>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</si>
  <si>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</si>
  <si>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</si>
  <si>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</si>
  <si>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</si>
  <si>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</si>
  <si>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</si>
  <si>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</si>
  <si>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</si>
  <si>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</si>
  <si>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</si>
  <si>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</si>
  <si>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</si>
  <si>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</si>
  <si>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</si>
  <si>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</si>
  <si>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</si>
  <si>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</si>
  <si>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</si>
  <si>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</si>
  <si>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</si>
  <si>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</si>
  <si>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</si>
  <si>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</si>
  <si>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</si>
  <si>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</si>
  <si>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</si>
  <si>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</si>
  <si>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</si>
  <si>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</si>
  <si>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</si>
  <si>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</si>
  <si>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</si>
  <si>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</si>
  <si>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</si>
  <si>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</si>
  <si>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</si>
  <si>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</si>
  <si>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</si>
  <si>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</si>
  <si>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</si>
  <si>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</si>
  <si>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</si>
  <si>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</si>
  <si>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</si>
  <si>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</si>
  <si>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</si>
  <si>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</si>
  <si>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</si>
  <si>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</si>
  <si>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</si>
  <si>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</si>
  <si>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</si>
  <si>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</si>
  <si>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</si>
  <si>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</si>
  <si>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</si>
  <si>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</si>
  <si>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</si>
  <si>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</si>
  <si>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</si>
  <si>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</si>
  <si>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</si>
  <si>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</si>
  <si>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</si>
  <si>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</si>
  <si>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</si>
  <si>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</si>
  <si>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</si>
  <si>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</si>
  <si>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</si>
  <si>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</si>
  <si>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</si>
  <si>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</si>
  <si>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</si>
  <si>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</si>
  <si>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</si>
  <si>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</si>
  <si>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</si>
  <si>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</si>
  <si>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</si>
  <si>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</si>
  <si>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</si>
  <si>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</si>
  <si>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</si>
  <si>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</si>
  <si>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</si>
  <si>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</si>
  <si>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</si>
  <si>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</si>
  <si>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</si>
  <si>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</si>
  <si>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</si>
  <si>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</si>
  <si>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</si>
  <si>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</si>
  <si>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</si>
  <si>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</si>
  <si>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</si>
  <si>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</si>
  <si>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</si>
  <si>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</si>
  <si>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</si>
  <si>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</si>
  <si>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</si>
  <si>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</si>
  <si>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</si>
  <si>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</si>
  <si>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</si>
  <si>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</si>
  <si>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</si>
  <si>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</si>
  <si>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</si>
  <si>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楼号</t>
  </si>
  <si>
    <t>地上</t>
  </si>
  <si>
    <t>地下</t>
  </si>
  <si>
    <t>戊类厂房</t>
  </si>
  <si>
    <t>集体宿舍</t>
  </si>
  <si>
    <t>汽车库</t>
  </si>
  <si>
    <t>餐厅、厨房</t>
  </si>
  <si>
    <t>厂房</t>
  </si>
  <si>
    <t>设备机房及其他</t>
  </si>
  <si>
    <t>设备</t>
  </si>
  <si>
    <t>总计</t>
  </si>
  <si>
    <r>
      <t>一区</t>
    </r>
    <r>
      <rPr>
        <sz val="10"/>
        <color rgb="FF000000"/>
        <rFont val="Arial"/>
        <family val="2"/>
      </rPr>
      <t>1</t>
    </r>
    <r>
      <rPr>
        <sz val="10"/>
        <color rgb="FF000000"/>
        <rFont val="华文细黑"/>
        <family val="3"/>
        <charset val="134"/>
      </rPr>
      <t>号楼</t>
    </r>
  </si>
  <si>
    <r>
      <t>一区</t>
    </r>
    <r>
      <rPr>
        <sz val="10"/>
        <color rgb="FF000000"/>
        <rFont val="Arial"/>
        <family val="2"/>
      </rPr>
      <t>2</t>
    </r>
    <r>
      <rPr>
        <sz val="10"/>
        <color rgb="FF000000"/>
        <rFont val="华文细黑"/>
        <family val="3"/>
        <charset val="134"/>
      </rPr>
      <t>号楼</t>
    </r>
  </si>
  <si>
    <r>
      <t>一区</t>
    </r>
    <r>
      <rPr>
        <sz val="10"/>
        <color rgb="FF000000"/>
        <rFont val="Arial"/>
        <family val="2"/>
      </rPr>
      <t>101</t>
    </r>
    <r>
      <rPr>
        <sz val="10"/>
        <color rgb="FF000000"/>
        <rFont val="华文细黑"/>
        <family val="3"/>
        <charset val="134"/>
      </rPr>
      <t>幢</t>
    </r>
  </si>
  <si>
    <r>
      <t>一区</t>
    </r>
    <r>
      <rPr>
        <sz val="10"/>
        <color rgb="FF000000"/>
        <rFont val="Arial"/>
        <family val="2"/>
      </rPr>
      <t>3</t>
    </r>
    <r>
      <rPr>
        <sz val="10"/>
        <color rgb="FF000000"/>
        <rFont val="华文细黑"/>
        <family val="3"/>
        <charset val="134"/>
      </rPr>
      <t>号楼</t>
    </r>
  </si>
  <si>
    <r>
      <t>一区</t>
    </r>
    <r>
      <rPr>
        <sz val="10"/>
        <color rgb="FF000000"/>
        <rFont val="Arial"/>
        <family val="2"/>
      </rPr>
      <t>4</t>
    </r>
    <r>
      <rPr>
        <sz val="10"/>
        <color rgb="FF000000"/>
        <rFont val="华文细黑"/>
        <family val="3"/>
        <charset val="134"/>
      </rPr>
      <t>号楼</t>
    </r>
  </si>
  <si>
    <r>
      <t>一区</t>
    </r>
    <r>
      <rPr>
        <sz val="10"/>
        <color rgb="FF000000"/>
        <rFont val="Arial"/>
        <family val="2"/>
      </rPr>
      <t>5</t>
    </r>
    <r>
      <rPr>
        <sz val="10"/>
        <color rgb="FF000000"/>
        <rFont val="华文细黑"/>
        <family val="3"/>
        <charset val="134"/>
      </rPr>
      <t>号楼</t>
    </r>
  </si>
  <si>
    <r>
      <t>二区</t>
    </r>
    <r>
      <rPr>
        <sz val="10"/>
        <color rgb="FF000000"/>
        <rFont val="Arial"/>
        <family val="2"/>
      </rPr>
      <t>1</t>
    </r>
    <r>
      <rPr>
        <sz val="10"/>
        <color rgb="FF000000"/>
        <rFont val="华文细黑"/>
        <family val="3"/>
        <charset val="134"/>
      </rPr>
      <t>号楼</t>
    </r>
  </si>
  <si>
    <r>
      <t>二区</t>
    </r>
    <r>
      <rPr>
        <sz val="10"/>
        <color rgb="FF000000"/>
        <rFont val="Arial"/>
        <family val="2"/>
      </rPr>
      <t>2</t>
    </r>
    <r>
      <rPr>
        <sz val="10"/>
        <color rgb="FF000000"/>
        <rFont val="华文细黑"/>
        <family val="3"/>
        <charset val="134"/>
      </rPr>
      <t>号楼</t>
    </r>
  </si>
  <si>
    <r>
      <t>二区</t>
    </r>
    <r>
      <rPr>
        <sz val="10"/>
        <color rgb="FF000000"/>
        <rFont val="Arial"/>
        <family val="2"/>
      </rPr>
      <t>3</t>
    </r>
    <r>
      <rPr>
        <sz val="10"/>
        <color rgb="FF000000"/>
        <rFont val="华文细黑"/>
        <family val="3"/>
        <charset val="134"/>
      </rPr>
      <t>号楼</t>
    </r>
  </si>
  <si>
    <r>
      <t>二区</t>
    </r>
    <r>
      <rPr>
        <sz val="10"/>
        <color rgb="FF000000"/>
        <rFont val="Arial"/>
        <family val="2"/>
      </rPr>
      <t>4</t>
    </r>
    <r>
      <rPr>
        <sz val="10"/>
        <color rgb="FF000000"/>
        <rFont val="华文细黑"/>
        <family val="3"/>
        <charset val="134"/>
      </rPr>
      <t>号楼</t>
    </r>
  </si>
  <si>
    <r>
      <t>二区</t>
    </r>
    <r>
      <rPr>
        <sz val="10"/>
        <color rgb="FF000000"/>
        <rFont val="Arial"/>
        <family val="2"/>
      </rPr>
      <t>5</t>
    </r>
    <r>
      <rPr>
        <sz val="10"/>
        <color rgb="FF000000"/>
        <rFont val="华文细黑"/>
        <family val="3"/>
        <charset val="134"/>
      </rPr>
      <t>号楼</t>
    </r>
  </si>
  <si>
    <r>
      <t>二区</t>
    </r>
    <r>
      <rPr>
        <sz val="10"/>
        <color rgb="FF000000"/>
        <rFont val="Arial"/>
        <family val="2"/>
      </rPr>
      <t>6</t>
    </r>
    <r>
      <rPr>
        <sz val="10"/>
        <color rgb="FF000000"/>
        <rFont val="华文细黑"/>
        <family val="3"/>
        <charset val="134"/>
      </rPr>
      <t>号楼</t>
    </r>
  </si>
  <si>
    <r>
      <t>二区</t>
    </r>
    <r>
      <rPr>
        <sz val="10"/>
        <color rgb="FF000000"/>
        <rFont val="Arial"/>
        <family val="2"/>
      </rPr>
      <t>7</t>
    </r>
    <r>
      <rPr>
        <sz val="10"/>
        <color rgb="FF000000"/>
        <rFont val="华文细黑"/>
        <family val="3"/>
        <charset val="134"/>
      </rPr>
      <t>号楼</t>
    </r>
  </si>
  <si>
    <r>
      <t>二区</t>
    </r>
    <r>
      <rPr>
        <sz val="10"/>
        <color rgb="FF000000"/>
        <rFont val="Arial"/>
        <family val="2"/>
      </rPr>
      <t>8</t>
    </r>
    <r>
      <rPr>
        <sz val="10"/>
        <color rgb="FF000000"/>
        <rFont val="华文细黑"/>
        <family val="3"/>
        <charset val="134"/>
      </rPr>
      <t>号楼</t>
    </r>
  </si>
  <si>
    <r>
      <t>二区</t>
    </r>
    <r>
      <rPr>
        <sz val="10"/>
        <color rgb="FF000000"/>
        <rFont val="Arial"/>
        <family val="2"/>
      </rPr>
      <t>9</t>
    </r>
    <r>
      <rPr>
        <sz val="10"/>
        <color rgb="FF000000"/>
        <rFont val="华文细黑"/>
        <family val="3"/>
        <charset val="134"/>
      </rPr>
      <t>号楼</t>
    </r>
  </si>
  <si>
    <r>
      <t>二区</t>
    </r>
    <r>
      <rPr>
        <sz val="10"/>
        <color rgb="FF000000"/>
        <rFont val="Arial"/>
        <family val="2"/>
      </rPr>
      <t>10</t>
    </r>
    <r>
      <rPr>
        <sz val="10"/>
        <color rgb="FF000000"/>
        <rFont val="华文细黑"/>
        <family val="3"/>
        <charset val="134"/>
      </rPr>
      <t>号楼</t>
    </r>
  </si>
  <si>
    <r>
      <t>二区</t>
    </r>
    <r>
      <rPr>
        <sz val="10"/>
        <color rgb="FF000000"/>
        <rFont val="Arial"/>
        <family val="2"/>
      </rPr>
      <t>11</t>
    </r>
    <r>
      <rPr>
        <sz val="10"/>
        <color rgb="FF000000"/>
        <rFont val="华文细黑"/>
        <family val="3"/>
        <charset val="134"/>
      </rPr>
      <t>号楼</t>
    </r>
  </si>
  <si>
    <r>
      <t>二区</t>
    </r>
    <r>
      <rPr>
        <sz val="10"/>
        <color rgb="FF000000"/>
        <rFont val="Arial"/>
        <family val="2"/>
      </rPr>
      <t>12</t>
    </r>
    <r>
      <rPr>
        <sz val="10"/>
        <color rgb="FF000000"/>
        <rFont val="华文细黑"/>
        <family val="3"/>
        <charset val="134"/>
      </rPr>
      <t>号楼</t>
    </r>
  </si>
  <si>
    <r>
      <t>二区</t>
    </r>
    <r>
      <rPr>
        <sz val="10"/>
        <color rgb="FF000000"/>
        <rFont val="Arial"/>
        <family val="2"/>
      </rPr>
      <t>13</t>
    </r>
    <r>
      <rPr>
        <sz val="10"/>
        <color rgb="FF000000"/>
        <rFont val="华文细黑"/>
        <family val="3"/>
        <charset val="134"/>
      </rPr>
      <t>号楼</t>
    </r>
  </si>
  <si>
    <r>
      <t>二区</t>
    </r>
    <r>
      <rPr>
        <sz val="10"/>
        <color rgb="FF000000"/>
        <rFont val="Arial"/>
        <family val="2"/>
      </rPr>
      <t>101</t>
    </r>
    <r>
      <rPr>
        <sz val="10"/>
        <color rgb="FF000000"/>
        <rFont val="华文细黑"/>
        <family val="3"/>
        <charset val="134"/>
      </rPr>
      <t>幢</t>
    </r>
  </si>
  <si>
    <r>
      <t>四区</t>
    </r>
    <r>
      <rPr>
        <sz val="10"/>
        <color rgb="FF000000"/>
        <rFont val="Arial"/>
        <family val="2"/>
      </rPr>
      <t>3</t>
    </r>
    <r>
      <rPr>
        <sz val="10"/>
        <color rgb="FF000000"/>
        <rFont val="华文细黑"/>
        <family val="3"/>
        <charset val="134"/>
      </rPr>
      <t>号楼</t>
    </r>
  </si>
  <si>
    <t>宿舍</t>
  </si>
  <si>
    <r>
      <t>2#</t>
    </r>
    <r>
      <rPr>
        <sz val="10"/>
        <color theme="1"/>
        <rFont val="华文细黑"/>
        <family val="3"/>
        <charset val="134"/>
      </rPr>
      <t>宿舍</t>
    </r>
  </si>
  <si>
    <r>
      <t>三区</t>
    </r>
    <r>
      <rPr>
        <sz val="10"/>
        <color theme="1"/>
        <rFont val="Arial"/>
        <family val="2"/>
      </rPr>
      <t>1</t>
    </r>
    <r>
      <rPr>
        <sz val="10"/>
        <color theme="1"/>
        <rFont val="华文细黑"/>
        <family val="3"/>
        <charset val="134"/>
      </rPr>
      <t>号楼</t>
    </r>
  </si>
  <si>
    <r>
      <t>25#</t>
    </r>
    <r>
      <rPr>
        <sz val="10"/>
        <color theme="1"/>
        <rFont val="华文细黑"/>
        <family val="3"/>
        <charset val="134"/>
      </rPr>
      <t>厂房</t>
    </r>
    <r>
      <rPr>
        <sz val="10"/>
        <color theme="1"/>
        <rFont val="Arial"/>
        <family val="2"/>
      </rPr>
      <t>-A</t>
    </r>
  </si>
  <si>
    <r>
      <t>三区</t>
    </r>
    <r>
      <rPr>
        <sz val="10"/>
        <color theme="1"/>
        <rFont val="Arial"/>
        <family val="2"/>
      </rPr>
      <t>2</t>
    </r>
    <r>
      <rPr>
        <sz val="10"/>
        <color theme="1"/>
        <rFont val="华文细黑"/>
        <family val="3"/>
        <charset val="134"/>
      </rPr>
      <t>号楼</t>
    </r>
  </si>
  <si>
    <r>
      <t>25#</t>
    </r>
    <r>
      <rPr>
        <sz val="10"/>
        <color theme="1"/>
        <rFont val="华文细黑"/>
        <family val="3"/>
        <charset val="134"/>
      </rPr>
      <t>厂房</t>
    </r>
    <r>
      <rPr>
        <sz val="10"/>
        <color theme="1"/>
        <rFont val="Arial"/>
        <family val="2"/>
      </rPr>
      <t>-B</t>
    </r>
  </si>
  <si>
    <r>
      <t>三区</t>
    </r>
    <r>
      <rPr>
        <sz val="10"/>
        <color theme="1"/>
        <rFont val="Arial"/>
        <family val="2"/>
      </rPr>
      <t>3</t>
    </r>
    <r>
      <rPr>
        <sz val="10"/>
        <color theme="1"/>
        <rFont val="华文细黑"/>
        <family val="3"/>
        <charset val="134"/>
      </rPr>
      <t>号楼</t>
    </r>
  </si>
  <si>
    <r>
      <t>32#</t>
    </r>
    <r>
      <rPr>
        <sz val="10"/>
        <color theme="1"/>
        <rFont val="华文细黑"/>
        <family val="3"/>
        <charset val="134"/>
      </rPr>
      <t>厂房</t>
    </r>
    <r>
      <rPr>
        <sz val="10"/>
        <color theme="1"/>
        <rFont val="Arial"/>
        <family val="2"/>
      </rPr>
      <t>-A</t>
    </r>
  </si>
  <si>
    <r>
      <t>三区</t>
    </r>
    <r>
      <rPr>
        <sz val="10"/>
        <color theme="1"/>
        <rFont val="Arial"/>
        <family val="2"/>
      </rPr>
      <t>4</t>
    </r>
    <r>
      <rPr>
        <sz val="10"/>
        <color theme="1"/>
        <rFont val="华文细黑"/>
        <family val="3"/>
        <charset val="134"/>
      </rPr>
      <t>号楼</t>
    </r>
  </si>
  <si>
    <t>北区车库</t>
  </si>
  <si>
    <t>设备用房</t>
  </si>
  <si>
    <r>
      <t>48#</t>
    </r>
    <r>
      <rPr>
        <sz val="10"/>
        <color theme="1"/>
        <rFont val="华文细黑"/>
        <family val="3"/>
        <charset val="134"/>
      </rPr>
      <t>厂房</t>
    </r>
  </si>
  <si>
    <r>
      <t>四区</t>
    </r>
    <r>
      <rPr>
        <sz val="10"/>
        <color theme="1"/>
        <rFont val="Arial"/>
        <family val="2"/>
      </rPr>
      <t>4</t>
    </r>
    <r>
      <rPr>
        <sz val="10"/>
        <color theme="1"/>
        <rFont val="华文细黑"/>
        <family val="3"/>
        <charset val="134"/>
      </rPr>
      <t>号楼</t>
    </r>
  </si>
  <si>
    <r>
      <t>47#</t>
    </r>
    <r>
      <rPr>
        <sz val="10"/>
        <color theme="1"/>
        <rFont val="华文细黑"/>
        <family val="3"/>
        <charset val="134"/>
      </rPr>
      <t>厂房</t>
    </r>
  </si>
  <si>
    <r>
      <t>四区</t>
    </r>
    <r>
      <rPr>
        <sz val="10"/>
        <color theme="1"/>
        <rFont val="Arial"/>
        <family val="2"/>
      </rPr>
      <t>5</t>
    </r>
    <r>
      <rPr>
        <sz val="10"/>
        <color theme="1"/>
        <rFont val="华文细黑"/>
        <family val="3"/>
        <charset val="134"/>
      </rPr>
      <t>号楼</t>
    </r>
  </si>
  <si>
    <r>
      <t>43#</t>
    </r>
    <r>
      <rPr>
        <sz val="10"/>
        <color theme="1"/>
        <rFont val="华文细黑"/>
        <family val="3"/>
        <charset val="134"/>
      </rPr>
      <t>厂房</t>
    </r>
  </si>
  <si>
    <r>
      <t>四区</t>
    </r>
    <r>
      <rPr>
        <sz val="10"/>
        <color theme="1"/>
        <rFont val="Arial"/>
        <family val="2"/>
      </rPr>
      <t>6</t>
    </r>
    <r>
      <rPr>
        <sz val="10"/>
        <color theme="1"/>
        <rFont val="华文细黑"/>
        <family val="3"/>
        <charset val="134"/>
      </rPr>
      <t>号楼</t>
    </r>
  </si>
  <si>
    <r>
      <t>40#</t>
    </r>
    <r>
      <rPr>
        <sz val="10"/>
        <color theme="1"/>
        <rFont val="华文细黑"/>
        <family val="3"/>
        <charset val="134"/>
      </rPr>
      <t>厂房</t>
    </r>
  </si>
  <si>
    <r>
      <t>四区</t>
    </r>
    <r>
      <rPr>
        <sz val="10"/>
        <color theme="1"/>
        <rFont val="Arial"/>
        <family val="2"/>
      </rPr>
      <t>7</t>
    </r>
    <r>
      <rPr>
        <sz val="10"/>
        <color theme="1"/>
        <rFont val="华文细黑"/>
        <family val="3"/>
        <charset val="134"/>
      </rPr>
      <t>号楼</t>
    </r>
  </si>
  <si>
    <r>
      <t>36#</t>
    </r>
    <r>
      <rPr>
        <sz val="10"/>
        <color theme="1"/>
        <rFont val="华文细黑"/>
        <family val="3"/>
        <charset val="134"/>
      </rPr>
      <t>厂房</t>
    </r>
  </si>
  <si>
    <r>
      <t>四区</t>
    </r>
    <r>
      <rPr>
        <sz val="10"/>
        <color theme="1"/>
        <rFont val="Arial"/>
        <family val="2"/>
      </rPr>
      <t>8</t>
    </r>
    <r>
      <rPr>
        <sz val="10"/>
        <color theme="1"/>
        <rFont val="华文细黑"/>
        <family val="3"/>
        <charset val="134"/>
      </rPr>
      <t>号楼</t>
    </r>
  </si>
  <si>
    <r>
      <t>46#</t>
    </r>
    <r>
      <rPr>
        <sz val="10"/>
        <color theme="1"/>
        <rFont val="华文细黑"/>
        <family val="3"/>
        <charset val="134"/>
      </rPr>
      <t>厂房</t>
    </r>
  </si>
  <si>
    <r>
      <t>四区</t>
    </r>
    <r>
      <rPr>
        <sz val="10"/>
        <color theme="1"/>
        <rFont val="Arial"/>
        <family val="2"/>
      </rPr>
      <t>9</t>
    </r>
    <r>
      <rPr>
        <sz val="10"/>
        <color theme="1"/>
        <rFont val="华文细黑"/>
        <family val="3"/>
        <charset val="134"/>
      </rPr>
      <t>号楼</t>
    </r>
  </si>
  <si>
    <r>
      <t>39#</t>
    </r>
    <r>
      <rPr>
        <sz val="10"/>
        <color theme="1"/>
        <rFont val="华文细黑"/>
        <family val="3"/>
        <charset val="134"/>
      </rPr>
      <t>厂房</t>
    </r>
  </si>
  <si>
    <r>
      <t>四区</t>
    </r>
    <r>
      <rPr>
        <sz val="10"/>
        <color theme="1"/>
        <rFont val="Arial"/>
        <family val="2"/>
      </rPr>
      <t>10</t>
    </r>
    <r>
      <rPr>
        <sz val="10"/>
        <color theme="1"/>
        <rFont val="华文细黑"/>
        <family val="3"/>
        <charset val="134"/>
      </rPr>
      <t>号楼</t>
    </r>
  </si>
  <si>
    <r>
      <t>37#</t>
    </r>
    <r>
      <rPr>
        <sz val="10"/>
        <color theme="1"/>
        <rFont val="华文细黑"/>
        <family val="3"/>
        <charset val="134"/>
      </rPr>
      <t>厂房</t>
    </r>
  </si>
  <si>
    <r>
      <t>四区</t>
    </r>
    <r>
      <rPr>
        <sz val="10"/>
        <color theme="1"/>
        <rFont val="Arial"/>
        <family val="2"/>
      </rPr>
      <t>11</t>
    </r>
    <r>
      <rPr>
        <sz val="10"/>
        <color theme="1"/>
        <rFont val="华文细黑"/>
        <family val="3"/>
        <charset val="134"/>
      </rPr>
      <t>号楼</t>
    </r>
  </si>
  <si>
    <r>
      <t>45#</t>
    </r>
    <r>
      <rPr>
        <sz val="10"/>
        <color theme="1"/>
        <rFont val="华文细黑"/>
        <family val="3"/>
        <charset val="134"/>
      </rPr>
      <t>厂房</t>
    </r>
  </si>
  <si>
    <r>
      <t>四区</t>
    </r>
    <r>
      <rPr>
        <sz val="10"/>
        <color theme="1"/>
        <rFont val="Arial"/>
        <family val="2"/>
      </rPr>
      <t>12</t>
    </r>
    <r>
      <rPr>
        <sz val="10"/>
        <color theme="1"/>
        <rFont val="华文细黑"/>
        <family val="3"/>
        <charset val="134"/>
      </rPr>
      <t>号楼</t>
    </r>
  </si>
  <si>
    <r>
      <t>44#</t>
    </r>
    <r>
      <rPr>
        <sz val="10"/>
        <color theme="1"/>
        <rFont val="华文细黑"/>
        <family val="3"/>
        <charset val="134"/>
      </rPr>
      <t>厂房</t>
    </r>
  </si>
  <si>
    <r>
      <t>四区</t>
    </r>
    <r>
      <rPr>
        <sz val="10"/>
        <color theme="1"/>
        <rFont val="Arial"/>
        <family val="2"/>
      </rPr>
      <t>13</t>
    </r>
    <r>
      <rPr>
        <sz val="10"/>
        <color theme="1"/>
        <rFont val="华文细黑"/>
        <family val="3"/>
        <charset val="134"/>
      </rPr>
      <t>号楼</t>
    </r>
  </si>
  <si>
    <t>南区车库</t>
  </si>
  <si>
    <r>
      <t>四区</t>
    </r>
    <r>
      <rPr>
        <sz val="10"/>
        <color theme="1"/>
        <rFont val="Arial"/>
        <family val="2"/>
      </rPr>
      <t>16</t>
    </r>
    <r>
      <rPr>
        <sz val="10"/>
        <color theme="1"/>
        <rFont val="华文细黑"/>
        <family val="3"/>
        <charset val="134"/>
      </rPr>
      <t>幢</t>
    </r>
  </si>
  <si>
    <t>抵押</t>
  </si>
  <si>
    <t>房地产抵押价值</t>
  </si>
  <si>
    <t>北京市</t>
  </si>
  <si>
    <t>企业</t>
  </si>
  <si>
    <t>出让</t>
  </si>
  <si>
    <t>现房</t>
  </si>
  <si>
    <t>是</t>
  </si>
  <si>
    <t>标准厂房</t>
  </si>
  <si>
    <t>仓储</t>
  </si>
  <si>
    <t>车库</t>
  </si>
  <si>
    <t>地上厂房</t>
    <phoneticPr fontId="140" type="noConversion"/>
  </si>
  <si>
    <t>地下厂房</t>
  </si>
  <si>
    <t>地下厂房</t>
    <phoneticPr fontId="140" type="noConversion"/>
  </si>
  <si>
    <t>地下车库</t>
    <phoneticPr fontId="140" type="noConversion"/>
  </si>
  <si>
    <t>地上设备</t>
    <phoneticPr fontId="140" type="noConversion"/>
  </si>
  <si>
    <t>地下设备</t>
    <phoneticPr fontId="140" type="noConversion"/>
  </si>
  <si>
    <t>厂房</t>
    <phoneticPr fontId="3" type="noConversion"/>
  </si>
  <si>
    <t>地下厂房</t>
    <phoneticPr fontId="3" type="noConversion"/>
  </si>
  <si>
    <t>地下车库</t>
    <phoneticPr fontId="3" type="noConversion"/>
  </si>
  <si>
    <t>合计</t>
    <phoneticPr fontId="140" type="noConversion"/>
  </si>
  <si>
    <t>成本法</t>
  </si>
  <si>
    <t>收益法（汇总）</t>
  </si>
  <si>
    <t>总价</t>
  </si>
  <si>
    <t>地块名称</t>
  </si>
  <si>
    <t>地块编号</t>
  </si>
  <si>
    <t>区县</t>
  </si>
  <si>
    <t>板块</t>
  </si>
  <si>
    <t>土地位置</t>
  </si>
  <si>
    <t>用地性质</t>
  </si>
  <si>
    <t>建设用地面积(㎡)</t>
  </si>
  <si>
    <t>规划建筑面积(㎡)</t>
  </si>
  <si>
    <t>容积率</t>
  </si>
  <si>
    <t>详细规划</t>
  </si>
  <si>
    <t>成交日期</t>
  </si>
  <si>
    <t>公告编号</t>
  </si>
  <si>
    <t>成交状态</t>
  </si>
  <si>
    <t>受让单位</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</si>
  <si>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</si>
  <si>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</si>
  <si>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</si>
  <si>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</si>
  <si>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</si>
  <si>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</si>
  <si>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</si>
  <si>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</si>
  <si>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</si>
  <si>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</si>
  <si>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</si>
  <si>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</si>
  <si>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</si>
  <si>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</si>
  <si>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北京石化新材料科技产业基地核心区东区B7-13、B7-18地块工业用地项目    </t>
  </si>
  <si>
    <t xml:space="preserve"> 京土整储挂(房)工业【2021】001号</t>
  </si>
  <si>
    <t xml:space="preserve"> 房山区</t>
  </si>
  <si>
    <t xml:space="preserve"> 东风街道</t>
  </si>
  <si>
    <t xml:space="preserve"> 房山区城关街道前、后朱各庄村</t>
  </si>
  <si>
    <t xml:space="preserve"> 工业用地</t>
  </si>
  <si>
    <t xml:space="preserve"> ≤1.0</t>
  </si>
  <si>
    <t xml:space="preserve"> M1一类工业用地</t>
  </si>
  <si>
    <t xml:space="preserve"> -- </t>
  </si>
  <si>
    <t xml:space="preserve"> --</t>
  </si>
  <si>
    <t xml:space="preserve"> 已成交</t>
  </si>
  <si>
    <t xml:space="preserve"> 北京燕和盛投资管理有限公司  </t>
  </si>
  <si>
    <t xml:space="preserve"> 20年</t>
  </si>
  <si>
    <t xml:space="preserve">北京高端制造业基地06街区03地块工业用地项目   </t>
  </si>
  <si>
    <t xml:space="preserve"> 京土整储挂(房)工业【2020】002号</t>
  </si>
  <si>
    <t xml:space="preserve"> 房山区窦店镇、良乡镇</t>
  </si>
  <si>
    <t xml:space="preserve"> ≤1.6</t>
  </si>
  <si>
    <t xml:space="preserve"> M4工业研发用地(医药健康产业)</t>
  </si>
  <si>
    <t xml:space="preserve"> 北京京东方生命科技有限公司  </t>
  </si>
  <si>
    <t xml:space="preserve">北京高端制造业基地01街区01-02(2)地块工业用地项目    </t>
  </si>
  <si>
    <t xml:space="preserve"> 京土整储挂(房)工业[2020]001号</t>
  </si>
  <si>
    <t xml:space="preserve"> 房山区窦店镇</t>
  </si>
  <si>
    <t xml:space="preserve"> ≤1.2</t>
  </si>
  <si>
    <t xml:space="preserve"> 北京高端制造业基地投资开发有限公司  </t>
  </si>
  <si>
    <t xml:space="preserve">北京高端制造业基地06街区02地块项目   </t>
  </si>
  <si>
    <t xml:space="preserve"> 京土整储挂(房)工业〔2019〕002号</t>
  </si>
  <si>
    <t xml:space="preserve"> 房山区窦店</t>
  </si>
  <si>
    <t xml:space="preserve"> M4工业研发用地、S4社会停车场用地</t>
  </si>
  <si>
    <t xml:space="preserve">北京高端制造业(房山)基地01街区01-02(1)地块工业用地项目  </t>
  </si>
  <si>
    <t xml:space="preserve"> 京土整储挂(房)工业〔2018〕001号</t>
  </si>
  <si>
    <t xml:space="preserve"> 房山区窦店镇望楚村</t>
  </si>
  <si>
    <t xml:space="preserve"> 1.20</t>
  </si>
  <si>
    <t xml:space="preserve"> 一类工业用地</t>
  </si>
  <si>
    <t xml:space="preserve"> 北京龙源开关设备有限责任公司  </t>
  </si>
  <si>
    <t xml:space="preserve">北京高端制造业(房山)基地01街区01-03剩余地块工业用地项目  </t>
  </si>
  <si>
    <t xml:space="preserve"> 京土整储挂(房)工业〔2018〕002号</t>
  </si>
  <si>
    <t xml:space="preserve"> 北京岳氏安防科技有限公司  </t>
  </si>
  <si>
    <t xml:space="preserve">北京市高端制造业(房山)基地01街区01-03地块部分用地项目  </t>
  </si>
  <si>
    <t xml:space="preserve"> 京土整储挂(房)工业[2017]001号</t>
  </si>
  <si>
    <t xml:space="preserve"> 北京天仁道和新材料有限公司  </t>
  </si>
  <si>
    <t xml:space="preserve"> 50年</t>
  </si>
  <si>
    <t xml:space="preserve">北京石化新材料科技产业基地核心区东区B5-10(2)地块工业用地项目  </t>
  </si>
  <si>
    <t xml:space="preserve"> 京土整储挂(房)工业[2016]002号</t>
  </si>
  <si>
    <t xml:space="preserve"> 北京市房山区城关街道前朱各庄村</t>
  </si>
  <si>
    <t xml:space="preserve"> 北京环宇京辉京城气体科技有限公司  </t>
  </si>
  <si>
    <t xml:space="preserve">北京高端制造业(房山)基地03街区F区工业用地项目  </t>
  </si>
  <si>
    <t xml:space="preserve"> 京土整储挂(房)工业[2016]001号</t>
  </si>
  <si>
    <t xml:space="preserve"> 北京市房山区窦店镇</t>
  </si>
  <si>
    <t xml:space="preserve"> 北京中关村前沿技术产业发展有限公司  </t>
  </si>
  <si>
    <t xml:space="preserve">北京高端制造业基地03街区R区二期工业用地项目  </t>
  </si>
  <si>
    <t xml:space="preserve"> 京土整储挂(房)工业[2015]006号</t>
  </si>
  <si>
    <t xml:space="preserve"> 北京凯达恒业农业技术开发有限公司  </t>
  </si>
  <si>
    <t xml:space="preserve">北京高端制造业基地03街区R区一期工业用地项目  </t>
  </si>
  <si>
    <t xml:space="preserve"> 京土整储挂(房)工业[2015]005号</t>
  </si>
  <si>
    <t xml:space="preserve"> 北京德信致远科技有限公司  </t>
  </si>
  <si>
    <t xml:space="preserve">北京石化新材料科技产业基地核心区东区B5-01地块(部分用地)工业用地项目  </t>
  </si>
  <si>
    <t xml:space="preserve"> 京土整储挂(房)工业[2015]004号</t>
  </si>
  <si>
    <t xml:space="preserve"> 房山区城关街道前朱各庄村</t>
  </si>
  <si>
    <t xml:space="preserve"> 北京中植医药科技有限公司  </t>
  </si>
  <si>
    <t xml:space="preserve">北京石化新材料科技产业基地核心区东区B2-24-04地块  </t>
  </si>
  <si>
    <t xml:space="preserve"> 京土整储挂(房)工业[2015]003号</t>
  </si>
  <si>
    <t xml:space="preserve"> 北京石化新材料科技产业基地核心区东区B2街区内</t>
  </si>
  <si>
    <t xml:space="preserve"> 1.00</t>
  </si>
  <si>
    <t xml:space="preserve"> 北京迅邦润泽物流有限公司  </t>
  </si>
  <si>
    <t xml:space="preserve">北京石化新材料科技产业基地核心区东区B5-10(1)等地块  </t>
  </si>
  <si>
    <t xml:space="preserve"> 京土整储挂(房)工业[2015]001号</t>
  </si>
  <si>
    <t xml:space="preserve"> ≤1</t>
  </si>
  <si>
    <t xml:space="preserve"> 北京京燕奥得赛化学有限公司  </t>
  </si>
  <si>
    <t xml:space="preserve">北京石化新材料科技产业基地核心区东区B5-13(1)等地块  </t>
  </si>
  <si>
    <t xml:space="preserve"> 京土整储挂(房)工业[2015]002号</t>
  </si>
  <si>
    <t xml:space="preserve">北京高端制造业(房山)基地03街区O区工业用地项目  </t>
  </si>
  <si>
    <t xml:space="preserve"> 京土整储挂(房)工业〔2014〕005号</t>
  </si>
  <si>
    <t xml:space="preserve"> 德信无线通讯科技(杭州)有限公司  </t>
  </si>
  <si>
    <t xml:space="preserve">北京石化新材料科技产业基地核心区东区B7-13、B7-18等地块工业用地项目  </t>
  </si>
  <si>
    <t xml:space="preserve"> 京土整储挂(房)工业〔2014〕011号</t>
  </si>
  <si>
    <t xml:space="preserve"> 房山区城关街道办事处前、后朱各庄村</t>
  </si>
  <si>
    <t xml:space="preserve"> 1</t>
  </si>
  <si>
    <t xml:space="preserve"> 实创家居装饰集团有限公司  </t>
  </si>
  <si>
    <t xml:space="preserve">北京高端制造业(房山)基地03街区L区工业用地项目  </t>
  </si>
  <si>
    <t xml:space="preserve"> 京土整储挂(房)工业〔2014〕002号</t>
  </si>
  <si>
    <t xml:space="preserve"> 北京航峰科伟装备技术股份有限公司  </t>
  </si>
  <si>
    <t xml:space="preserve">北京石化新材料科技产业基地核心区东区B7-15等地块工业用地项目  </t>
  </si>
  <si>
    <t xml:space="preserve"> 京土整储挂(房)工业〔2014〕009号</t>
  </si>
  <si>
    <t xml:space="preserve"> 北京坤源碳酸酯化学有限公司  </t>
  </si>
  <si>
    <t xml:space="preserve">北京高端制造业(房山)基地03街区P区工业用地项目  </t>
  </si>
  <si>
    <t xml:space="preserve"> 京土整储挂(房)工业〔2014〕006号</t>
  </si>
  <si>
    <t xml:space="preserve"> 0.83</t>
  </si>
  <si>
    <t xml:space="preserve"> 劳伦斯泵业机械(北京)有限公司  </t>
  </si>
  <si>
    <t xml:space="preserve">北京高端制造业(房山)基地03街区M区工业用地项目  </t>
  </si>
  <si>
    <t xml:space="preserve"> 京土整储挂(房)工业〔2014〕003号</t>
  </si>
  <si>
    <t xml:space="preserve"> 美景(北京)环保科技有限公司  </t>
  </si>
  <si>
    <t xml:space="preserve">北京石化新材料科技产业基地核心区东区B7-12等地块工业用地项目  </t>
  </si>
  <si>
    <t xml:space="preserve"> 京土整储挂(房)工业〔2014〕008号</t>
  </si>
  <si>
    <t xml:space="preserve"> 中石化催化剂(北京)有限公司  </t>
  </si>
  <si>
    <t xml:space="preserve">北京高端制造业(房山)基地01街区01-14至01-16地块A区工业用地项目  </t>
  </si>
  <si>
    <t xml:space="preserve"> 京土整储挂(房)工业〔2014〕007号</t>
  </si>
  <si>
    <t xml:space="preserve"> 北京金朋达航空科技有限公司  </t>
  </si>
  <si>
    <t xml:space="preserve">北京高端制造业(房山)基地03街区N区工业用地项目  </t>
  </si>
  <si>
    <t xml:space="preserve"> 京土整储挂(房)工业〔2014〕004号</t>
  </si>
  <si>
    <t xml:space="preserve"> 北京博曼迪汽车科技有限公司  </t>
  </si>
  <si>
    <t xml:space="preserve">北京石化新材料科技产业基地核心区东区B7-16等地块工业用地项目  </t>
  </si>
  <si>
    <t xml:space="preserve"> 京土整储挂(房)工业〔2014〕010号</t>
  </si>
  <si>
    <t xml:space="preserve"> 中国石化润滑油北京有限责任公司  </t>
  </si>
  <si>
    <t xml:space="preserve">房山区房山新城良乡组团14街区14-02-04等地块西侧工业用地项目  </t>
  </si>
  <si>
    <t xml:space="preserve"> 京土整储挂(房)工业〔2014〕001号</t>
  </si>
  <si>
    <t xml:space="preserve"> 房山区阎村镇</t>
  </si>
  <si>
    <t xml:space="preserve"> 2</t>
  </si>
  <si>
    <t xml:space="preserve"> 北京京煤化工有限公司  </t>
  </si>
  <si>
    <t xml:space="preserve">房山区窦店产业用地01街区01-01至01-08地块B区二期工业用地项目  </t>
  </si>
  <si>
    <t xml:space="preserve"> 京土整储挂(房)工业[2013]023号</t>
  </si>
  <si>
    <t xml:space="preserve"> 北京恒通创新赛木科技股份有限公司  </t>
  </si>
  <si>
    <t xml:space="preserve">房山区琉璃河镇中心区E-07地块工业用地项目  </t>
  </si>
  <si>
    <t xml:space="preserve"> 京土整储挂(房)工业〔2013〕022号</t>
  </si>
  <si>
    <t xml:space="preserve"> 房山区琉璃河镇</t>
  </si>
  <si>
    <t xml:space="preserve"> 1.47</t>
  </si>
  <si>
    <t xml:space="preserve"> 中粮(北京)农业生态谷发展有限公司  </t>
  </si>
  <si>
    <t xml:space="preserve">房山区窦店产业用地03街区I区  </t>
  </si>
  <si>
    <t xml:space="preserve"> 京土整储挂(房)工业〔2013〕018号</t>
  </si>
  <si>
    <t xml:space="preserve"> 北京九州一轨隔振技术有限公司  </t>
  </si>
  <si>
    <t xml:space="preserve">房山区窦店产业用地03街区K区  </t>
  </si>
  <si>
    <t xml:space="preserve"> 京土整储挂(房)工业〔2013〕019号</t>
  </si>
  <si>
    <t xml:space="preserve"> 北京智慧宏图企业管理咨询有限公司  </t>
  </si>
  <si>
    <t xml:space="preserve">房山燕房片区8号街区YF-010地块工业用地项目  </t>
  </si>
  <si>
    <t xml:space="preserve"> 京土整储挂(房)工业〔2013〕020号</t>
  </si>
  <si>
    <t xml:space="preserve"> 房山区城关街道</t>
  </si>
  <si>
    <t xml:space="preserve"> 2.50</t>
  </si>
  <si>
    <t xml:space="preserve"> 高新技术产业用地</t>
  </si>
  <si>
    <t xml:space="preserve"> 北京万通新材工贸有限公司  </t>
  </si>
  <si>
    <t xml:space="preserve">房山燕房片区8号街区YF-093地块工业用地项目  </t>
  </si>
  <si>
    <t xml:space="preserve"> 京土整储挂(房)工业〔2013〕021号</t>
  </si>
  <si>
    <t xml:space="preserve">房山区窦店产业用地03街区H区工业用地项目  </t>
  </si>
  <si>
    <t xml:space="preserve"> 京土整储挂(房)工业〔2013〕014号</t>
  </si>
  <si>
    <t xml:space="preserve"> 北京乐利荣汽车零部件有限公司  </t>
  </si>
  <si>
    <t xml:space="preserve">房山区窦店产业用地03街区G区工业用地项目  </t>
  </si>
  <si>
    <t xml:space="preserve"> 京土整储挂(房)工业〔2013〕013号</t>
  </si>
  <si>
    <t xml:space="preserve"> 北京普驰电气有限公司  </t>
  </si>
  <si>
    <t xml:space="preserve">房山区窦店产业用地03街区B区工业用地项目  </t>
  </si>
  <si>
    <t xml:space="preserve"> 京土整储挂(房)工业〔2013〕012号</t>
  </si>
  <si>
    <t xml:space="preserve"> 北京海斯特科技有限公司  </t>
  </si>
  <si>
    <t xml:space="preserve">房山区窦店产业用地03街区E区工业用地项目  </t>
  </si>
  <si>
    <t xml:space="preserve"> 京土整储挂(房)工业【2013】010号</t>
  </si>
  <si>
    <t xml:space="preserve"> 北京航天瑞祥科技发展有限公司  </t>
  </si>
  <si>
    <t xml:space="preserve">房山区窦店产业用地03街区J区工业用地项目  </t>
  </si>
  <si>
    <t xml:space="preserve"> 京土整储挂(房)工业【2013】011号</t>
  </si>
  <si>
    <t xml:space="preserve"> 1.13</t>
  </si>
  <si>
    <t xml:space="preserve"> 北京二七轨道交通装备有限责任公司  </t>
  </si>
  <si>
    <t xml:space="preserve">房山区窦店产业用地01街区01-01至01-08地块B区一期工业用地项目  </t>
  </si>
  <si>
    <t xml:space="preserve"> 京土整储挂(房)工业[2013]004号</t>
  </si>
  <si>
    <t xml:space="preserve"> 京土整储挂(房)工业〔2013〕004号</t>
  </si>
  <si>
    <t xml:space="preserve">房山新城燕房片区8号街区006地块工业用地项目  </t>
  </si>
  <si>
    <t xml:space="preserve"> 京土整储挂(房)工业[2013]009号</t>
  </si>
  <si>
    <t xml:space="preserve"> 0.80</t>
  </si>
  <si>
    <t xml:space="preserve"> 京土整储挂(房)工业〔2013〕009号</t>
  </si>
  <si>
    <t xml:space="preserve"> 北京市永康药业有限公司  </t>
  </si>
  <si>
    <t xml:space="preserve">房山区窦店产业用地03街区D区工业用地项目  </t>
  </si>
  <si>
    <t xml:space="preserve"> 京土整储挂(房)工业[2013]007号</t>
  </si>
  <si>
    <t xml:space="preserve"> 京土整储挂(房)工业〔2013〕007号</t>
  </si>
  <si>
    <t xml:space="preserve">房山区窦店产业用地03街区A区工业用地项目  </t>
  </si>
  <si>
    <t xml:space="preserve"> 京土整储挂(房)工业[2013]005号</t>
  </si>
  <si>
    <t xml:space="preserve"> 京土整储挂(房)工业〔2013〕005号</t>
  </si>
  <si>
    <t xml:space="preserve"> 北京矿大节能科技有限公司  </t>
  </si>
  <si>
    <t xml:space="preserve">房山新城燕房片区8号街区005地块工业用地项目  </t>
  </si>
  <si>
    <t xml:space="preserve"> 京土整储挂(房)工业[2013]008号</t>
  </si>
  <si>
    <t xml:space="preserve"> 京土整储挂(房)工业〔2013〕008号</t>
  </si>
  <si>
    <t xml:space="preserve"> 北京安龙科技集团有限公司  </t>
  </si>
  <si>
    <t xml:space="preserve">房山区窦店产业用地03街区C区工业用地项目  </t>
  </si>
  <si>
    <t xml:space="preserve"> 京土整储挂(房)工业[2013]006号</t>
  </si>
  <si>
    <t xml:space="preserve"> 京土整储挂(房)工业〔2013〕006号</t>
  </si>
  <si>
    <t xml:space="preserve">房山区窦店产业用地01街区01-14至01-16地块C区工业用地项目  </t>
  </si>
  <si>
    <t xml:space="preserve"> 京土整储挂(房)工业【2013】002号</t>
  </si>
  <si>
    <t xml:space="preserve">房山新城良乡组团14街区14-02-04等地块东侧工业用地项目  </t>
  </si>
  <si>
    <t xml:space="preserve"> 京土整储挂(房)工业【2013】003号</t>
  </si>
  <si>
    <t xml:space="preserve"> 2.00</t>
  </si>
  <si>
    <t xml:space="preserve"> 北京中融安全印务公司  </t>
  </si>
  <si>
    <t xml:space="preserve">房山区窦店产业用地01街区01-14至01-16地块B区工业用地项目  </t>
  </si>
  <si>
    <t xml:space="preserve"> 京土整储挂(房)工业【2013】001号</t>
  </si>
  <si>
    <t xml:space="preserve">北京石化新材料科技产业基地核心区东区B2-36-01地块  </t>
  </si>
  <si>
    <t xml:space="preserve"> 京土整储挂(房)工业[2012]003号</t>
  </si>
  <si>
    <t xml:space="preserve"> 房山区燕山办事处</t>
  </si>
  <si>
    <t xml:space="preserve"> 京土整储挂(房)工业【2012】003号</t>
  </si>
  <si>
    <t xml:space="preserve"> 北京八亿时空液晶科技股份有限公司  </t>
  </si>
  <si>
    <t xml:space="preserve">北京石化新材料科技产业基地核心区东区B2-24-01地块  </t>
  </si>
  <si>
    <t xml:space="preserve"> 京土整储挂(房)工业[2012]002号</t>
  </si>
  <si>
    <t xml:space="preserve">房山工业园区东区01-0021地块  </t>
  </si>
  <si>
    <t xml:space="preserve"> 京土整储挂(房)工业【2012】001号</t>
  </si>
  <si>
    <t xml:space="preserve"> 北京欣天燃气设备安装工程有限公司  </t>
  </si>
  <si>
    <t xml:space="preserve">北京石化新材料科技产业基地核心区东区B2-36-02地块工业用地项目  </t>
  </si>
  <si>
    <t xml:space="preserve"> 京土整储挂(房)工业【2011】002号</t>
  </si>
  <si>
    <t>年期修正</t>
  </si>
  <si>
    <t>修正后单价</t>
    <phoneticPr fontId="140" type="noConversion"/>
  </si>
  <si>
    <t>工业</t>
    <phoneticPr fontId="3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</si>
  <si>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</si>
  <si>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</si>
  <si>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</si>
  <si>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</si>
  <si>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</si>
  <si>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利息：取LPR加浮动点数</t>
  </si>
  <si>
    <t>成新度</t>
  </si>
  <si>
    <t>收益法</t>
  </si>
  <si>
    <t>收益法</t>
    <phoneticPr fontId="16" type="noConversion"/>
  </si>
  <si>
    <t>收益法地下厂房</t>
  </si>
  <si>
    <t>收益法地下厂房</t>
    <phoneticPr fontId="16" type="noConversion"/>
  </si>
  <si>
    <t>收益法地下车库</t>
  </si>
  <si>
    <t>收益法地下车库</t>
    <phoneticPr fontId="16" type="noConversion"/>
  </si>
  <si>
    <t>押一</t>
  </si>
  <si>
    <t>按租金收入计税</t>
  </si>
  <si>
    <t>钢混</t>
  </si>
  <si>
    <t>非生产用房</t>
  </si>
  <si>
    <t>自定义</t>
  </si>
  <si>
    <t>未包含在土地购买价格中</t>
  </si>
  <si>
    <t>全部缴纳</t>
  </si>
  <si>
    <t>已包含在土地取得成本中</t>
  </si>
  <si>
    <t>较差</t>
  </si>
  <si>
    <t>较好</t>
  </si>
  <si>
    <t>一般</t>
  </si>
  <si>
    <t>七通</t>
  </si>
  <si>
    <t>较规则</t>
  </si>
  <si>
    <t>较规则</t>
    <phoneticPr fontId="33" type="noConversion"/>
  </si>
  <si>
    <t>较好</t>
    <phoneticPr fontId="33" type="noConversion"/>
  </si>
  <si>
    <t>楼面地价</t>
  </si>
  <si>
    <t>三通</t>
  </si>
  <si>
    <t>吴薇</t>
  </si>
  <si>
    <t>崔锴</t>
  </si>
  <si>
    <t>不动产权正号</t>
    <phoneticPr fontId="140" type="noConversion"/>
  </si>
  <si>
    <t>京央（2022）市不动产权第0000504号</t>
    <phoneticPr fontId="140" type="noConversion"/>
  </si>
  <si>
    <t>京央（2022）市不动产权第0000503号</t>
    <phoneticPr fontId="140" type="noConversion"/>
  </si>
  <si>
    <t>京央（2022）市不动产权第0000407号</t>
    <phoneticPr fontId="140" type="noConversion"/>
  </si>
  <si>
    <t>京央（2022）市不动产权第0000408号</t>
    <phoneticPr fontId="140" type="noConversion"/>
  </si>
  <si>
    <t>京央（2022）市不动产权第0000502号</t>
    <phoneticPr fontId="140" type="noConversion"/>
  </si>
  <si>
    <t>京央（2022）市不动产权第0000501号</t>
    <phoneticPr fontId="140" type="noConversion"/>
  </si>
  <si>
    <t>京央（2022）市不动产权第0000500号</t>
    <phoneticPr fontId="140" type="noConversion"/>
  </si>
  <si>
    <t>京央（2022）市不动产权第0000499号</t>
    <phoneticPr fontId="140" type="noConversion"/>
  </si>
  <si>
    <t>京央（2022）市不动产权第0000505号</t>
  </si>
  <si>
    <t>京央（2022）市不动产权第0000506号</t>
  </si>
  <si>
    <t>京央（2022）市不动产权第0000507号</t>
  </si>
  <si>
    <t>京央（2022）市不动产权第0000508号</t>
  </si>
  <si>
    <t>京央（2022）市不动产权第0000509号</t>
    <phoneticPr fontId="140" type="noConversion"/>
  </si>
  <si>
    <t>未办证</t>
    <phoneticPr fontId="140" type="noConversion"/>
  </si>
  <si>
    <r>
      <t>四区</t>
    </r>
    <r>
      <rPr>
        <sz val="10"/>
        <color theme="1"/>
        <rFont val="Arial"/>
        <family val="2"/>
      </rPr>
      <t>15号楼</t>
    </r>
    <r>
      <rPr>
        <sz val="10"/>
        <color theme="1"/>
        <rFont val="华文细黑"/>
        <family val="3"/>
        <charset val="134"/>
      </rPr>
      <t/>
    </r>
  </si>
  <si>
    <t>配电室</t>
    <phoneticPr fontId="140" type="noConversion"/>
  </si>
  <si>
    <t>——</t>
    <phoneticPr fontId="140" type="noConversion"/>
  </si>
  <si>
    <t>京央（2022）市不动产权第0000510号</t>
  </si>
  <si>
    <t>京央（2022）市不动产权第0000412号</t>
    <phoneticPr fontId="140" type="noConversion"/>
  </si>
  <si>
    <t>京央（2022）市不动产权第0000483号</t>
    <phoneticPr fontId="140" type="noConversion"/>
  </si>
  <si>
    <t>规证楼号</t>
    <phoneticPr fontId="140" type="noConversion"/>
  </si>
  <si>
    <t>京央（2022）市不动产权第0000484号</t>
  </si>
  <si>
    <t>京央（2022）市不动产权第0000485号</t>
  </si>
  <si>
    <t>京央（2022）市不动产权第0000486号</t>
  </si>
  <si>
    <t>京央（2022）市不动产权第0000411号</t>
    <phoneticPr fontId="140" type="noConversion"/>
  </si>
  <si>
    <t>京央（2022）市不动产权第0000487号</t>
    <phoneticPr fontId="140" type="noConversion"/>
  </si>
  <si>
    <t>京央（2022）市不动产权第0000488号</t>
  </si>
  <si>
    <t>京央（2022）市不动产权第0000489号</t>
  </si>
  <si>
    <t>京央（2022）市不动产权第0000490号</t>
  </si>
  <si>
    <t>京央（2022）市不动产权第0000491号</t>
  </si>
  <si>
    <t>京央（2022）市不动产权第0000410号</t>
    <phoneticPr fontId="140" type="noConversion"/>
  </si>
  <si>
    <t>京央（2022）市不动产权第0000492号</t>
    <phoneticPr fontId="140" type="noConversion"/>
  </si>
  <si>
    <t>京央（2022）市不动产权第0000493号</t>
  </si>
  <si>
    <t>京央（2022）市不动产权第0000494号</t>
  </si>
  <si>
    <t>京央（2022）市不动产权第0000409号</t>
    <phoneticPr fontId="140" type="noConversion"/>
  </si>
  <si>
    <t>京央（2022）市不动产权第0000495号</t>
    <phoneticPr fontId="140" type="noConversion"/>
  </si>
  <si>
    <t>京央（2022）市不动产权第0000511号</t>
    <phoneticPr fontId="140" type="noConversion"/>
  </si>
  <si>
    <t>23#厂房</t>
  </si>
  <si>
    <t>京央（2022）市不动产权第0000512号</t>
  </si>
  <si>
    <t>京央（2022）市不动产权第0000496号</t>
    <phoneticPr fontId="140" type="noConversion"/>
  </si>
  <si>
    <t>京央（2022）市不动产权第0000497号</t>
  </si>
  <si>
    <t>京央（2022）市不动产权第0000498号</t>
  </si>
  <si>
    <t>京央（2022）市不动产权第0000513号</t>
    <phoneticPr fontId="140" type="noConversion"/>
  </si>
  <si>
    <t>京（2020）房不动产权第0024528号</t>
    <phoneticPr fontId="140" type="noConversion"/>
  </si>
  <si>
    <t>京（2020）房不动产权第0001605号</t>
    <phoneticPr fontId="140" type="noConversion"/>
  </si>
  <si>
    <t>京（2020）房不动产权第0001607号</t>
    <phoneticPr fontId="140" type="noConversion"/>
  </si>
  <si>
    <t>京（2020）房不动产权第0001606号</t>
    <phoneticPr fontId="140" type="noConversion"/>
  </si>
  <si>
    <t>总建筑面积</t>
    <phoneticPr fontId="140" type="noConversion"/>
  </si>
  <si>
    <t>建筑面积及用途</t>
    <phoneticPr fontId="140" type="noConversion"/>
  </si>
  <si>
    <t>京（2020）房不动产权第0001608号</t>
    <phoneticPr fontId="140" type="noConversion"/>
  </si>
  <si>
    <t>京（2020）房不动产权第0001590号</t>
    <phoneticPr fontId="140" type="noConversion"/>
  </si>
  <si>
    <t>京（2020）房不动产权第0001591号</t>
  </si>
  <si>
    <t>京（2020）房不动产权第0001592号</t>
  </si>
  <si>
    <t>京（2020）房不动产权第0001593号</t>
  </si>
  <si>
    <t>京（2020）房不动产权第0001594号</t>
  </si>
  <si>
    <t>京（2020）房不动产权第0001595号</t>
  </si>
  <si>
    <t>京（2020）房不动产权第0001598号</t>
    <phoneticPr fontId="140" type="noConversion"/>
  </si>
  <si>
    <t>京（2020）房不动产权第0001599号</t>
  </si>
  <si>
    <t>京（2020）房不动产权第0001600号</t>
  </si>
  <si>
    <t>京（2020）房不动产权第0001601号</t>
  </si>
  <si>
    <t>京（2019）房不动产权第0024917号</t>
    <phoneticPr fontId="140" type="noConversion"/>
  </si>
  <si>
    <t>京（2019）房不动产权第0024921号</t>
    <phoneticPr fontId="140" type="noConversion"/>
  </si>
  <si>
    <t>京（2020）房不动产权第0001602号</t>
    <phoneticPr fontId="140" type="noConversion"/>
  </si>
  <si>
    <t>京（2020）房不动产权第0001603号</t>
  </si>
  <si>
    <t>京（2020）房不动产权第0001604号</t>
  </si>
  <si>
    <t>京（2019）房不动产权第0024920号</t>
    <phoneticPr fontId="140" type="noConversion"/>
  </si>
  <si>
    <t>地下（一期B组团）</t>
    <phoneticPr fontId="3" type="noConversion"/>
  </si>
  <si>
    <t>1#综合厂房</t>
    <phoneticPr fontId="3" type="noConversion"/>
  </si>
  <si>
    <t>1#集体宿舍</t>
    <phoneticPr fontId="3" type="noConversion"/>
  </si>
  <si>
    <t>地下（一期A组团）</t>
    <phoneticPr fontId="3" type="noConversion"/>
  </si>
  <si>
    <t>2#厂房</t>
    <phoneticPr fontId="3" type="noConversion"/>
  </si>
  <si>
    <t>3#厂房</t>
  </si>
  <si>
    <t>4#厂房</t>
  </si>
  <si>
    <t>5#厂房</t>
    <phoneticPr fontId="3" type="noConversion"/>
  </si>
  <si>
    <t>6#厂房</t>
  </si>
  <si>
    <t>7#厂房</t>
  </si>
  <si>
    <t>8#厂房</t>
  </si>
  <si>
    <t>9#厂房</t>
  </si>
  <si>
    <t>10#厂房</t>
  </si>
  <si>
    <t>11#厂房</t>
  </si>
  <si>
    <t>12#厂房</t>
  </si>
  <si>
    <t>13#厂房</t>
  </si>
  <si>
    <t>14#厂房</t>
  </si>
  <si>
    <t>15#厂房</t>
  </si>
  <si>
    <t>16#厂房</t>
  </si>
  <si>
    <t>17#厂房</t>
  </si>
  <si>
    <t>50#数据中心</t>
    <phoneticPr fontId="140" type="noConversion"/>
  </si>
  <si>
    <r>
      <t>38#</t>
    </r>
    <r>
      <rPr>
        <sz val="10"/>
        <color rgb="FFFF0000"/>
        <rFont val="华文细黑"/>
        <family val="3"/>
        <charset val="134"/>
      </rPr>
      <t>厂房</t>
    </r>
  </si>
  <si>
    <r>
      <t>四区</t>
    </r>
    <r>
      <rPr>
        <sz val="10"/>
        <color rgb="FFFF0000"/>
        <rFont val="Arial"/>
        <family val="2"/>
      </rPr>
      <t>14</t>
    </r>
    <r>
      <rPr>
        <sz val="10"/>
        <color rgb="FFFF0000"/>
        <rFont val="华文细黑"/>
        <family val="3"/>
        <charset val="134"/>
      </rPr>
      <t>号楼</t>
    </r>
  </si>
  <si>
    <r>
      <t>32#</t>
    </r>
    <r>
      <rPr>
        <sz val="10"/>
        <rFont val="华文细黑"/>
        <family val="3"/>
        <charset val="134"/>
      </rPr>
      <t>厂房</t>
    </r>
    <r>
      <rPr>
        <sz val="10"/>
        <rFont val="Arial"/>
        <family val="2"/>
      </rPr>
      <t>-B</t>
    </r>
  </si>
  <si>
    <r>
      <t>三区</t>
    </r>
    <r>
      <rPr>
        <sz val="10"/>
        <rFont val="Arial"/>
        <family val="2"/>
      </rPr>
      <t>5</t>
    </r>
    <r>
      <rPr>
        <sz val="10"/>
        <rFont val="华文细黑"/>
        <family val="3"/>
        <charset val="134"/>
      </rPr>
      <t>号楼</t>
    </r>
  </si>
  <si>
    <r>
      <t>三区</t>
    </r>
    <r>
      <rPr>
        <sz val="10"/>
        <rFont val="Arial"/>
        <family val="2"/>
      </rPr>
      <t>6号楼</t>
    </r>
    <r>
      <rPr>
        <sz val="10"/>
        <color theme="1"/>
        <rFont val="华文细黑"/>
        <family val="3"/>
        <charset val="134"/>
      </rPr>
      <t/>
    </r>
  </si>
  <si>
    <r>
      <t>20#</t>
    </r>
    <r>
      <rPr>
        <sz val="10"/>
        <rFont val="华文细黑"/>
        <family val="3"/>
        <charset val="134"/>
      </rPr>
      <t>厂房</t>
    </r>
  </si>
  <si>
    <r>
      <t>三区</t>
    </r>
    <r>
      <rPr>
        <sz val="10"/>
        <rFont val="Arial"/>
        <family val="2"/>
      </rPr>
      <t>7</t>
    </r>
    <r>
      <rPr>
        <sz val="10"/>
        <rFont val="华文细黑"/>
        <family val="3"/>
        <charset val="134"/>
      </rPr>
      <t>号楼</t>
    </r>
  </si>
  <si>
    <r>
      <t>24#</t>
    </r>
    <r>
      <rPr>
        <sz val="10"/>
        <rFont val="华文细黑"/>
        <family val="3"/>
        <charset val="134"/>
      </rPr>
      <t>厂房</t>
    </r>
  </si>
  <si>
    <r>
      <t>三区</t>
    </r>
    <r>
      <rPr>
        <sz val="10"/>
        <rFont val="Arial"/>
        <family val="2"/>
      </rPr>
      <t>8</t>
    </r>
    <r>
      <rPr>
        <sz val="10"/>
        <rFont val="华文细黑"/>
        <family val="3"/>
        <charset val="134"/>
      </rPr>
      <t>号楼</t>
    </r>
  </si>
  <si>
    <r>
      <t>26#</t>
    </r>
    <r>
      <rPr>
        <sz val="10"/>
        <rFont val="华文细黑"/>
        <family val="3"/>
        <charset val="134"/>
      </rPr>
      <t>厂房</t>
    </r>
  </si>
  <si>
    <r>
      <t>三区</t>
    </r>
    <r>
      <rPr>
        <sz val="10"/>
        <rFont val="Arial"/>
        <family val="2"/>
      </rPr>
      <t>9</t>
    </r>
    <r>
      <rPr>
        <sz val="10"/>
        <rFont val="华文细黑"/>
        <family val="3"/>
        <charset val="134"/>
      </rPr>
      <t>号楼</t>
    </r>
  </si>
  <si>
    <r>
      <t>31#</t>
    </r>
    <r>
      <rPr>
        <sz val="10"/>
        <rFont val="华文细黑"/>
        <family val="3"/>
        <charset val="134"/>
      </rPr>
      <t>厂房</t>
    </r>
  </si>
  <si>
    <r>
      <t>三区</t>
    </r>
    <r>
      <rPr>
        <sz val="10"/>
        <rFont val="Arial"/>
        <family val="2"/>
      </rPr>
      <t>10</t>
    </r>
    <r>
      <rPr>
        <sz val="10"/>
        <rFont val="华文细黑"/>
        <family val="3"/>
        <charset val="134"/>
      </rPr>
      <t>号楼</t>
    </r>
  </si>
  <si>
    <r>
      <t>33#</t>
    </r>
    <r>
      <rPr>
        <sz val="10"/>
        <rFont val="华文细黑"/>
        <family val="3"/>
        <charset val="134"/>
      </rPr>
      <t>厂房</t>
    </r>
    <r>
      <rPr>
        <sz val="10"/>
        <rFont val="Arial"/>
        <family val="2"/>
      </rPr>
      <t>-A</t>
    </r>
  </si>
  <si>
    <r>
      <t>三区</t>
    </r>
    <r>
      <rPr>
        <sz val="10"/>
        <rFont val="Arial"/>
        <family val="2"/>
      </rPr>
      <t>11</t>
    </r>
    <r>
      <rPr>
        <sz val="10"/>
        <rFont val="华文细黑"/>
        <family val="3"/>
        <charset val="134"/>
      </rPr>
      <t>号楼</t>
    </r>
  </si>
  <si>
    <r>
      <t>21#</t>
    </r>
    <r>
      <rPr>
        <sz val="10"/>
        <rFont val="华文细黑"/>
        <family val="3"/>
        <charset val="134"/>
      </rPr>
      <t>厂房</t>
    </r>
  </si>
  <si>
    <r>
      <t>三区</t>
    </r>
    <r>
      <rPr>
        <sz val="10"/>
        <rFont val="Arial"/>
        <family val="2"/>
      </rPr>
      <t>12</t>
    </r>
    <r>
      <rPr>
        <sz val="10"/>
        <rFont val="华文细黑"/>
        <family val="3"/>
        <charset val="134"/>
      </rPr>
      <t>号楼</t>
    </r>
  </si>
  <si>
    <r>
      <t>27#</t>
    </r>
    <r>
      <rPr>
        <sz val="10"/>
        <rFont val="华文细黑"/>
        <family val="3"/>
        <charset val="134"/>
      </rPr>
      <t>厂房</t>
    </r>
  </si>
  <si>
    <r>
      <t>三区</t>
    </r>
    <r>
      <rPr>
        <sz val="10"/>
        <rFont val="Arial"/>
        <family val="2"/>
      </rPr>
      <t>13</t>
    </r>
    <r>
      <rPr>
        <sz val="10"/>
        <rFont val="华文细黑"/>
        <family val="3"/>
        <charset val="134"/>
      </rPr>
      <t>号楼</t>
    </r>
  </si>
  <si>
    <r>
      <t>30#</t>
    </r>
    <r>
      <rPr>
        <sz val="10"/>
        <rFont val="华文细黑"/>
        <family val="3"/>
        <charset val="134"/>
      </rPr>
      <t>厂房</t>
    </r>
  </si>
  <si>
    <r>
      <t>三区</t>
    </r>
    <r>
      <rPr>
        <sz val="10"/>
        <rFont val="Arial"/>
        <family val="2"/>
      </rPr>
      <t>14</t>
    </r>
    <r>
      <rPr>
        <sz val="10"/>
        <rFont val="华文细黑"/>
        <family val="3"/>
        <charset val="134"/>
      </rPr>
      <t>号楼</t>
    </r>
  </si>
  <si>
    <r>
      <t>33#</t>
    </r>
    <r>
      <rPr>
        <sz val="10"/>
        <rFont val="华文细黑"/>
        <family val="3"/>
        <charset val="134"/>
      </rPr>
      <t>厂房</t>
    </r>
    <r>
      <rPr>
        <sz val="10"/>
        <rFont val="Arial"/>
        <family val="2"/>
      </rPr>
      <t>-B</t>
    </r>
  </si>
  <si>
    <r>
      <t>三区</t>
    </r>
    <r>
      <rPr>
        <sz val="10"/>
        <rFont val="Arial"/>
        <family val="2"/>
      </rPr>
      <t>15</t>
    </r>
    <r>
      <rPr>
        <sz val="10"/>
        <rFont val="华文细黑"/>
        <family val="3"/>
        <charset val="134"/>
      </rPr>
      <t>号楼</t>
    </r>
  </si>
  <si>
    <r>
      <t>22#</t>
    </r>
    <r>
      <rPr>
        <sz val="10"/>
        <rFont val="华文细黑"/>
        <family val="3"/>
        <charset val="134"/>
      </rPr>
      <t>厂房</t>
    </r>
  </si>
  <si>
    <r>
      <t>三区</t>
    </r>
    <r>
      <rPr>
        <sz val="10"/>
        <rFont val="Arial"/>
        <family val="2"/>
      </rPr>
      <t>17</t>
    </r>
    <r>
      <rPr>
        <sz val="10"/>
        <rFont val="华文细黑"/>
        <family val="3"/>
        <charset val="134"/>
      </rPr>
      <t>号楼</t>
    </r>
  </si>
  <si>
    <r>
      <t>三区</t>
    </r>
    <r>
      <rPr>
        <sz val="10"/>
        <rFont val="Arial"/>
        <family val="2"/>
      </rPr>
      <t>18号楼</t>
    </r>
    <r>
      <rPr>
        <sz val="10"/>
        <color theme="1"/>
        <rFont val="华文细黑"/>
        <family val="3"/>
        <charset val="134"/>
      </rPr>
      <t/>
    </r>
  </si>
  <si>
    <r>
      <t>28#</t>
    </r>
    <r>
      <rPr>
        <sz val="10"/>
        <rFont val="华文细黑"/>
        <family val="3"/>
        <charset val="134"/>
      </rPr>
      <t>厂房</t>
    </r>
  </si>
  <si>
    <r>
      <t>三区</t>
    </r>
    <r>
      <rPr>
        <sz val="10"/>
        <rFont val="Arial"/>
        <family val="2"/>
      </rPr>
      <t>19号楼</t>
    </r>
    <r>
      <rPr>
        <sz val="10"/>
        <color theme="1"/>
        <rFont val="华文细黑"/>
        <family val="3"/>
        <charset val="134"/>
      </rPr>
      <t/>
    </r>
  </si>
  <si>
    <r>
      <t>29#</t>
    </r>
    <r>
      <rPr>
        <sz val="10"/>
        <rFont val="华文细黑"/>
        <family val="3"/>
        <charset val="134"/>
      </rPr>
      <t>厂房</t>
    </r>
  </si>
  <si>
    <r>
      <t>三区</t>
    </r>
    <r>
      <rPr>
        <sz val="10"/>
        <rFont val="Arial"/>
        <family val="2"/>
      </rPr>
      <t>20</t>
    </r>
    <r>
      <rPr>
        <sz val="10"/>
        <rFont val="华文细黑"/>
        <family val="3"/>
        <charset val="134"/>
      </rPr>
      <t>号楼</t>
    </r>
  </si>
  <si>
    <r>
      <t>35#</t>
    </r>
    <r>
      <rPr>
        <sz val="10"/>
        <rFont val="华文细黑"/>
        <family val="3"/>
        <charset val="134"/>
      </rPr>
      <t>厂房</t>
    </r>
  </si>
  <si>
    <r>
      <t>三区</t>
    </r>
    <r>
      <rPr>
        <sz val="10"/>
        <rFont val="Arial"/>
        <family val="2"/>
      </rPr>
      <t>21</t>
    </r>
    <r>
      <rPr>
        <sz val="10"/>
        <rFont val="华文细黑"/>
        <family val="3"/>
        <charset val="134"/>
      </rPr>
      <t>号楼</t>
    </r>
  </si>
  <si>
    <r>
      <t>三区</t>
    </r>
    <r>
      <rPr>
        <sz val="10"/>
        <rFont val="Arial"/>
        <family val="2"/>
      </rPr>
      <t>22号楼</t>
    </r>
    <r>
      <rPr>
        <sz val="10"/>
        <color theme="1"/>
        <rFont val="华文细黑"/>
        <family val="3"/>
        <charset val="134"/>
      </rPr>
      <t/>
    </r>
  </si>
  <si>
    <r>
      <t>三区</t>
    </r>
    <r>
      <rPr>
        <sz val="10"/>
        <rFont val="Arial"/>
        <family val="2"/>
      </rPr>
      <t>23</t>
    </r>
    <r>
      <rPr>
        <sz val="10"/>
        <rFont val="华文细黑"/>
        <family val="3"/>
        <charset val="134"/>
      </rPr>
      <t>幢</t>
    </r>
  </si>
  <si>
    <r>
      <t>49#</t>
    </r>
    <r>
      <rPr>
        <sz val="10"/>
        <rFont val="华文细黑"/>
        <family val="3"/>
        <charset val="134"/>
      </rPr>
      <t>厂房</t>
    </r>
  </si>
  <si>
    <r>
      <t>四区</t>
    </r>
    <r>
      <rPr>
        <sz val="10"/>
        <rFont val="Arial"/>
        <family val="2"/>
      </rPr>
      <t>1</t>
    </r>
    <r>
      <rPr>
        <sz val="10"/>
        <rFont val="华文细黑"/>
        <family val="3"/>
        <charset val="134"/>
      </rPr>
      <t>号楼</t>
    </r>
  </si>
  <si>
    <r>
      <t>41#</t>
    </r>
    <r>
      <rPr>
        <sz val="10"/>
        <rFont val="华文细黑"/>
        <family val="3"/>
        <charset val="134"/>
      </rPr>
      <t>厂房</t>
    </r>
  </si>
  <si>
    <r>
      <t>四区</t>
    </r>
    <r>
      <rPr>
        <sz val="10"/>
        <rFont val="Arial"/>
        <family val="2"/>
      </rPr>
      <t>2</t>
    </r>
    <r>
      <rPr>
        <sz val="10"/>
        <rFont val="华文细黑"/>
        <family val="3"/>
        <charset val="134"/>
      </rPr>
      <t>号楼</t>
    </r>
  </si>
  <si>
    <r>
      <t>19#</t>
    </r>
    <r>
      <rPr>
        <sz val="10"/>
        <rFont val="宋体"/>
        <family val="3"/>
        <charset val="134"/>
      </rPr>
      <t>厂房</t>
    </r>
    <phoneticPr fontId="140" type="noConversion"/>
  </si>
  <si>
    <r>
      <t>18#</t>
    </r>
    <r>
      <rPr>
        <sz val="10"/>
        <rFont val="宋体"/>
        <family val="3"/>
        <charset val="134"/>
      </rPr>
      <t>厂房</t>
    </r>
    <phoneticPr fontId="140" type="noConversion"/>
  </si>
  <si>
    <r>
      <t>三区</t>
    </r>
    <r>
      <rPr>
        <sz val="10"/>
        <rFont val="Arial"/>
        <family val="2"/>
      </rPr>
      <t>16</t>
    </r>
    <r>
      <rPr>
        <sz val="10"/>
        <rFont val="宋体"/>
        <family val="3"/>
        <charset val="134"/>
      </rPr>
      <t>号楼</t>
    </r>
    <r>
      <rPr>
        <sz val="10"/>
        <color theme="1"/>
        <rFont val="华文细黑"/>
        <family val="3"/>
        <charset val="134"/>
      </rPr>
      <t/>
    </r>
    <phoneticPr fontId="140" type="noConversion"/>
  </si>
  <si>
    <r>
      <t>34#</t>
    </r>
    <r>
      <rPr>
        <sz val="10"/>
        <rFont val="宋体"/>
        <family val="3"/>
        <charset val="134"/>
      </rPr>
      <t>配电室</t>
    </r>
    <phoneticPr fontId="140" type="noConversion"/>
  </si>
  <si>
    <r>
      <t>42#</t>
    </r>
    <r>
      <rPr>
        <sz val="10"/>
        <color theme="1"/>
        <rFont val="宋体"/>
        <family val="3"/>
        <charset val="134"/>
      </rPr>
      <t>变配电室</t>
    </r>
    <phoneticPr fontId="140" type="noConversion"/>
  </si>
  <si>
    <t>终止日期</t>
    <phoneticPr fontId="140" type="noConversion"/>
  </si>
  <si>
    <t>土地面积</t>
    <phoneticPr fontId="140" type="noConversion"/>
  </si>
  <si>
    <t>总建筑面积</t>
    <phoneticPr fontId="140" type="noConversion"/>
  </si>
  <si>
    <t>项目总面积</t>
    <phoneticPr fontId="140" type="noConversion"/>
  </si>
  <si>
    <t>本次抵押范围</t>
    <phoneticPr fontId="140" type="noConversion"/>
  </si>
  <si>
    <t>项目</t>
    <phoneticPr fontId="140" type="noConversion"/>
  </si>
  <si>
    <t>分摊土地面积</t>
    <phoneticPr fontId="140" type="noConversion"/>
  </si>
  <si>
    <t>本次抵押</t>
    <phoneticPr fontId="140" type="noConversion"/>
  </si>
  <si>
    <t>地上工业</t>
    <phoneticPr fontId="140" type="noConversion"/>
  </si>
  <si>
    <t>地下工业</t>
    <phoneticPr fontId="140" type="noConversion"/>
  </si>
  <si>
    <t>地下车库</t>
    <phoneticPr fontId="140" type="noConversion"/>
  </si>
  <si>
    <t>设备</t>
    <phoneticPr fontId="140" type="noConversion"/>
  </si>
  <si>
    <t>合计</t>
    <phoneticPr fontId="140" type="noConversion"/>
  </si>
  <si>
    <t>经营性用途面积</t>
    <phoneticPr fontId="140" type="noConversion"/>
  </si>
  <si>
    <t>建筑面积</t>
    <phoneticPr fontId="140" type="noConversion"/>
  </si>
  <si>
    <t>总值</t>
    <phoneticPr fontId="140" type="noConversion"/>
  </si>
  <si>
    <t>建筑物价值</t>
    <phoneticPr fontId="140" type="noConversion"/>
  </si>
  <si>
    <t>土地价值</t>
    <phoneticPr fontId="140" type="noConversion"/>
  </si>
  <si>
    <t>比较法土地价值</t>
    <phoneticPr fontId="140" type="noConversion"/>
  </si>
  <si>
    <t>土地价值</t>
    <phoneticPr fontId="140" type="noConversion"/>
  </si>
  <si>
    <t>单价</t>
    <phoneticPr fontId="140" type="noConversion"/>
  </si>
  <si>
    <t>建筑物单价</t>
    <phoneticPr fontId="140" type="noConversion"/>
  </si>
  <si>
    <t>总值</t>
    <phoneticPr fontId="140" type="noConversion"/>
  </si>
  <si>
    <t>四通</t>
  </si>
  <si>
    <t>成本比率</t>
  </si>
  <si>
    <t>建筑物价值</t>
    <phoneticPr fontId="140" type="noConversion"/>
  </si>
  <si>
    <t>单价</t>
    <phoneticPr fontId="140" type="noConversion"/>
  </si>
  <si>
    <t>土地价值</t>
    <phoneticPr fontId="140" type="noConversion"/>
  </si>
  <si>
    <t>地上</t>
    <phoneticPr fontId="140" type="noConversion"/>
  </si>
  <si>
    <t>地下厂</t>
    <phoneticPr fontId="140" type="noConversion"/>
  </si>
  <si>
    <t>地下车</t>
    <phoneticPr fontId="140" type="noConversion"/>
  </si>
  <si>
    <t>总值</t>
    <phoneticPr fontId="140" type="noConversion"/>
  </si>
  <si>
    <t>收益比例</t>
    <phoneticPr fontId="140" type="noConversion"/>
  </si>
  <si>
    <t>评估总值</t>
    <phoneticPr fontId="140" type="noConversion"/>
  </si>
  <si>
    <t>地下车库</t>
    <phoneticPr fontId="140" type="noConversion"/>
  </si>
  <si>
    <r>
      <rPr>
        <sz val="9"/>
        <color theme="1"/>
        <rFont val="华文细黑"/>
        <family val="3"/>
        <charset val="134"/>
      </rPr>
      <t>不动产权证号</t>
    </r>
    <phoneticPr fontId="140" type="noConversion"/>
  </si>
  <si>
    <r>
      <rPr>
        <sz val="9"/>
        <color theme="1"/>
        <rFont val="华文细黑"/>
        <family val="3"/>
        <charset val="134"/>
      </rPr>
      <t>房地产价值</t>
    </r>
  </si>
  <si>
    <r>
      <rPr>
        <sz val="9"/>
        <color theme="1"/>
        <rFont val="华文细黑"/>
        <family val="3"/>
        <charset val="134"/>
      </rPr>
      <t>项目名称</t>
    </r>
    <phoneticPr fontId="140" type="noConversion"/>
  </si>
  <si>
    <r>
      <rPr>
        <sz val="9"/>
        <color theme="1"/>
        <rFont val="华文细黑"/>
        <family val="3"/>
        <charset val="134"/>
      </rPr>
      <t>建筑面积</t>
    </r>
    <phoneticPr fontId="140" type="noConversion"/>
  </si>
  <si>
    <r>
      <rPr>
        <sz val="9"/>
        <color theme="1"/>
        <rFont val="华文细黑"/>
        <family val="3"/>
        <charset val="134"/>
      </rPr>
      <t>总</t>
    </r>
    <r>
      <rPr>
        <sz val="9"/>
        <color theme="1"/>
        <rFont val="Arial"/>
        <family val="2"/>
      </rPr>
      <t xml:space="preserve"> </t>
    </r>
    <r>
      <rPr>
        <sz val="9"/>
        <color theme="1"/>
        <rFont val="华文细黑"/>
        <family val="3"/>
        <charset val="134"/>
      </rPr>
      <t>价</t>
    </r>
  </si>
  <si>
    <r>
      <rPr>
        <sz val="9"/>
        <color theme="1"/>
        <rFont val="华文细黑"/>
        <family val="3"/>
        <charset val="134"/>
      </rPr>
      <t>京（</t>
    </r>
    <r>
      <rPr>
        <sz val="9"/>
        <color theme="1"/>
        <rFont val="Arial"/>
        <family val="2"/>
      </rPr>
      <t>2019</t>
    </r>
    <r>
      <rPr>
        <sz val="9"/>
        <color theme="1"/>
        <rFont val="华文细黑"/>
        <family val="3"/>
        <charset val="134"/>
      </rPr>
      <t>）房不动产权第</t>
    </r>
    <r>
      <rPr>
        <sz val="9"/>
        <color theme="1"/>
        <rFont val="Arial"/>
        <family val="2"/>
      </rPr>
      <t>0024917</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</si>
  <si>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号院一区</t>
    </r>
    <r>
      <rPr>
        <sz val="9"/>
        <color theme="1"/>
        <rFont val="Arial"/>
        <family val="2"/>
      </rPr>
      <t>1</t>
    </r>
    <r>
      <rPr>
        <sz val="9"/>
        <color theme="1"/>
        <rFont val="华文细黑"/>
        <family val="3"/>
        <charset val="134"/>
      </rPr>
      <t>号楼工业用房</t>
    </r>
  </si>
  <si>
    <r>
      <rPr>
        <sz val="9"/>
        <color theme="1"/>
        <rFont val="华文细黑"/>
        <family val="3"/>
        <charset val="134"/>
      </rPr>
      <t>京（</t>
    </r>
    <r>
      <rPr>
        <sz val="9"/>
        <color theme="1"/>
        <rFont val="Arial"/>
        <family val="2"/>
      </rPr>
      <t>2019</t>
    </r>
    <r>
      <rPr>
        <sz val="9"/>
        <color theme="1"/>
        <rFont val="华文细黑"/>
        <family val="3"/>
        <charset val="134"/>
      </rPr>
      <t>）房不动产权第</t>
    </r>
    <r>
      <rPr>
        <sz val="9"/>
        <color theme="1"/>
        <rFont val="Arial"/>
        <family val="2"/>
      </rPr>
      <t>0024921</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</si>
  <si>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号院一区</t>
    </r>
    <r>
      <rPr>
        <sz val="9"/>
        <color theme="1"/>
        <rFont val="Arial"/>
        <family val="2"/>
      </rPr>
      <t>2</t>
    </r>
    <r>
      <rPr>
        <sz val="9"/>
        <color theme="1"/>
        <rFont val="华文细黑"/>
        <family val="3"/>
        <charset val="134"/>
      </rPr>
      <t>号楼工业用房</t>
    </r>
  </si>
  <si>
    <r>
      <rPr>
        <sz val="9"/>
        <color theme="1"/>
        <rFont val="华文细黑"/>
        <family val="3"/>
        <charset val="134"/>
      </rPr>
      <t>京（</t>
    </r>
    <r>
      <rPr>
        <sz val="9"/>
        <color theme="1"/>
        <rFont val="Arial"/>
        <family val="2"/>
      </rPr>
      <t>2019</t>
    </r>
    <r>
      <rPr>
        <sz val="9"/>
        <color theme="1"/>
        <rFont val="华文细黑"/>
        <family val="3"/>
        <charset val="134"/>
      </rPr>
      <t>）房不动产权第</t>
    </r>
    <r>
      <rPr>
        <sz val="9"/>
        <color theme="1"/>
        <rFont val="Arial"/>
        <family val="2"/>
      </rPr>
      <t>0024920</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</si>
  <si>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号院一区</t>
    </r>
    <r>
      <rPr>
        <sz val="9"/>
        <color theme="1"/>
        <rFont val="Arial"/>
        <family val="2"/>
      </rPr>
      <t>101</t>
    </r>
    <r>
      <rPr>
        <sz val="9"/>
        <color theme="1"/>
        <rFont val="华文细黑"/>
        <family val="3"/>
        <charset val="134"/>
      </rPr>
      <t>幢工业、地下车库用房</t>
    </r>
  </si>
  <si>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0001602</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</si>
  <si>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号院一区</t>
    </r>
    <r>
      <rPr>
        <sz val="9"/>
        <color theme="1"/>
        <rFont val="Arial"/>
        <family val="2"/>
      </rPr>
      <t>3</t>
    </r>
    <r>
      <rPr>
        <sz val="9"/>
        <color theme="1"/>
        <rFont val="华文细黑"/>
        <family val="3"/>
        <charset val="134"/>
      </rPr>
      <t>号楼工业用房</t>
    </r>
  </si>
  <si>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0001603</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</si>
  <si>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号院一区</t>
    </r>
    <r>
      <rPr>
        <sz val="9"/>
        <color theme="1"/>
        <rFont val="Arial"/>
        <family val="2"/>
      </rPr>
      <t>4</t>
    </r>
    <r>
      <rPr>
        <sz val="9"/>
        <color theme="1"/>
        <rFont val="华文细黑"/>
        <family val="3"/>
        <charset val="134"/>
      </rPr>
      <t>号楼工业用房</t>
    </r>
  </si>
  <si>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0001604</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</si>
  <si>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号院一区</t>
    </r>
    <r>
      <rPr>
        <sz val="9"/>
        <color theme="1"/>
        <rFont val="Arial"/>
        <family val="2"/>
      </rPr>
      <t>5</t>
    </r>
    <r>
      <rPr>
        <sz val="9"/>
        <color theme="1"/>
        <rFont val="华文细黑"/>
        <family val="3"/>
        <charset val="134"/>
      </rPr>
      <t>号楼工业用房</t>
    </r>
  </si>
  <si>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0001605</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</si>
  <si>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号院二区</t>
    </r>
    <r>
      <rPr>
        <sz val="9"/>
        <color theme="1"/>
        <rFont val="Arial"/>
        <family val="2"/>
      </rPr>
      <t>1</t>
    </r>
    <r>
      <rPr>
        <sz val="9"/>
        <color theme="1"/>
        <rFont val="华文细黑"/>
        <family val="3"/>
        <charset val="134"/>
      </rPr>
      <t>号楼工业用房</t>
    </r>
  </si>
  <si>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0001607</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</si>
  <si>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号院二区</t>
    </r>
    <r>
      <rPr>
        <sz val="9"/>
        <color theme="1"/>
        <rFont val="Arial"/>
        <family val="2"/>
      </rPr>
      <t>2</t>
    </r>
    <r>
      <rPr>
        <sz val="9"/>
        <color theme="1"/>
        <rFont val="华文细黑"/>
        <family val="3"/>
        <charset val="134"/>
      </rPr>
      <t>号楼工业用房</t>
    </r>
  </si>
  <si>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0001606</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</si>
  <si>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号院二区</t>
    </r>
    <r>
      <rPr>
        <sz val="9"/>
        <color theme="1"/>
        <rFont val="Arial"/>
        <family val="2"/>
      </rPr>
      <t>3</t>
    </r>
    <r>
      <rPr>
        <sz val="9"/>
        <color theme="1"/>
        <rFont val="华文细黑"/>
        <family val="3"/>
        <charset val="134"/>
      </rPr>
      <t>号楼工业用房</t>
    </r>
  </si>
  <si>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0001608</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</si>
  <si>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号院二区</t>
    </r>
    <r>
      <rPr>
        <sz val="9"/>
        <color theme="1"/>
        <rFont val="Arial"/>
        <family val="2"/>
      </rPr>
      <t>4</t>
    </r>
    <r>
      <rPr>
        <sz val="9"/>
        <color theme="1"/>
        <rFont val="华文细黑"/>
        <family val="3"/>
        <charset val="134"/>
      </rPr>
      <t>号楼工业用房</t>
    </r>
  </si>
  <si>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0001590</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</si>
  <si>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号院二区</t>
    </r>
    <r>
      <rPr>
        <sz val="9"/>
        <color theme="1"/>
        <rFont val="Arial"/>
        <family val="2"/>
      </rPr>
      <t>5</t>
    </r>
    <r>
      <rPr>
        <sz val="9"/>
        <color theme="1"/>
        <rFont val="华文细黑"/>
        <family val="3"/>
        <charset val="134"/>
      </rPr>
      <t>号楼工业用房</t>
    </r>
  </si>
  <si>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0001591</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</si>
  <si>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号院二区</t>
    </r>
    <r>
      <rPr>
        <sz val="9"/>
        <color theme="1"/>
        <rFont val="Arial"/>
        <family val="2"/>
      </rPr>
      <t>6</t>
    </r>
    <r>
      <rPr>
        <sz val="9"/>
        <color theme="1"/>
        <rFont val="华文细黑"/>
        <family val="3"/>
        <charset val="134"/>
      </rPr>
      <t>号楼工业用房</t>
    </r>
  </si>
  <si>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0001592</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</si>
  <si>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号院二区</t>
    </r>
    <r>
      <rPr>
        <sz val="9"/>
        <color theme="1"/>
        <rFont val="Arial"/>
        <family val="2"/>
      </rPr>
      <t>7</t>
    </r>
    <r>
      <rPr>
        <sz val="9"/>
        <color theme="1"/>
        <rFont val="华文细黑"/>
        <family val="3"/>
        <charset val="134"/>
      </rPr>
      <t>号楼工业用房</t>
    </r>
  </si>
  <si>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0001593</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</si>
  <si>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号院二区</t>
    </r>
    <r>
      <rPr>
        <sz val="9"/>
        <color theme="1"/>
        <rFont val="Arial"/>
        <family val="2"/>
      </rPr>
      <t>8</t>
    </r>
    <r>
      <rPr>
        <sz val="9"/>
        <color theme="1"/>
        <rFont val="华文细黑"/>
        <family val="3"/>
        <charset val="134"/>
      </rPr>
      <t>号楼工业用房</t>
    </r>
  </si>
  <si>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0001594</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</si>
  <si>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号院二区</t>
    </r>
    <r>
      <rPr>
        <sz val="9"/>
        <color theme="1"/>
        <rFont val="Arial"/>
        <family val="2"/>
      </rPr>
      <t>9</t>
    </r>
    <r>
      <rPr>
        <sz val="9"/>
        <color theme="1"/>
        <rFont val="华文细黑"/>
        <family val="3"/>
        <charset val="134"/>
      </rPr>
      <t>号楼工业用房</t>
    </r>
  </si>
  <si>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0001595</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</si>
  <si>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号院二区</t>
    </r>
    <r>
      <rPr>
        <sz val="9"/>
        <color theme="1"/>
        <rFont val="Arial"/>
        <family val="2"/>
      </rPr>
      <t>10</t>
    </r>
    <r>
      <rPr>
        <sz val="9"/>
        <color theme="1"/>
        <rFont val="华文细黑"/>
        <family val="3"/>
        <charset val="134"/>
      </rPr>
      <t>号楼工业用房</t>
    </r>
  </si>
  <si>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0001598</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</si>
  <si>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号院二区</t>
    </r>
    <r>
      <rPr>
        <sz val="9"/>
        <color theme="1"/>
        <rFont val="Arial"/>
        <family val="2"/>
      </rPr>
      <t>11</t>
    </r>
    <r>
      <rPr>
        <sz val="9"/>
        <color theme="1"/>
        <rFont val="华文细黑"/>
        <family val="3"/>
        <charset val="134"/>
      </rPr>
      <t>号楼工业用房</t>
    </r>
  </si>
  <si>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0001599</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</si>
  <si>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号院二区</t>
    </r>
    <r>
      <rPr>
        <sz val="9"/>
        <color theme="1"/>
        <rFont val="Arial"/>
        <family val="2"/>
      </rPr>
      <t>12</t>
    </r>
    <r>
      <rPr>
        <sz val="9"/>
        <color theme="1"/>
        <rFont val="华文细黑"/>
        <family val="3"/>
        <charset val="134"/>
      </rPr>
      <t>号楼工业用房</t>
    </r>
    <phoneticPr fontId="140" type="noConversion"/>
  </si>
  <si>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0001600</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</si>
  <si>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号院二区</t>
    </r>
    <r>
      <rPr>
        <sz val="9"/>
        <color theme="1"/>
        <rFont val="Arial"/>
        <family val="2"/>
      </rPr>
      <t>13</t>
    </r>
    <r>
      <rPr>
        <sz val="9"/>
        <color theme="1"/>
        <rFont val="华文细黑"/>
        <family val="3"/>
        <charset val="134"/>
      </rPr>
      <t>号楼工业用房</t>
    </r>
  </si>
  <si>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0001601</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</si>
  <si>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号院二区</t>
    </r>
    <r>
      <rPr>
        <sz val="9"/>
        <color theme="1"/>
        <rFont val="Arial"/>
        <family val="2"/>
      </rPr>
      <t>101</t>
    </r>
    <r>
      <rPr>
        <sz val="9"/>
        <color theme="1"/>
        <rFont val="华文细黑"/>
        <family val="3"/>
        <charset val="134"/>
      </rPr>
      <t>幢工业、地下车库用房</t>
    </r>
    <phoneticPr fontId="140" type="noConversion"/>
  </si>
  <si>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0024528</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</si>
  <si>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号院四区</t>
    </r>
    <r>
      <rPr>
        <sz val="9"/>
        <color theme="1"/>
        <rFont val="Arial"/>
        <family val="2"/>
      </rPr>
      <t>3</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</si>
  <si>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0000412</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</si>
  <si>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1</t>
    </r>
    <r>
      <rPr>
        <sz val="9"/>
        <color theme="1"/>
        <rFont val="华文细黑"/>
        <family val="3"/>
        <charset val="134"/>
      </rPr>
      <t>号楼工业用房</t>
    </r>
    <phoneticPr fontId="140" type="noConversion"/>
  </si>
  <si>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0000483</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</si>
  <si>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2</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</si>
  <si>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0000484</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</si>
  <si>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3</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</si>
  <si>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0000485</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</si>
  <si>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4</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</si>
  <si>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0000486</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</si>
  <si>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5</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</si>
  <si>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0000411</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</si>
  <si>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6</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</si>
  <si>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0000487</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</si>
  <si>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7</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</si>
  <si>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0000488</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</si>
  <si>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8</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</si>
  <si>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0000489</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</si>
  <si>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9</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</si>
  <si>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0000490</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</si>
  <si>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10</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</si>
  <si>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0000491</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</si>
  <si>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11</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</si>
  <si>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0000410</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</si>
  <si>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12</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</si>
  <si>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0000492</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</si>
  <si>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13</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</si>
  <si>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0000493</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</si>
  <si>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14</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</si>
  <si>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0000494</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</si>
  <si>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15</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</si>
  <si>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0000409</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</si>
  <si>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16</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</si>
  <si>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0000495</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</si>
  <si>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17</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</si>
  <si>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0000511</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</si>
  <si>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18</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</si>
  <si>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0000512</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</si>
  <si>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19</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</si>
  <si>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0000496</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</si>
  <si>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20</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</si>
  <si>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0000497</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</si>
  <si>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21</t>
    </r>
    <r>
      <rPr>
        <sz val="9"/>
        <color theme="1"/>
        <rFont val="华文细黑"/>
        <family val="3"/>
        <charset val="134"/>
      </rPr>
      <t>号楼工业用房</t>
    </r>
    <phoneticPr fontId="140" type="noConversion"/>
  </si>
  <si>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0000513</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</si>
  <si>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23</t>
    </r>
    <r>
      <rPr>
        <sz val="9"/>
        <color theme="1"/>
        <rFont val="华文细黑"/>
        <family val="3"/>
        <charset val="134"/>
      </rPr>
      <t>幢地下车库用房</t>
    </r>
    <phoneticPr fontId="140" type="noConversion"/>
  </si>
  <si>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0000499</t>
    </r>
    <r>
      <rPr>
        <sz val="9"/>
        <color theme="1"/>
        <rFont val="华文细黑"/>
        <family val="3"/>
        <charset val="134"/>
      </rPr>
      <t>号</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</si>
  <si>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0000500</t>
    </r>
    <r>
      <rPr>
        <sz val="9"/>
        <color theme="1"/>
        <rFont val="华文细黑"/>
        <family val="3"/>
        <charset val="134"/>
      </rPr>
      <t>号</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</si>
  <si>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0000501</t>
    </r>
    <r>
      <rPr>
        <sz val="9"/>
        <color theme="1"/>
        <rFont val="华文细黑"/>
        <family val="3"/>
        <charset val="134"/>
      </rPr>
      <t>号</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</si>
  <si>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0000502</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</si>
  <si>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号院四区</t>
    </r>
    <r>
      <rPr>
        <sz val="9"/>
        <color theme="1"/>
        <rFont val="Arial"/>
        <family val="2"/>
      </rPr>
      <t>5</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</si>
  <si>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0000408</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</si>
  <si>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号院四区</t>
    </r>
    <r>
      <rPr>
        <sz val="9"/>
        <color theme="1"/>
        <rFont val="Arial"/>
        <family val="2"/>
      </rPr>
      <t>6</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</si>
  <si>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0000407</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</si>
  <si>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号院四区</t>
    </r>
    <r>
      <rPr>
        <sz val="9"/>
        <color theme="1"/>
        <rFont val="Arial"/>
        <family val="2"/>
      </rPr>
      <t>7</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</si>
  <si>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0000503</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</si>
  <si>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号院四区</t>
    </r>
    <r>
      <rPr>
        <sz val="9"/>
        <color theme="1"/>
        <rFont val="Arial"/>
        <family val="2"/>
      </rPr>
      <t>8</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</si>
  <si>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0000504</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</si>
  <si>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号院四区</t>
    </r>
    <r>
      <rPr>
        <sz val="9"/>
        <color theme="1"/>
        <rFont val="Arial"/>
        <family val="2"/>
      </rPr>
      <t>9</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</si>
  <si>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0000505</t>
    </r>
    <r>
      <rPr>
        <sz val="9"/>
        <color theme="1"/>
        <rFont val="华文细黑"/>
        <family val="3"/>
        <charset val="134"/>
      </rPr>
      <t>号</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</si>
  <si>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0000506</t>
    </r>
    <r>
      <rPr>
        <sz val="9"/>
        <color theme="1"/>
        <rFont val="华文细黑"/>
        <family val="3"/>
        <charset val="134"/>
      </rPr>
      <t>号</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</si>
  <si>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0000507</t>
    </r>
    <r>
      <rPr>
        <sz val="9"/>
        <color theme="1"/>
        <rFont val="华文细黑"/>
        <family val="3"/>
        <charset val="134"/>
      </rPr>
      <t>号</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</si>
  <si>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0000508</t>
    </r>
    <r>
      <rPr>
        <sz val="9"/>
        <color theme="1"/>
        <rFont val="华文细黑"/>
        <family val="3"/>
        <charset val="134"/>
      </rPr>
      <t>号</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</si>
  <si>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0000510</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</si>
  <si>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号院四区</t>
    </r>
    <r>
      <rPr>
        <sz val="9"/>
        <color theme="1"/>
        <rFont val="Arial"/>
        <family val="2"/>
      </rPr>
      <t>1</t>
    </r>
    <r>
      <rPr>
        <sz val="9"/>
        <color theme="1"/>
        <rFont val="华文细黑"/>
        <family val="3"/>
        <charset val="134"/>
      </rPr>
      <t>号楼工业用房</t>
    </r>
    <phoneticPr fontId="140" type="noConversion"/>
  </si>
  <si>
    <r>
      <rPr>
        <sz val="9"/>
        <color theme="1"/>
        <rFont val="华文细黑"/>
        <family val="3"/>
        <charset val="134"/>
      </rPr>
      <t>北京市房山区沙岗街</t>
    </r>
    <r>
      <rPr>
        <sz val="9"/>
        <color theme="1"/>
        <rFont val="Arial"/>
        <family val="2"/>
      </rPr>
      <t>6</t>
    </r>
    <r>
      <rPr>
        <sz val="9"/>
        <color theme="1"/>
        <rFont val="华文细黑"/>
        <family val="3"/>
        <charset val="134"/>
      </rPr>
      <t>号院四区</t>
    </r>
    <r>
      <rPr>
        <sz val="9"/>
        <color theme="1"/>
        <rFont val="Arial"/>
        <family val="2"/>
      </rPr>
      <t>2</t>
    </r>
    <r>
      <rPr>
        <sz val="9"/>
        <color theme="1"/>
        <rFont val="华文细黑"/>
        <family val="3"/>
        <charset val="134"/>
      </rPr>
      <t>号楼工业用房</t>
    </r>
    <phoneticPr fontId="140" type="noConversion"/>
  </si>
  <si>
    <r>
      <rPr>
        <sz val="9"/>
        <color theme="1"/>
        <rFont val="华文细黑"/>
        <family val="3"/>
        <charset val="134"/>
      </rPr>
      <t>北京市房山区沙岗街</t>
    </r>
    <r>
      <rPr>
        <sz val="9"/>
        <color theme="1"/>
        <rFont val="Arial"/>
        <family val="2"/>
      </rPr>
      <t>6</t>
    </r>
    <r>
      <rPr>
        <sz val="9"/>
        <color theme="1"/>
        <rFont val="华文细黑"/>
        <family val="3"/>
        <charset val="134"/>
      </rPr>
      <t>号院四区</t>
    </r>
    <r>
      <rPr>
        <sz val="9"/>
        <color theme="1"/>
        <rFont val="Arial"/>
        <family val="2"/>
      </rPr>
      <t>4</t>
    </r>
    <r>
      <rPr>
        <sz val="9"/>
        <color theme="1"/>
        <rFont val="华文细黑"/>
        <family val="3"/>
        <charset val="134"/>
      </rPr>
      <t>号楼工业用房</t>
    </r>
    <phoneticPr fontId="140" type="noConversion"/>
  </si>
  <si>
    <r>
      <rPr>
        <sz val="9"/>
        <color theme="1"/>
        <rFont val="华文细黑"/>
        <family val="3"/>
        <charset val="134"/>
      </rPr>
      <t>北京市房山区沙岗街</t>
    </r>
    <r>
      <rPr>
        <sz val="9"/>
        <color theme="1"/>
        <rFont val="Arial"/>
        <family val="2"/>
      </rPr>
      <t>6</t>
    </r>
    <r>
      <rPr>
        <sz val="9"/>
        <color theme="1"/>
        <rFont val="华文细黑"/>
        <family val="3"/>
        <charset val="134"/>
      </rPr>
      <t>号院四区</t>
    </r>
    <r>
      <rPr>
        <sz val="9"/>
        <color theme="1"/>
        <rFont val="Arial"/>
        <family val="2"/>
      </rPr>
      <t>10</t>
    </r>
    <r>
      <rPr>
        <sz val="9"/>
        <color theme="1"/>
        <rFont val="华文细黑"/>
        <family val="3"/>
        <charset val="134"/>
      </rPr>
      <t>号楼工业用房</t>
    </r>
    <phoneticPr fontId="140" type="noConversion"/>
  </si>
  <si>
    <r>
      <rPr>
        <sz val="9"/>
        <color theme="1"/>
        <rFont val="华文细黑"/>
        <family val="3"/>
        <charset val="134"/>
      </rPr>
      <t>北京市房山区沙岗街</t>
    </r>
    <r>
      <rPr>
        <sz val="9"/>
        <color theme="1"/>
        <rFont val="Arial"/>
        <family val="2"/>
      </rPr>
      <t>6</t>
    </r>
    <r>
      <rPr>
        <sz val="9"/>
        <color theme="1"/>
        <rFont val="华文细黑"/>
        <family val="3"/>
        <charset val="134"/>
      </rPr>
      <t>号院四区</t>
    </r>
    <r>
      <rPr>
        <sz val="9"/>
        <color theme="1"/>
        <rFont val="Arial"/>
        <family val="2"/>
      </rPr>
      <t>11</t>
    </r>
    <r>
      <rPr>
        <sz val="9"/>
        <color theme="1"/>
        <rFont val="华文细黑"/>
        <family val="3"/>
        <charset val="134"/>
      </rPr>
      <t>号楼工业用房</t>
    </r>
    <phoneticPr fontId="140" type="noConversion"/>
  </si>
  <si>
    <r>
      <rPr>
        <sz val="9"/>
        <color theme="1"/>
        <rFont val="华文细黑"/>
        <family val="3"/>
        <charset val="134"/>
      </rPr>
      <t>北京市房山区沙岗街</t>
    </r>
    <r>
      <rPr>
        <sz val="9"/>
        <color theme="1"/>
        <rFont val="Arial"/>
        <family val="2"/>
      </rPr>
      <t>6</t>
    </r>
    <r>
      <rPr>
        <sz val="9"/>
        <color theme="1"/>
        <rFont val="华文细黑"/>
        <family val="3"/>
        <charset val="134"/>
      </rPr>
      <t>号院四区</t>
    </r>
    <r>
      <rPr>
        <sz val="9"/>
        <color theme="1"/>
        <rFont val="Arial"/>
        <family val="2"/>
      </rPr>
      <t>12</t>
    </r>
    <r>
      <rPr>
        <sz val="9"/>
        <color theme="1"/>
        <rFont val="华文细黑"/>
        <family val="3"/>
        <charset val="134"/>
      </rPr>
      <t>号楼工业用房</t>
    </r>
    <phoneticPr fontId="140" type="noConversion"/>
  </si>
  <si>
    <r>
      <rPr>
        <sz val="9"/>
        <color theme="1"/>
        <rFont val="华文细黑"/>
        <family val="3"/>
        <charset val="134"/>
      </rPr>
      <t>北京市房山区沙岗街</t>
    </r>
    <r>
      <rPr>
        <sz val="9"/>
        <color theme="1"/>
        <rFont val="Arial"/>
        <family val="2"/>
      </rPr>
      <t>6</t>
    </r>
    <r>
      <rPr>
        <sz val="9"/>
        <color theme="1"/>
        <rFont val="华文细黑"/>
        <family val="3"/>
        <charset val="134"/>
      </rPr>
      <t>号院四区</t>
    </r>
    <r>
      <rPr>
        <sz val="9"/>
        <color theme="1"/>
        <rFont val="Arial"/>
        <family val="2"/>
      </rPr>
      <t>13</t>
    </r>
    <r>
      <rPr>
        <sz val="9"/>
        <color theme="1"/>
        <rFont val="华文细黑"/>
        <family val="3"/>
        <charset val="134"/>
      </rPr>
      <t>号楼工业用房</t>
    </r>
    <phoneticPr fontId="140" type="noConversion"/>
  </si>
  <si>
    <r>
      <rPr>
        <sz val="9"/>
        <color theme="1"/>
        <rFont val="华文细黑"/>
        <family val="3"/>
        <charset val="134"/>
      </rPr>
      <t>北京市房山区沙岗街</t>
    </r>
    <r>
      <rPr>
        <sz val="9"/>
        <color theme="1"/>
        <rFont val="Arial"/>
        <family val="2"/>
      </rPr>
      <t>6</t>
    </r>
    <r>
      <rPr>
        <sz val="9"/>
        <color theme="1"/>
        <rFont val="华文细黑"/>
        <family val="3"/>
        <charset val="134"/>
      </rPr>
      <t>号院四区</t>
    </r>
    <r>
      <rPr>
        <sz val="9"/>
        <color theme="1"/>
        <rFont val="Arial"/>
        <family val="2"/>
      </rPr>
      <t>16</t>
    </r>
    <r>
      <rPr>
        <sz val="9"/>
        <color theme="1"/>
        <rFont val="华文细黑"/>
        <family val="3"/>
        <charset val="134"/>
      </rPr>
      <t>幢地下车库用房</t>
    </r>
    <phoneticPr fontId="140" type="noConversion"/>
  </si>
  <si>
    <t>序号</t>
    <phoneticPr fontId="140" type="noConversion"/>
  </si>
  <si>
    <t>建成年代</t>
    <phoneticPr fontId="3" type="noConversion"/>
  </si>
  <si>
    <t>建筑面积</t>
    <phoneticPr fontId="3" type="noConversion"/>
  </si>
  <si>
    <t>成新度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</si>
</sst>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rgb="FF000000"/>
      <name val="华文细黑"/>
      <family val="3"/>
      <charset val="134"/>
    </font>
    <font>
      <sz val="10"/>
      <color theme="1"/>
      <name val="华文细黑"/>
      <family val="3"/>
      <charset val="134"/>
    </font>
    <font>
      <sz val="10"/>
      <color rgb="FFFF0000"/>
      <name val="宋体"/>
      <family val="3"/>
      <charset val="134"/>
      <scheme val="minor"/>
    </font>
    <font>
      <sz val="10"/>
      <name val="宋体"/>
      <family val="3"/>
      <charset val="134"/>
      <scheme val="minor"/>
    </font>
    <font>
      <sz val="10"/>
      <color rgb="FFFF0000"/>
      <name val="华文细黑"/>
      <family val="3"/>
      <charset val="134"/>
    </font>
    <font>
      <sz val="10"/>
      <name val="华文细黑"/>
      <family val="3"/>
      <charset val="134"/>
    </font>
    <font>
      <sz val="11"/>
      <name val="宋体"/>
      <family val="3"/>
      <charset val="134"/>
      <scheme val="minor"/>
    </font>
    <font>
      <sz val="9"/>
      <color theme="1"/>
      <name val="华文细黑"/>
      <family val="3"/>
      <charset val="134"/>
    </font>
    <font>
      <sz val="9"/>
      <color theme="1"/>
      <name val="Arial"/>
      <family val="2"/>
    </font>
    <font>
      <sz val="9"/>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11" fillId="0" borderId="0" xfId="0" applyFont="1">
      <alignment vertical="center"/>
    </xf>
    <xf numFmtId="184" fontId="63" fillId="0" borderId="1" xfId="0" applyNumberFormat="1" applyFont="1" applyFill="1" applyBorder="1" applyAlignment="1" applyProtection="1">
      <alignment horizontal="center" vertical="center" shrinkToFit="1"/>
      <protection locked="0"/>
    </xf>
    <xf numFmtId="177" fontId="79" fillId="0" borderId="1" xfId="1" applyNumberFormat="1" applyFont="1" applyFill="1" applyBorder="1" applyAlignment="1" applyProtection="1">
      <alignment vertical="center"/>
      <protection locked="0" hidden="1"/>
    </xf>
    <xf numFmtId="0" fontId="111" fillId="0" borderId="0" xfId="0" applyNumberFormat="1" applyFont="1" applyAlignment="1"/>
    <xf numFmtId="14" fontId="111" fillId="0" borderId="0" xfId="0" applyNumberFormat="1" applyFont="1" applyAlignment="1"/>
    <xf numFmtId="0" fontId="257" fillId="0" borderId="0" xfId="0" applyNumberFormat="1" applyFont="1" applyAlignment="1"/>
    <xf numFmtId="14" fontId="257" fillId="0" borderId="0" xfId="0" applyNumberFormat="1" applyFont="1" applyAlignment="1"/>
    <xf numFmtId="0" fontId="98" fillId="0" borderId="0" xfId="0" applyFont="1" applyAlignment="1">
      <alignment horizontal="center" vertical="center" wrapText="1"/>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258" fillId="0" borderId="0" xfId="0" applyNumberFormat="1" applyFont="1" applyAlignment="1"/>
    <xf numFmtId="14" fontId="258" fillId="0" borderId="0" xfId="0" applyNumberFormat="1" applyFont="1" applyAlignment="1"/>
    <xf numFmtId="181" fontId="104" fillId="0" borderId="1" xfId="0" applyNumberFormat="1" applyFont="1" applyBorder="1" applyAlignment="1" applyProtection="1">
      <alignment vertical="center"/>
      <protection locked="0"/>
    </xf>
    <xf numFmtId="0" fontId="97" fillId="0" borderId="44" xfId="0" applyNumberFormat="1" applyFont="1" applyFill="1" applyBorder="1" applyAlignment="1" applyProtection="1">
      <alignment horizontal="center" vertical="center" wrapText="1"/>
      <protection locked="0"/>
    </xf>
    <xf numFmtId="0" fontId="255" fillId="0" borderId="1" xfId="0" applyFont="1" applyBorder="1" applyAlignment="1">
      <alignment horizontal="left" vertical="center"/>
    </xf>
    <xf numFmtId="0" fontId="170" fillId="0" borderId="1" xfId="0" applyFont="1" applyBorder="1" applyAlignment="1">
      <alignment horizontal="left" vertical="center"/>
    </xf>
    <xf numFmtId="0" fontId="103" fillId="0" borderId="1" xfId="0" applyFont="1" applyBorder="1" applyAlignment="1">
      <alignment horizontal="left" vertical="center"/>
    </xf>
    <xf numFmtId="0" fontId="256" fillId="0" borderId="1" xfId="0" applyFont="1" applyBorder="1" applyAlignment="1">
      <alignment horizontal="left" vertical="center"/>
    </xf>
    <xf numFmtId="0" fontId="118" fillId="0" borderId="1" xfId="0" applyFont="1" applyBorder="1" applyAlignment="1">
      <alignment horizontal="left" vertical="center"/>
    </xf>
    <xf numFmtId="0" fontId="259" fillId="0" borderId="1" xfId="0" applyFont="1" applyBorder="1" applyAlignment="1">
      <alignment horizontal="left" vertical="center"/>
    </xf>
    <xf numFmtId="0" fontId="55" fillId="0" borderId="1" xfId="0" applyFont="1" applyBorder="1" applyAlignment="1">
      <alignment horizontal="left" vertical="center"/>
    </xf>
    <xf numFmtId="0" fontId="260" fillId="0" borderId="1" xfId="0" applyFont="1" applyBorder="1" applyAlignment="1">
      <alignment horizontal="left" vertical="center"/>
    </xf>
    <xf numFmtId="0" fontId="111" fillId="0" borderId="0" xfId="0" applyFont="1" applyAlignment="1">
      <alignment horizontal="left" vertical="center"/>
    </xf>
    <xf numFmtId="0" fontId="111" fillId="0" borderId="1" xfId="0" applyFont="1" applyBorder="1" applyAlignment="1">
      <alignment horizontal="left" vertical="center"/>
    </xf>
    <xf numFmtId="0" fontId="111" fillId="0" borderId="1" xfId="0" applyFont="1" applyFill="1" applyBorder="1" applyAlignment="1">
      <alignment horizontal="left" vertical="center"/>
    </xf>
    <xf numFmtId="0" fontId="258" fillId="0" borderId="1" xfId="0" applyFont="1" applyBorder="1" applyAlignment="1">
      <alignment horizontal="left" vertical="center"/>
    </xf>
    <xf numFmtId="0" fontId="257" fillId="0" borderId="0" xfId="0" applyFont="1" applyAlignment="1">
      <alignment horizontal="left" vertical="center"/>
    </xf>
    <xf numFmtId="14" fontId="111" fillId="0" borderId="0" xfId="0" applyNumberFormat="1" applyFont="1" applyAlignment="1">
      <alignment horizontal="left" vertical="center"/>
    </xf>
    <xf numFmtId="0" fontId="257" fillId="0" borderId="1" xfId="0" applyFont="1" applyBorder="1" applyAlignment="1">
      <alignment horizontal="left" vertical="center"/>
    </xf>
    <xf numFmtId="31" fontId="111" fillId="0" borderId="0" xfId="0" applyNumberFormat="1" applyFont="1" applyAlignment="1">
      <alignment horizontal="left" vertical="center"/>
    </xf>
    <xf numFmtId="0" fontId="111" fillId="0" borderId="58" xfId="0" applyFont="1" applyFill="1" applyBorder="1" applyAlignment="1">
      <alignment horizontal="left" vertical="center"/>
    </xf>
    <xf numFmtId="0" fontId="111" fillId="0" borderId="0" xfId="0" applyFont="1" applyFill="1" applyBorder="1">
      <alignment vertical="center"/>
    </xf>
    <xf numFmtId="0" fontId="255" fillId="0" borderId="0" xfId="0" applyFont="1" applyBorder="1" applyAlignment="1">
      <alignment horizontal="left" vertical="center"/>
    </xf>
    <xf numFmtId="0" fontId="170" fillId="0" borderId="0" xfId="0" applyFont="1" applyBorder="1" applyAlignment="1">
      <alignment horizontal="left" vertical="center"/>
    </xf>
    <xf numFmtId="0" fontId="111" fillId="5" borderId="0" xfId="0" applyFont="1" applyFill="1" applyAlignment="1">
      <alignment horizontal="left" vertical="center"/>
    </xf>
    <xf numFmtId="10" fontId="53" fillId="0" borderId="1" xfId="0" applyNumberFormat="1" applyFont="1" applyBorder="1" applyAlignment="1" applyProtection="1">
      <alignment horizontal="center" vertical="center"/>
      <protection locked="0"/>
    </xf>
    <xf numFmtId="0" fontId="103" fillId="0" borderId="0" xfId="0" applyFont="1" applyBorder="1" applyAlignment="1">
      <alignment horizontal="left" vertical="center"/>
    </xf>
    <xf numFmtId="0" fontId="261" fillId="0" borderId="0" xfId="0" applyFont="1" applyAlignment="1">
      <alignment horizontal="center" vertical="center" wrapText="1"/>
    </xf>
    <xf numFmtId="177" fontId="111" fillId="0" borderId="0" xfId="0" applyNumberFormat="1" applyFont="1" applyAlignment="1">
      <alignment horizontal="left" vertical="center"/>
    </xf>
    <xf numFmtId="0" fontId="255" fillId="5" borderId="1" xfId="0" applyFont="1" applyFill="1" applyBorder="1" applyAlignment="1">
      <alignment horizontal="left" vertical="center"/>
    </xf>
    <xf numFmtId="0" fontId="170" fillId="5" borderId="1" xfId="0" applyFont="1" applyFill="1" applyBorder="1" applyAlignment="1">
      <alignment horizontal="left" vertical="center"/>
    </xf>
    <xf numFmtId="0" fontId="103" fillId="5" borderId="1" xfId="0" applyFont="1" applyFill="1" applyBorder="1" applyAlignment="1">
      <alignment horizontal="left" vertical="center"/>
    </xf>
    <xf numFmtId="0" fontId="55" fillId="5" borderId="1" xfId="0" applyFont="1" applyFill="1" applyBorder="1" applyAlignment="1">
      <alignment horizontal="left" vertical="center"/>
    </xf>
    <xf numFmtId="0" fontId="111" fillId="18" borderId="0" xfId="0" applyFont="1" applyFill="1" applyAlignment="1">
      <alignment horizontal="left" vertical="center"/>
    </xf>
    <xf numFmtId="177" fontId="111" fillId="18" borderId="0" xfId="0" applyNumberFormat="1" applyFont="1" applyFill="1" applyAlignment="1">
      <alignment horizontal="left" vertical="center"/>
    </xf>
    <xf numFmtId="0" fontId="120" fillId="0" borderId="0" xfId="0" applyFont="1" applyProtection="1">
      <alignment vertical="center"/>
      <protection locked="0"/>
    </xf>
    <xf numFmtId="197" fontId="111" fillId="0" borderId="0" xfId="0" applyNumberFormat="1" applyFont="1">
      <alignment vertical="center"/>
    </xf>
    <xf numFmtId="0" fontId="169" fillId="0" borderId="0" xfId="0" applyFont="1" applyBorder="1" applyAlignment="1">
      <alignment horizontal="left" vertical="center"/>
    </xf>
    <xf numFmtId="0" fontId="264" fillId="0" borderId="0" xfId="0" applyFont="1" applyAlignment="1">
      <alignment vertical="center" wrapText="1"/>
    </xf>
    <xf numFmtId="0" fontId="263" fillId="0" borderId="1" xfId="0" applyFont="1" applyBorder="1" applyAlignment="1">
      <alignment horizontal="justify" vertical="center" wrapText="1"/>
    </xf>
    <xf numFmtId="0" fontId="79" fillId="12"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55" fillId="0" borderId="1" xfId="0" applyFont="1" applyBorder="1" applyAlignment="1">
      <alignment horizontal="left" vertical="center"/>
    </xf>
    <xf numFmtId="0" fontId="255" fillId="0" borderId="1" xfId="0" applyFont="1" applyBorder="1" applyAlignment="1">
      <alignment horizontal="left" vertical="center"/>
    </xf>
    <xf numFmtId="0" fontId="170" fillId="0" borderId="1" xfId="0" applyFont="1" applyBorder="1" applyAlignment="1">
      <alignment horizontal="left" vertical="center"/>
    </xf>
    <xf numFmtId="0" fontId="256" fillId="0" borderId="1" xfId="0" applyFont="1" applyBorder="1" applyAlignment="1">
      <alignment horizontal="left" vertical="center"/>
    </xf>
    <xf numFmtId="0" fontId="258" fillId="0" borderId="1" xfId="0" applyFont="1" applyBorder="1" applyAlignment="1">
      <alignment horizontal="left" vertical="center"/>
    </xf>
    <xf numFmtId="0" fontId="111" fillId="0" borderId="1" xfId="0" applyFont="1" applyBorder="1" applyAlignment="1">
      <alignment horizontal="left" vertical="center"/>
    </xf>
    <xf numFmtId="0" fontId="260" fillId="0" borderId="1" xfId="0" applyFont="1" applyBorder="1" applyAlignment="1">
      <alignment horizontal="left" vertical="center"/>
    </xf>
    <xf numFmtId="0" fontId="170" fillId="5" borderId="1" xfId="0" applyFont="1" applyFill="1" applyBorder="1" applyAlignment="1">
      <alignment horizontal="left"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62" fillId="0" borderId="1" xfId="0" applyFont="1" applyBorder="1" applyAlignment="1">
      <alignment horizontal="justify" vertical="center" wrapText="1"/>
    </xf>
    <xf numFmtId="0" fontId="263" fillId="0" borderId="1" xfId="0" applyFont="1" applyBorder="1" applyAlignment="1">
      <alignment horizontal="justify" vertical="center" wrapText="1"/>
    </xf>
    <xf numFmtId="0" fontId="262" fillId="0" borderId="5" xfId="0" applyFont="1" applyBorder="1" applyAlignment="1">
      <alignment horizontal="left" vertical="center" wrapText="1"/>
    </xf>
    <xf numFmtId="0" fontId="262" fillId="0" borderId="54" xfId="0" applyFont="1" applyBorder="1" applyAlignment="1">
      <alignment horizontal="left" vertical="center" wrapText="1"/>
    </xf>
    <xf numFmtId="0" fontId="262" fillId="0" borderId="3" xfId="0" applyFont="1" applyBorder="1" applyAlignment="1">
      <alignment horizontal="lef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北京市房地产抵押价值预评估</v>
      </c>
    </row>
    <row r="3" spans="1:2" s="1317" customFormat="1">
      <c r="A3" s="1315" t="s">
        <v>948</v>
      </c>
      <c r="B3" s="1316">
        <f>'预评函-封皮'!B40</f>
        <v>0</v>
      </c>
    </row>
    <row r="4" spans="1:2" s="1317" customFormat="1">
      <c r="A4" s="1315" t="s">
        <v>949</v>
      </c>
      <c r="B4" s="1316" t="str">
        <f ca="1">'预评函-封皮'!B46</f>
        <v>吴薇（注册号：1419970001)、崔锴（注册号：0)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受贵公司委托，我公司对北京市房地产抵押价值进行了预评估。</v>
      </c>
    </row>
    <row r="7" spans="1:2" s="1317" customFormat="1">
      <c r="A7" s="1315" t="s">
        <v>991</v>
      </c>
      <c r="B7" s="1316" t="str">
        <f>'预评函-1'!A7</f>
        <v>估价对象为北京市房地产，为所有。根据《国有土地使用证》[]，估价对象（分摊）出让国有建设用地使用权面积为118122.57平方米，建筑面积为242531.24平方米。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估价对象为北京市房地产,属开发建设的，该项目尚在开发建设中。根据《国有土地使用证》[]，估价对象（分摊）出让国有建设用地使用权面积为118122.57平方米，规划建筑面积为242531.24平方米。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2022年7月27日（评估专业人员实地查勘之日）</v>
      </c>
    </row>
    <row r="13" spans="1:2" s="1317" customFormat="1">
      <c r="A13" s="1315" t="s">
        <v>954</v>
      </c>
      <c r="B13" s="1316" t="str">
        <f>'预评函-1'!A18</f>
        <v>本次估价的“房地产价值”是指在正常市场情况下，在价值时点2022年7月27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本次评估采用的主估价方法为成本法和收益法。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167234</v>
      </c>
    </row>
    <row r="21" spans="1:2" s="1317" customFormat="1">
      <c r="A21" s="1315" t="s">
        <v>962</v>
      </c>
      <c r="B21" s="1316">
        <f ca="1">'预评函-2'!D7</f>
        <v>6895</v>
      </c>
    </row>
    <row r="22" spans="1:2" s="1317" customFormat="1">
      <c r="A22" s="1315" t="s">
        <v>963</v>
      </c>
      <c r="B22" s="1316" t="str">
        <f ca="1">'预评函-2'!D6</f>
        <v>壹拾陆亿柒仟贰佰叁拾肆万元整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167234</v>
      </c>
    </row>
    <row r="31" spans="1:2" s="1317" customFormat="1">
      <c r="A31" s="1315" t="s">
        <v>1001</v>
      </c>
      <c r="B31" s="1316">
        <f ca="1">'预评函-2'!D15</f>
        <v>6895</v>
      </c>
    </row>
    <row r="32" spans="1:2" s="1317" customFormat="1">
      <c r="A32" s="1315" t="s">
        <v>968</v>
      </c>
      <c r="B32" s="1316" t="str">
        <f ca="1">'预评函-2'!D14</f>
        <v>壹拾陆亿柒仟贰佰叁拾肆万元整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242531.24000000002</v>
      </c>
    </row>
    <row r="44" spans="1:2" s="1317" customFormat="1">
      <c r="A44" s="1315" t="s">
        <v>1000</v>
      </c>
      <c r="B44" s="1316" t="str">
        <f>'预评函-3'!C2</f>
        <v>(分摊)土地面积</v>
      </c>
    </row>
    <row r="45" spans="1:2" s="1317" customFormat="1">
      <c r="A45" s="1315" t="s">
        <v>972</v>
      </c>
      <c r="B45" s="1316">
        <f>'预评函-3'!C4</f>
        <v>118122.57</v>
      </c>
    </row>
    <row r="46" spans="1:2" s="1317" customFormat="1">
      <c r="A46" s="1315" t="s">
        <v>998</v>
      </c>
      <c r="B46" s="1316" t="str">
        <f>'预评函-3'!D2</f>
        <v>出让国有建设用地使用权价值</v>
      </c>
    </row>
    <row r="47" spans="1:2" s="1317" customFormat="1">
      <c r="A47" s="1315" t="s">
        <v>973</v>
      </c>
      <c r="B47" s="1316">
        <f ca="1">'预评函-3'!D4</f>
        <v>51006</v>
      </c>
    </row>
    <row r="48" spans="1:2" s="1317" customFormat="1">
      <c r="A48" s="1315" t="s">
        <v>974</v>
      </c>
      <c r="B48" s="1316">
        <f ca="1">'预评函-3'!E4</f>
        <v>2103</v>
      </c>
    </row>
    <row r="49" spans="1:2" s="1317" customFormat="1">
      <c r="A49" s="1315" t="s">
        <v>975</v>
      </c>
      <c r="B49" s="1316" t="str">
        <f ca="1">'预评函-3'!D5</f>
        <v>伍亿壹仟零陆万元整</v>
      </c>
    </row>
    <row r="50" spans="1:2" s="1317" customFormat="1">
      <c r="A50" s="1315" t="s">
        <v>999</v>
      </c>
      <c r="B50" s="1316" t="str">
        <f>'预评函-3'!F2</f>
        <v>在建建筑物价值</v>
      </c>
    </row>
    <row r="51" spans="1:2" s="1317" customFormat="1">
      <c r="A51" s="1315" t="s">
        <v>976</v>
      </c>
      <c r="B51" s="1316">
        <f ca="1">'预评函-3'!F4</f>
        <v>116228</v>
      </c>
    </row>
    <row r="52" spans="1:2" s="1317" customFormat="1">
      <c r="A52" s="1315" t="s">
        <v>977</v>
      </c>
      <c r="B52" s="1316">
        <f ca="1">'预评函-3'!G4</f>
        <v>4792</v>
      </c>
    </row>
    <row r="53" spans="1:2" s="1317" customFormat="1">
      <c r="A53" s="1315" t="s">
        <v>1005</v>
      </c>
      <c r="B53" s="1316" t="str">
        <f ca="1">'预评函-3'!F5</f>
        <v>壹拾壹亿陆仟贰佰贰拾捌万元整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v>
      </c>
    </row>
    <row r="67" spans="1:2" s="1317" customFormat="1">
      <c r="A67" s="1315" t="s">
        <v>996</v>
      </c>
      <c r="B67" s="1316" t="str">
        <f>'预评函-4'!A21</f>
        <v>——</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吴薇</v>
      </c>
    </row>
    <row r="71" spans="1:2">
      <c r="A71" s="1315" t="s">
        <v>988</v>
      </c>
      <c r="B71" s="1316">
        <f ca="1">'预评函-4'!B4</f>
        <v>1419970001</v>
      </c>
    </row>
    <row r="72" spans="1:2">
      <c r="A72" s="1315" t="s">
        <v>989</v>
      </c>
      <c r="B72" s="1324" t="str">
        <f>'预评函-4'!A5</f>
        <v>崔锴</v>
      </c>
    </row>
    <row r="73" spans="1:2" s="1311" customFormat="1" ht="15" thickBot="1">
      <c r="A73" s="1318" t="s">
        <v>990</v>
      </c>
      <c r="B73" s="1319">
        <f ca="1">'预评函-4'!B5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6" sqref="F26"/>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4" t="s">
        <v>3487</v>
      </c>
      <c r="C5" s="1682" t="s">
        <v>582</v>
      </c>
      <c r="F5" s="1683" t="s">
        <v>1456</v>
      </c>
      <c r="H5" s="1683" t="s">
        <v>1457</v>
      </c>
      <c r="I5" s="1683" t="s">
        <v>1458</v>
      </c>
      <c r="K5" s="1683" t="s">
        <v>1459</v>
      </c>
      <c r="L5" s="1683" t="s">
        <v>1459</v>
      </c>
      <c r="M5" s="1683" t="s">
        <v>1459</v>
      </c>
      <c r="N5" s="1683" t="s">
        <v>1459</v>
      </c>
      <c r="O5" s="1683" t="s">
        <v>1459</v>
      </c>
      <c r="P5" s="1683" t="s">
        <v>1459</v>
      </c>
      <c r="Q5" s="1683" t="s">
        <v>1459</v>
      </c>
      <c r="R5" s="1683" t="s">
        <v>870</v>
      </c>
      <c r="S5" s="1683" t="s">
        <v>1459</v>
      </c>
      <c r="T5" s="1683" t="s">
        <v>1460</v>
      </c>
      <c r="U5" s="1683" t="s">
        <v>1459</v>
      </c>
      <c r="W5" s="1683" t="s">
        <v>1459</v>
      </c>
    </row>
    <row r="6" spans="1:23">
      <c r="A6" s="1681" t="s">
        <v>1461</v>
      </c>
      <c r="B6" s="1684" t="s">
        <v>874</v>
      </c>
      <c r="C6" s="1687" t="s">
        <v>30</v>
      </c>
      <c r="F6" s="1683" t="s">
        <v>1457</v>
      </c>
      <c r="H6" s="1683" t="s">
        <v>1462</v>
      </c>
      <c r="I6" s="1683" t="s">
        <v>1463</v>
      </c>
      <c r="K6" s="1683" t="s">
        <v>1464</v>
      </c>
      <c r="L6" s="1683" t="s">
        <v>1464</v>
      </c>
      <c r="M6" s="1683" t="s">
        <v>1464</v>
      </c>
      <c r="N6" s="1683" t="s">
        <v>1464</v>
      </c>
      <c r="O6" s="1683" t="s">
        <v>1464</v>
      </c>
      <c r="P6" s="1683" t="s">
        <v>1464</v>
      </c>
      <c r="Q6" s="1683" t="s">
        <v>1464</v>
      </c>
      <c r="R6" s="1683" t="s">
        <v>871</v>
      </c>
      <c r="S6" s="1683" t="s">
        <v>1464</v>
      </c>
      <c r="T6" s="1683"/>
      <c r="U6" s="1683" t="s">
        <v>1464</v>
      </c>
      <c r="W6" s="1683" t="s">
        <v>1464</v>
      </c>
    </row>
    <row r="7" spans="1:23">
      <c r="A7" s="1681" t="s">
        <v>1465</v>
      </c>
      <c r="B7" s="1684" t="s">
        <v>875</v>
      </c>
      <c r="C7" s="1682" t="s">
        <v>31</v>
      </c>
      <c r="F7" s="1683" t="s">
        <v>1466</v>
      </c>
      <c r="H7" s="1683" t="s">
        <v>1467</v>
      </c>
      <c r="I7" s="1683" t="s">
        <v>1468</v>
      </c>
    </row>
    <row r="8" spans="1:23">
      <c r="A8" s="1681" t="s">
        <v>1469</v>
      </c>
      <c r="B8" s="1681" t="s">
        <v>1470</v>
      </c>
      <c r="C8" s="1682" t="s">
        <v>583</v>
      </c>
      <c r="F8" s="1683" t="s">
        <v>1471</v>
      </c>
      <c r="H8" s="1683"/>
      <c r="I8" s="1683" t="s">
        <v>1472</v>
      </c>
    </row>
    <row r="9" spans="1:23">
      <c r="A9" s="1681" t="s">
        <v>1473</v>
      </c>
      <c r="B9" s="1681" t="s">
        <v>1474</v>
      </c>
      <c r="C9" s="1682" t="s">
        <v>584</v>
      </c>
      <c r="F9" s="1683" t="s">
        <v>1475</v>
      </c>
      <c r="H9" s="1683"/>
    </row>
    <row r="10" spans="1:23">
      <c r="A10" s="1681" t="s">
        <v>1476</v>
      </c>
      <c r="B10" s="1681" t="s">
        <v>1477</v>
      </c>
      <c r="C10" s="1682" t="s">
        <v>585</v>
      </c>
      <c r="F10" s="1683" t="s">
        <v>16</v>
      </c>
    </row>
    <row r="11" spans="1:23">
      <c r="A11" s="1681" t="s">
        <v>1478</v>
      </c>
      <c r="B11" s="1681" t="s">
        <v>1479</v>
      </c>
      <c r="C11" s="1682" t="s">
        <v>586</v>
      </c>
    </row>
    <row r="12" spans="1:23">
      <c r="A12" s="1681" t="s">
        <v>1480</v>
      </c>
      <c r="B12" s="1681" t="s">
        <v>1481</v>
      </c>
      <c r="C12" s="1682" t="s">
        <v>587</v>
      </c>
    </row>
    <row r="13" spans="1:23">
      <c r="A13" s="1681" t="s">
        <v>1482</v>
      </c>
      <c r="B13" s="1681" t="s">
        <v>1483</v>
      </c>
      <c r="C13" s="1682" t="s">
        <v>588</v>
      </c>
    </row>
    <row r="14" spans="1:23">
      <c r="A14" s="1681" t="s">
        <v>1484</v>
      </c>
      <c r="B14" s="1681" t="s">
        <v>1485</v>
      </c>
      <c r="C14" s="1683" t="s">
        <v>16</v>
      </c>
    </row>
    <row r="15" spans="1:23">
      <c r="A15" s="1681" t="s">
        <v>1486</v>
      </c>
      <c r="B15" s="1681" t="s">
        <v>1487</v>
      </c>
      <c r="C15" s="1682"/>
    </row>
    <row r="16" spans="1:23">
      <c r="A16" s="1681" t="s">
        <v>1488</v>
      </c>
      <c r="B16" s="1681" t="s">
        <v>576</v>
      </c>
      <c r="C16" s="1682"/>
    </row>
    <row r="17" spans="1:3">
      <c r="A17" s="1681" t="s">
        <v>1489</v>
      </c>
      <c r="B17" s="1681" t="s">
        <v>2791</v>
      </c>
      <c r="C17" s="1682"/>
    </row>
    <row r="18" spans="1:3">
      <c r="A18" s="1681" t="s">
        <v>1490</v>
      </c>
      <c r="B18" s="1681" t="s">
        <v>2935</v>
      </c>
      <c r="C18" s="1682"/>
    </row>
    <row r="19" spans="1:3">
      <c r="A19" s="1681" t="s">
        <v>1491</v>
      </c>
      <c r="B19" s="1681" t="s">
        <v>3489</v>
      </c>
      <c r="C19" s="1682"/>
    </row>
    <row r="20" spans="1:3">
      <c r="A20" s="1681" t="s">
        <v>1492</v>
      </c>
      <c r="B20" s="1681" t="s">
        <v>3491</v>
      </c>
      <c r="C20" s="1682"/>
    </row>
    <row r="21" spans="1:3">
      <c r="A21" s="1681" t="s">
        <v>1493</v>
      </c>
      <c r="B21" s="1681" t="s">
        <v>577</v>
      </c>
      <c r="C21" s="1682"/>
    </row>
    <row r="22" spans="1:3">
      <c r="A22" s="1681" t="s">
        <v>1494</v>
      </c>
      <c r="B22" s="1681" t="s">
        <v>577</v>
      </c>
      <c r="C22" s="1682"/>
    </row>
    <row r="23" spans="1:3">
      <c r="A23" s="1681" t="s">
        <v>1495</v>
      </c>
      <c r="B23" s="1681" t="s">
        <v>577</v>
      </c>
      <c r="C23" s="1682"/>
    </row>
    <row r="24" spans="1:3">
      <c r="A24" s="1681" t="s">
        <v>1496</v>
      </c>
      <c r="B24" s="1681" t="s">
        <v>577</v>
      </c>
      <c r="C24" s="1682"/>
    </row>
    <row r="25" spans="1:3">
      <c r="A25" s="1681" t="s">
        <v>1497</v>
      </c>
      <c r="B25" s="1681" t="s">
        <v>577</v>
      </c>
      <c r="C25" s="1682"/>
    </row>
    <row r="26" spans="1:3">
      <c r="A26" s="1681" t="s">
        <v>1498</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33"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3"/>
      <c r="B54" s="1689" t="s">
        <v>651</v>
      </c>
      <c r="C54" s="1686" t="s">
        <v>1008</v>
      </c>
    </row>
    <row r="55" spans="1:4">
      <c r="A55" s="3333"/>
      <c r="B55" s="1689" t="s">
        <v>652</v>
      </c>
      <c r="C55" s="1686" t="s">
        <v>1009</v>
      </c>
    </row>
    <row r="56" spans="1:4">
      <c r="A56" s="3333"/>
      <c r="B56" s="1689" t="s">
        <v>653</v>
      </c>
      <c r="C56" s="1686" t="s">
        <v>1013</v>
      </c>
    </row>
    <row r="57" spans="1:4">
      <c r="A57" s="3333"/>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42" sqref="I42"/>
    </sheetView>
  </sheetViews>
  <sheetFormatPr defaultColWidth="10" defaultRowHeight="12.75"/>
  <cols>
    <col min="1" max="1" width="16.875" style="1880" customWidth="1"/>
    <col min="2" max="2" width="10" style="1880" customWidth="1"/>
    <col min="3" max="3" width="11.5" style="1880" customWidth="1"/>
    <col min="4" max="4" width="10" style="1880" customWidth="1"/>
    <col min="5" max="5" width="12.625" style="1880" customWidth="1"/>
    <col min="6" max="6" width="10" style="1880" customWidth="1"/>
    <col min="7" max="7" width="10.75" style="1880" customWidth="1"/>
    <col min="8" max="8" width="10" style="1880" customWidth="1"/>
    <col min="9" max="9" width="11.125" style="1714" customWidth="1"/>
    <col min="10" max="10" width="10" style="1878" customWidth="1"/>
    <col min="11" max="11" width="10" style="2803" customWidth="1"/>
    <col min="12" max="13" width="10" style="2804"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3.5" thickBot="1">
      <c r="A1" s="2538" t="s">
        <v>2666</v>
      </c>
      <c r="B1" s="3342" t="str">
        <f>IF(B10="北京市","北京市",C10)&amp;F10&amp;IF(结果表!G1="在建","出让国有建设用地使用权及在建建筑物",IF(结果表!G1="土地","出让国有建设用地使用权",))&amp;B9&amp;"预评估"</f>
        <v>北京市房地产抵押价值预评估</v>
      </c>
      <c r="C1" s="3343"/>
      <c r="D1" s="3343"/>
      <c r="E1" s="3343"/>
      <c r="F1" s="3343"/>
      <c r="G1" s="3343"/>
      <c r="H1" s="3343"/>
      <c r="I1" s="3344"/>
      <c r="J1" s="2645"/>
      <c r="K1" s="2540"/>
      <c r="L1" s="2541"/>
      <c r="M1" s="2541"/>
      <c r="N1" s="2542"/>
      <c r="O1" s="1711"/>
      <c r="P1" s="2542"/>
      <c r="Q1" s="2542"/>
      <c r="R1" s="2542"/>
      <c r="S1" s="1817" t="str">
        <f>IF(B10="北京市","北京市",C10)&amp;F10&amp;IF(结果表!G1="在建","出让国有建设用地使用权及在建建筑物房地产抵押价值",IF(结果表!G1="土地","出让国有建设用地使用权抵押价值",B9))</f>
        <v>北京市房地产抵押价值</v>
      </c>
      <c r="T1" s="1880"/>
      <c r="U1" s="1880"/>
      <c r="V1" s="1880"/>
      <c r="W1" s="1880"/>
      <c r="X1" s="1880"/>
      <c r="Y1" s="1880"/>
      <c r="Z1" s="1880"/>
      <c r="AA1" s="1880"/>
      <c r="AB1" s="1880"/>
    </row>
    <row r="2" spans="1:28">
      <c r="A2" s="2539" t="s">
        <v>2667</v>
      </c>
      <c r="B2" s="2543"/>
      <c r="C2" s="2544"/>
      <c r="D2" s="2847"/>
      <c r="E2" s="2837"/>
      <c r="F2" s="2837"/>
      <c r="G2" s="2838"/>
      <c r="H2" s="2838"/>
      <c r="I2" s="2838"/>
      <c r="J2" s="2645"/>
      <c r="K2" s="2540"/>
      <c r="L2" s="2541"/>
      <c r="M2" s="2541"/>
      <c r="N2" s="2542"/>
      <c r="O2" s="1711"/>
      <c r="P2" s="2542"/>
      <c r="Q2" s="2542"/>
      <c r="R2" s="2542"/>
      <c r="S2" s="1817" t="str">
        <f>IF(B10="北京市","北京市",C10)&amp;F10&amp;IF(结果表!G1="在建","出让国有建设用地使用权及在建建筑物房地产",IF(结果表!G1="土地","出让国有建设用地使用权","房地产"))</f>
        <v>北京市房地产</v>
      </c>
      <c r="T2" s="1880"/>
      <c r="U2" s="1880"/>
      <c r="V2" s="1880"/>
      <c r="W2" s="1880"/>
      <c r="X2" s="1880"/>
      <c r="Y2" s="1880"/>
      <c r="Z2" s="1880"/>
      <c r="AA2" s="1880"/>
      <c r="AB2" s="1880"/>
    </row>
    <row r="3" spans="1:28">
      <c r="A3" s="308" t="s">
        <v>2668</v>
      </c>
      <c r="B3" s="2545">
        <v>44769</v>
      </c>
      <c r="C3" s="2546" t="s">
        <v>2669</v>
      </c>
      <c r="D3" s="2545">
        <f>B3</f>
        <v>44769</v>
      </c>
      <c r="E3" s="2838"/>
      <c r="F3" s="2838"/>
      <c r="G3" s="2838"/>
      <c r="H3" s="2838"/>
      <c r="I3" s="2838"/>
      <c r="J3" s="2645"/>
      <c r="K3" s="2540"/>
      <c r="L3" s="2541"/>
      <c r="M3" s="2541"/>
      <c r="N3" s="2542"/>
      <c r="O3" s="1711"/>
      <c r="P3" s="2542"/>
      <c r="Q3" s="2542"/>
      <c r="R3" s="2542"/>
      <c r="S3" s="1817"/>
      <c r="T3" s="1880"/>
      <c r="U3" s="1880"/>
      <c r="V3" s="1880"/>
      <c r="W3" s="1880"/>
      <c r="X3" s="1880"/>
      <c r="Y3" s="1880"/>
      <c r="Z3" s="1880"/>
      <c r="AA3" s="1880"/>
      <c r="AB3" s="1880"/>
    </row>
    <row r="4" spans="1:28" ht="13.5" thickBot="1">
      <c r="A4" s="1203" t="s">
        <v>2670</v>
      </c>
      <c r="B4" s="2547" t="s">
        <v>3509</v>
      </c>
      <c r="C4" s="2548">
        <f ca="1">SUMIF(注册房地产估价师,B4,估价师及机构信息!B3:B24)</f>
        <v>1419970001</v>
      </c>
      <c r="D4" s="2547" t="s">
        <v>3510</v>
      </c>
      <c r="E4" s="2549">
        <f ca="1">SUMIF(注册房地产估价师,D4,估价师及机构信息!B3:B24)</f>
        <v>0</v>
      </c>
      <c r="F4" s="2547"/>
      <c r="G4" s="2549">
        <f>SUMIF(注册房地产估价师,F4,估价师及机构信息!B3:B24)</f>
        <v>0</v>
      </c>
      <c r="H4" s="2547"/>
      <c r="I4" s="2549">
        <f>SUMIF(注册房地产估价师,H4,估价师及机构信息!B3:B24)</f>
        <v>0</v>
      </c>
      <c r="J4" s="2613"/>
      <c r="K4" s="2550" t="str">
        <f ca="1">CONCATENATE(B4,"（注册号：",C4,")、",D4,"（注册号：",E4,")")</f>
        <v>吴薇（注册号：1419970001)、崔锴（注册号：0)</v>
      </c>
      <c r="L4" s="2541"/>
      <c r="M4" s="2541"/>
      <c r="N4" s="2542"/>
      <c r="O4" s="1711"/>
      <c r="P4" s="2542"/>
      <c r="Q4" s="2542"/>
      <c r="R4" s="2542"/>
      <c r="S4" s="1817"/>
      <c r="T4" s="1880"/>
      <c r="U4" s="1880"/>
      <c r="V4" s="1880"/>
      <c r="W4" s="1880"/>
      <c r="X4" s="1880"/>
      <c r="Y4" s="1880"/>
      <c r="Z4" s="1880"/>
      <c r="AA4" s="1880"/>
      <c r="AB4" s="1880"/>
    </row>
    <row r="5" spans="1:28" ht="13.5" thickTop="1">
      <c r="A5" s="2551" t="s">
        <v>2671</v>
      </c>
      <c r="B5" s="2552"/>
      <c r="C5" s="2553"/>
      <c r="D5" s="2554"/>
      <c r="E5" s="2839"/>
      <c r="F5" s="2839"/>
      <c r="G5" s="2839"/>
      <c r="H5" s="2839"/>
      <c r="I5" s="2839"/>
      <c r="J5" s="2613"/>
      <c r="K5" s="2550" t="str">
        <f>IF(F4="——","",IF(H4="——",F4&amp;"（注册号："&amp;G4&amp;")",CONCATENATE(F4,"（注册号：",G4,")、",H4,"（注册号：",I4,")")))</f>
        <v>（注册号：0)、（注册号：0)</v>
      </c>
      <c r="L5" s="2541"/>
      <c r="M5" s="2541"/>
      <c r="N5" s="2542"/>
      <c r="O5" s="1711"/>
      <c r="P5" s="2542"/>
      <c r="Q5" s="2542"/>
      <c r="R5" s="2542"/>
      <c r="S5" s="1880"/>
      <c r="T5" s="1880"/>
      <c r="U5" s="1880"/>
      <c r="V5" s="1880"/>
      <c r="W5" s="1880"/>
      <c r="X5" s="1880"/>
      <c r="Y5" s="1880"/>
      <c r="Z5" s="1880"/>
      <c r="AA5" s="1880"/>
      <c r="AB5" s="1880"/>
    </row>
    <row r="6" spans="1:28">
      <c r="A6" s="2555" t="s">
        <v>2672</v>
      </c>
      <c r="B6" s="2556"/>
      <c r="C6" s="2557"/>
      <c r="D6" s="2558"/>
      <c r="E6" s="2837"/>
      <c r="F6" s="2839"/>
      <c r="G6" s="2839"/>
      <c r="H6" s="2839"/>
      <c r="I6" s="2839"/>
      <c r="J6" s="2613"/>
      <c r="K6" s="2789" t="str">
        <f>IF(COUNTIF(B6,"*上海银行*"),"上海银行","")</f>
        <v/>
      </c>
      <c r="L6" s="2787"/>
      <c r="M6" s="2787"/>
      <c r="N6" s="2613"/>
      <c r="O6" s="2624"/>
      <c r="P6" s="2613"/>
      <c r="Q6" s="2613"/>
      <c r="R6" s="2613"/>
    </row>
    <row r="7" spans="1:28">
      <c r="A7" s="2555" t="s">
        <v>2673</v>
      </c>
      <c r="B7" s="2559"/>
      <c r="C7" s="2557"/>
      <c r="D7" s="2558"/>
      <c r="E7" s="2837"/>
      <c r="F7" s="2839"/>
      <c r="G7" s="2839"/>
      <c r="H7" s="2839"/>
      <c r="I7" s="2839"/>
      <c r="J7" s="2613"/>
      <c r="K7" s="2790"/>
      <c r="L7" s="2787"/>
      <c r="M7" s="2787"/>
      <c r="N7" s="2613"/>
      <c r="O7" s="2624"/>
      <c r="P7" s="2613"/>
      <c r="Q7" s="2613"/>
      <c r="R7" s="2613"/>
    </row>
    <row r="8" spans="1:28">
      <c r="A8" s="2560" t="s">
        <v>2674</v>
      </c>
      <c r="B8" s="2561" t="s">
        <v>3237</v>
      </c>
      <c r="C8" s="2562"/>
      <c r="D8" s="3345" t="s">
        <v>2675</v>
      </c>
      <c r="E8" s="2563" t="s">
        <v>3238</v>
      </c>
      <c r="F8" s="2564"/>
      <c r="G8" s="2838"/>
      <c r="H8" s="2838"/>
      <c r="I8" s="2838"/>
      <c r="J8" s="2613"/>
      <c r="K8" s="2788"/>
      <c r="L8" s="2787"/>
      <c r="M8" s="2787"/>
      <c r="N8" s="2613"/>
      <c r="O8" s="2624"/>
      <c r="P8" s="2613"/>
      <c r="Q8" s="2613"/>
      <c r="R8" s="2613"/>
    </row>
    <row r="9" spans="1:28" ht="13.5" thickBot="1">
      <c r="A9" s="2565" t="s">
        <v>2676</v>
      </c>
      <c r="B9" s="2566" t="s">
        <v>3238</v>
      </c>
      <c r="C9" s="2567"/>
      <c r="D9" s="3346"/>
      <c r="E9" s="2566"/>
      <c r="F9" s="2568"/>
      <c r="G9" s="2840"/>
      <c r="H9" s="2840"/>
      <c r="I9" s="2840"/>
      <c r="J9" s="2613"/>
      <c r="K9" s="2790"/>
      <c r="L9" s="2787"/>
      <c r="M9" s="2787"/>
      <c r="N9" s="2613"/>
      <c r="O9" s="2624"/>
      <c r="P9" s="2613"/>
      <c r="Q9" s="2613"/>
      <c r="R9" s="2613"/>
    </row>
    <row r="10" spans="1:28" ht="13.5" thickTop="1">
      <c r="A10" s="2569" t="s">
        <v>2677</v>
      </c>
      <c r="B10" s="2570" t="s">
        <v>3239</v>
      </c>
      <c r="C10" s="2571"/>
      <c r="D10" s="2554"/>
      <c r="E10" s="2572" t="s">
        <v>2678</v>
      </c>
      <c r="F10" s="2841"/>
      <c r="G10" s="2842"/>
      <c r="H10" s="2843"/>
      <c r="I10" s="2844"/>
      <c r="J10" s="2613"/>
      <c r="K10" s="2790"/>
      <c r="L10" s="2787"/>
      <c r="M10" s="2787"/>
      <c r="N10" s="2613"/>
      <c r="O10" s="2624"/>
      <c r="P10" s="2613"/>
      <c r="Q10" s="2613"/>
      <c r="R10" s="2613"/>
    </row>
    <row r="11" spans="1:28">
      <c r="A11" s="2573" t="s">
        <v>2679</v>
      </c>
      <c r="B11" s="2574" t="s">
        <v>3240</v>
      </c>
      <c r="C11" s="2575"/>
      <c r="D11" s="2576"/>
      <c r="E11" s="2542"/>
      <c r="F11" s="2542"/>
      <c r="G11" s="2542"/>
      <c r="H11" s="2542"/>
      <c r="I11" s="2542"/>
      <c r="J11" s="2613"/>
      <c r="K11" s="2790"/>
      <c r="L11" s="2787"/>
      <c r="M11" s="2787"/>
      <c r="N11" s="2613"/>
      <c r="O11" s="2624"/>
      <c r="P11" s="2613"/>
      <c r="Q11" s="2613"/>
      <c r="R11" s="2613"/>
    </row>
    <row r="12" spans="1:28">
      <c r="A12" s="2577" t="s">
        <v>2680</v>
      </c>
      <c r="B12" s="2574" t="s">
        <v>3241</v>
      </c>
      <c r="C12" s="329" t="s">
        <v>2681</v>
      </c>
      <c r="D12" s="2578" t="s">
        <v>2682</v>
      </c>
      <c r="E12" s="2578" t="s">
        <v>2683</v>
      </c>
      <c r="F12" s="2578" t="s">
        <v>2684</v>
      </c>
      <c r="G12" s="2578" t="s">
        <v>2685</v>
      </c>
      <c r="H12" s="2578" t="s">
        <v>2686</v>
      </c>
      <c r="I12" s="2578" t="s">
        <v>2687</v>
      </c>
      <c r="J12" s="2613"/>
      <c r="K12" s="2790"/>
      <c r="L12" s="2787"/>
      <c r="M12" s="2787"/>
      <c r="N12" s="2613"/>
      <c r="O12" s="2624"/>
      <c r="P12" s="2613"/>
      <c r="Q12" s="2613"/>
      <c r="R12" s="2613"/>
    </row>
    <row r="13" spans="1:28" ht="15">
      <c r="A13" s="1194"/>
      <c r="B13" s="2579"/>
      <c r="C13" s="2580" t="s">
        <v>2688</v>
      </c>
      <c r="D13" s="946"/>
      <c r="E13" s="946"/>
      <c r="F13" s="946"/>
      <c r="G13" s="3241">
        <v>59926</v>
      </c>
      <c r="H13" s="3241"/>
      <c r="I13" s="946">
        <v>59926</v>
      </c>
      <c r="J13" s="2613"/>
      <c r="K13" s="2790"/>
      <c r="L13" s="2787"/>
      <c r="M13" s="2787"/>
      <c r="N13" s="2613"/>
      <c r="O13" s="2624"/>
      <c r="P13" s="2613"/>
      <c r="Q13" s="2613"/>
      <c r="R13" s="2613"/>
    </row>
    <row r="14" spans="1:28">
      <c r="A14" s="1194"/>
      <c r="B14" s="2579"/>
      <c r="C14" s="2580" t="s">
        <v>2689</v>
      </c>
      <c r="D14" s="2581"/>
      <c r="E14" s="2581"/>
      <c r="F14" s="2581"/>
      <c r="G14" s="2581">
        <v>50</v>
      </c>
      <c r="H14" s="2581"/>
      <c r="I14" s="2581">
        <v>50</v>
      </c>
      <c r="J14" s="2613"/>
      <c r="K14" s="2791"/>
      <c r="L14" s="2787"/>
      <c r="M14" s="2787"/>
      <c r="N14" s="2613"/>
      <c r="O14" s="2624"/>
      <c r="P14" s="2613"/>
      <c r="Q14" s="2613"/>
      <c r="R14" s="2613"/>
    </row>
    <row r="15" spans="1:28">
      <c r="A15" s="326"/>
      <c r="B15" s="2582"/>
      <c r="C15" s="2583" t="s">
        <v>2690</v>
      </c>
      <c r="D15" s="2584" t="str">
        <f>IF(B12="出让",IF(D13="","",ROUNDDOWN(MIN((D13-$D$3)/365,D14),2)),D14)</f>
        <v/>
      </c>
      <c r="E15" s="2584" t="str">
        <f>IF(B12="出让",IF(E13="","",ROUNDDOWN(MIN((E13-$D$3)/365,E14),2)),E14)</f>
        <v/>
      </c>
      <c r="F15" s="2584" t="str">
        <f>IF(B12="出让",IF(F13="","",ROUNDDOWN(MIN((F13-$D$3)/365,F14),2)),F14)</f>
        <v/>
      </c>
      <c r="G15" s="2584">
        <f>IF(B12="出让",IF(G13="","",ROUNDDOWN(MIN((G13-$D$3)/365,G14),2)),G14)</f>
        <v>41.52</v>
      </c>
      <c r="H15" s="2584" t="str">
        <f>IF(B12="出让",IF(H13="","",ROUNDDOWN(MIN((H13-$D$3)/365,H14),2)),H14)</f>
        <v/>
      </c>
      <c r="I15" s="2584">
        <f>IF(B12="出让",IF(I13="","",ROUNDDOWN(MIN((I13-$D$3)/365,I14),2)),I14)</f>
        <v>41.52</v>
      </c>
      <c r="J15" s="2613"/>
      <c r="K15" s="2792"/>
      <c r="L15" s="2625"/>
      <c r="M15" s="2625"/>
      <c r="N15" s="2683"/>
      <c r="O15" s="2625"/>
      <c r="P15" s="2683"/>
      <c r="Q15" s="2613"/>
      <c r="R15" s="2613"/>
    </row>
    <row r="16" spans="1:28">
      <c r="A16" s="2572" t="s">
        <v>2691</v>
      </c>
      <c r="B16" s="3352"/>
      <c r="C16" s="3353"/>
      <c r="D16" s="3354"/>
      <c r="E16" s="2587" t="s">
        <v>2692</v>
      </c>
      <c r="F16" s="3355"/>
      <c r="G16" s="3356"/>
      <c r="H16" s="3356"/>
      <c r="I16" s="3357"/>
      <c r="J16" s="2613"/>
      <c r="K16" s="2792"/>
      <c r="L16" s="2625"/>
      <c r="M16" s="2625"/>
      <c r="N16" s="2683"/>
      <c r="O16" s="2625"/>
      <c r="P16" s="2683"/>
      <c r="Q16" s="2613"/>
      <c r="R16" s="2613"/>
    </row>
    <row r="17" spans="1:28">
      <c r="A17" s="319" t="s">
        <v>2693</v>
      </c>
      <c r="B17" s="308" t="s">
        <v>2694</v>
      </c>
      <c r="C17" s="11">
        <f>'数据-汇总表'!E3</f>
        <v>242531.24000000002</v>
      </c>
      <c r="D17" s="2494" t="s">
        <v>2695</v>
      </c>
      <c r="E17" s="3358" t="s">
        <v>2696</v>
      </c>
      <c r="F17" s="3359"/>
      <c r="G17" s="3359"/>
      <c r="H17" s="3359"/>
      <c r="I17" s="3360"/>
      <c r="J17" s="2613"/>
      <c r="K17" s="2793"/>
      <c r="L17" s="2625"/>
      <c r="M17" s="2625"/>
      <c r="N17" s="2683"/>
      <c r="O17" s="2625"/>
      <c r="P17" s="2683"/>
      <c r="Q17" s="2613"/>
      <c r="R17" s="2613"/>
      <c r="S17" s="2613"/>
      <c r="T17" s="2613"/>
      <c r="U17" s="2613"/>
      <c r="V17" s="2613"/>
    </row>
    <row r="18" spans="1:28" ht="24.75" thickBot="1">
      <c r="A18" s="2588" t="s">
        <v>2697</v>
      </c>
      <c r="B18" s="1203" t="s">
        <v>2698</v>
      </c>
      <c r="C18" s="2589">
        <f>'数据-汇总表'!D3</f>
        <v>118122.57</v>
      </c>
      <c r="D18" s="1205" t="s">
        <v>2699</v>
      </c>
      <c r="E18" s="3361" t="s">
        <v>2700</v>
      </c>
      <c r="F18" s="3362"/>
      <c r="G18" s="3362"/>
      <c r="H18" s="3362"/>
      <c r="I18" s="3363"/>
      <c r="J18" s="2613"/>
      <c r="K18" s="2793"/>
      <c r="L18" s="2625"/>
      <c r="M18" s="2625"/>
      <c r="N18" s="2683"/>
      <c r="O18" s="2625"/>
      <c r="P18" s="2683"/>
      <c r="Q18" s="2613"/>
      <c r="R18" s="2613"/>
      <c r="S18" s="2613"/>
      <c r="T18" s="2613"/>
      <c r="U18" s="2613"/>
      <c r="V18" s="2613"/>
    </row>
    <row r="19" spans="1:28" ht="37.5" thickTop="1" thickBot="1">
      <c r="A19" s="333" t="s">
        <v>1499</v>
      </c>
      <c r="B19" s="313" t="s">
        <v>2701</v>
      </c>
      <c r="C19" s="1698"/>
      <c r="D19" s="1699" t="s">
        <v>2702</v>
      </c>
      <c r="E19" s="1700"/>
      <c r="F19" s="1701" t="str">
        <f>IF(AND(C19="是",E19="否"),"是否提供他项权证或相关说明","")</f>
        <v/>
      </c>
      <c r="G19" s="1702"/>
      <c r="H19" s="2839"/>
      <c r="I19" s="2839"/>
      <c r="J19" s="2613"/>
      <c r="K19" s="2790"/>
      <c r="L19" s="2787"/>
      <c r="M19" s="2787"/>
      <c r="N19" s="2683"/>
      <c r="O19" s="2625"/>
      <c r="P19" s="2683"/>
      <c r="Q19" s="2613"/>
      <c r="R19" s="2613"/>
      <c r="S19" s="2613"/>
      <c r="T19" s="2613"/>
      <c r="U19" s="2613"/>
      <c r="V19" s="2613"/>
    </row>
    <row r="20" spans="1:28">
      <c r="A20" s="2807" t="s">
        <v>2703</v>
      </c>
      <c r="B20" s="3348" t="s">
        <v>2704</v>
      </c>
      <c r="C20" s="3349"/>
      <c r="D20" s="3350" t="s">
        <v>2705</v>
      </c>
      <c r="E20" s="3351"/>
      <c r="F20" s="2822" t="s">
        <v>1500</v>
      </c>
      <c r="G20" s="2839"/>
      <c r="H20" s="2839"/>
      <c r="I20" s="2839"/>
      <c r="J20" s="2613"/>
      <c r="K20" s="3347" t="s">
        <v>2706</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1"/>
      <c r="N20" s="2586"/>
      <c r="O20" s="2585"/>
      <c r="P20" s="2586"/>
      <c r="Q20" s="2542"/>
      <c r="R20" s="2542"/>
      <c r="S20" s="2542"/>
      <c r="T20" s="2542"/>
      <c r="U20" s="2542"/>
      <c r="V20" s="2542"/>
      <c r="W20" s="1880"/>
      <c r="X20" s="1880"/>
      <c r="Y20" s="1880"/>
      <c r="Z20" s="1880"/>
      <c r="AA20" s="1880"/>
      <c r="AB20" s="1880"/>
    </row>
    <row r="21" spans="1:28" ht="24.75" thickBot="1">
      <c r="A21" s="2807"/>
      <c r="B21" s="2808" t="s">
        <v>2707</v>
      </c>
      <c r="C21" s="2809" t="s">
        <v>1501</v>
      </c>
      <c r="D21" s="1703" t="s">
        <v>2708</v>
      </c>
      <c r="E21" s="2810" t="s">
        <v>1501</v>
      </c>
      <c r="F21" s="2823"/>
      <c r="G21" s="2839"/>
      <c r="H21" s="2839"/>
      <c r="I21" s="2839"/>
      <c r="J21" s="2613"/>
      <c r="K21" s="334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6"/>
      <c r="O21" s="2585"/>
      <c r="P21" s="2586"/>
      <c r="Q21" s="2542"/>
      <c r="R21" s="2542"/>
      <c r="S21" s="2542"/>
      <c r="T21" s="2542"/>
      <c r="U21" s="2542"/>
      <c r="V21" s="2542"/>
      <c r="W21" s="1880"/>
      <c r="X21" s="1880"/>
      <c r="Y21" s="1880"/>
      <c r="Z21" s="1880"/>
      <c r="AA21" s="1880"/>
      <c r="AB21" s="1880"/>
    </row>
    <row r="22" spans="1:28" ht="24.75" thickBot="1">
      <c r="A22" s="2807"/>
      <c r="B22" s="2811" t="s">
        <v>2709</v>
      </c>
      <c r="C22" s="2809" t="s">
        <v>1502</v>
      </c>
      <c r="D22" s="2838"/>
      <c r="E22" s="2838"/>
      <c r="F22" s="2838"/>
      <c r="G22" s="2839"/>
      <c r="H22" s="2839"/>
      <c r="I22" s="2839"/>
      <c r="J22" s="2613"/>
      <c r="K22" s="334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6"/>
      <c r="O22" s="2585"/>
      <c r="P22" s="2586"/>
      <c r="Q22" s="2542"/>
      <c r="R22" s="2542"/>
      <c r="S22" s="2542"/>
      <c r="T22" s="2542"/>
      <c r="U22" s="2542"/>
      <c r="V22" s="2542"/>
      <c r="W22" s="1880"/>
      <c r="X22" s="1880"/>
      <c r="Y22" s="1880"/>
      <c r="Z22" s="1880"/>
      <c r="AA22" s="1880"/>
      <c r="AB22" s="1880"/>
    </row>
    <row r="23" spans="1:28">
      <c r="A23" s="2812" t="s">
        <v>2710</v>
      </c>
      <c r="B23" s="2676" t="s">
        <v>2711</v>
      </c>
      <c r="C23" s="2813"/>
      <c r="D23" s="2814" t="s">
        <v>2711</v>
      </c>
      <c r="E23" s="2815"/>
      <c r="F23" s="2838"/>
      <c r="G23" s="2839"/>
      <c r="H23" s="2839"/>
      <c r="I23" s="2839"/>
      <c r="J23" s="2613"/>
      <c r="K23" s="2794"/>
      <c r="L23" s="2649"/>
      <c r="M23" s="2787"/>
      <c r="N23" s="2683"/>
      <c r="O23" s="2625"/>
      <c r="P23" s="2683"/>
      <c r="Q23" s="2613"/>
      <c r="R23" s="2613"/>
      <c r="S23" s="2613"/>
      <c r="T23" s="2613"/>
      <c r="U23" s="2613"/>
      <c r="V23" s="2613"/>
    </row>
    <row r="24" spans="1:28">
      <c r="A24" s="2812"/>
      <c r="B24" s="2676" t="s">
        <v>1503</v>
      </c>
      <c r="C24" s="2816"/>
      <c r="D24" s="2812" t="s">
        <v>1503</v>
      </c>
      <c r="E24" s="2817"/>
      <c r="F24" s="2838"/>
      <c r="G24" s="2839"/>
      <c r="H24" s="2839"/>
      <c r="I24" s="2839"/>
      <c r="J24" s="2613"/>
      <c r="K24" s="2794"/>
      <c r="L24" s="2649"/>
      <c r="M24" s="2787"/>
      <c r="N24" s="2683"/>
      <c r="O24" s="2625"/>
      <c r="P24" s="2683"/>
      <c r="Q24" s="2613"/>
      <c r="R24" s="2613"/>
      <c r="S24" s="2613"/>
      <c r="T24" s="2613"/>
      <c r="U24" s="2613"/>
      <c r="V24" s="2613"/>
    </row>
    <row r="25" spans="1:28">
      <c r="A25" s="2812"/>
      <c r="B25" s="2676" t="s">
        <v>1504</v>
      </c>
      <c r="C25" s="2816"/>
      <c r="D25" s="2812" t="s">
        <v>1504</v>
      </c>
      <c r="E25" s="2817"/>
      <c r="F25" s="2838"/>
      <c r="G25" s="2839"/>
      <c r="H25" s="2839"/>
      <c r="I25" s="2839"/>
      <c r="J25" s="2613"/>
      <c r="K25" s="2790"/>
      <c r="L25" s="2787"/>
      <c r="M25" s="2787"/>
      <c r="N25" s="2683"/>
      <c r="O25" s="2625"/>
      <c r="P25" s="2683"/>
      <c r="Q25" s="2613"/>
      <c r="R25" s="2613"/>
      <c r="S25" s="2613"/>
      <c r="T25" s="2613"/>
      <c r="U25" s="2613"/>
      <c r="V25" s="2613"/>
    </row>
    <row r="26" spans="1:28" ht="13.5" thickBot="1">
      <c r="A26" s="2818"/>
      <c r="B26" s="2819" t="s">
        <v>1505</v>
      </c>
      <c r="C26" s="2820"/>
      <c r="D26" s="2818" t="s">
        <v>1505</v>
      </c>
      <c r="E26" s="2821"/>
      <c r="F26" s="2840"/>
      <c r="G26" s="2840"/>
      <c r="H26" s="2840"/>
      <c r="I26" s="2840"/>
      <c r="J26" s="2613"/>
      <c r="K26" s="2790"/>
      <c r="L26" s="2787"/>
      <c r="M26" s="2787"/>
      <c r="N26" s="2683"/>
      <c r="O26" s="2625"/>
      <c r="P26" s="2683"/>
      <c r="Q26" s="2613"/>
      <c r="R26" s="2613"/>
      <c r="S26" s="2613"/>
      <c r="T26" s="2613"/>
      <c r="U26" s="2613"/>
      <c r="V26" s="2613"/>
    </row>
    <row r="27" spans="1:28" ht="13.5" thickTop="1">
      <c r="A27" s="3335" t="s">
        <v>2712</v>
      </c>
      <c r="B27" s="326" t="s">
        <v>2713</v>
      </c>
      <c r="C27" s="2590"/>
      <c r="D27" s="2591"/>
      <c r="E27" s="2839"/>
      <c r="F27" s="2839"/>
      <c r="G27" s="2839"/>
      <c r="H27" s="2839"/>
      <c r="I27" s="2839"/>
      <c r="J27" s="2613"/>
      <c r="K27" s="2792"/>
      <c r="L27" s="2625"/>
      <c r="M27" s="2625"/>
      <c r="N27" s="2683"/>
      <c r="O27" s="2625"/>
      <c r="P27" s="2683"/>
      <c r="Q27" s="2613"/>
      <c r="R27" s="2613"/>
      <c r="S27" s="2613"/>
      <c r="T27" s="2613"/>
      <c r="U27" s="2613"/>
      <c r="V27" s="2613"/>
    </row>
    <row r="28" spans="1:28">
      <c r="A28" s="3335"/>
      <c r="B28" s="308" t="s">
        <v>2714</v>
      </c>
      <c r="C28" s="2592"/>
      <c r="D28" s="2593"/>
      <c r="E28" s="2839"/>
      <c r="F28" s="2839"/>
      <c r="G28" s="2839"/>
      <c r="H28" s="2839"/>
      <c r="I28" s="2839"/>
      <c r="J28" s="2613"/>
      <c r="K28" s="2790"/>
      <c r="L28" s="2787"/>
      <c r="M28" s="2787"/>
      <c r="N28" s="2613"/>
      <c r="O28" s="2624"/>
      <c r="P28" s="2613"/>
      <c r="Q28" s="2613"/>
      <c r="R28" s="2613"/>
      <c r="S28" s="2613"/>
      <c r="T28" s="2613"/>
      <c r="U28" s="2613"/>
      <c r="V28" s="2613"/>
    </row>
    <row r="29" spans="1:28">
      <c r="A29" s="3335"/>
      <c r="B29" s="308" t="s">
        <v>2715</v>
      </c>
      <c r="C29" s="2594"/>
      <c r="D29" s="2595"/>
      <c r="E29" s="2839"/>
      <c r="F29" s="2839"/>
      <c r="G29" s="2839"/>
      <c r="H29" s="2839"/>
      <c r="I29" s="2839"/>
      <c r="J29" s="2613"/>
      <c r="K29" s="2790"/>
      <c r="L29" s="2787"/>
      <c r="M29" s="2787"/>
      <c r="N29" s="2613"/>
      <c r="O29" s="2624"/>
      <c r="P29" s="2613"/>
      <c r="Q29" s="2613"/>
      <c r="R29" s="2613"/>
      <c r="S29" s="2613"/>
      <c r="T29" s="2613"/>
      <c r="U29" s="2613"/>
      <c r="V29" s="2613"/>
    </row>
    <row r="30" spans="1:28">
      <c r="A30" s="3336"/>
      <c r="B30" s="308" t="s">
        <v>2716</v>
      </c>
      <c r="C30" s="3337"/>
      <c r="D30" s="3338"/>
      <c r="E30" s="2839"/>
      <c r="F30" s="2839"/>
      <c r="G30" s="2839"/>
      <c r="H30" s="2839"/>
      <c r="I30" s="2839"/>
      <c r="J30" s="2613"/>
      <c r="K30" s="2790"/>
      <c r="L30" s="2787"/>
      <c r="M30" s="2787"/>
      <c r="N30" s="2613"/>
      <c r="O30" s="2624"/>
      <c r="P30" s="2613"/>
      <c r="Q30" s="2613"/>
      <c r="R30" s="2613"/>
      <c r="S30" s="2613"/>
      <c r="T30" s="2613"/>
      <c r="U30" s="2613"/>
      <c r="V30" s="2613"/>
    </row>
    <row r="31" spans="1:28">
      <c r="A31" s="3339" t="s">
        <v>2717</v>
      </c>
      <c r="B31" s="2596" t="s">
        <v>3242</v>
      </c>
      <c r="C31" s="2495" t="str">
        <f>IF(B31="现房","成新及维护状况正常否",IF(B31="在建","工程状态是否正常",IF(B31="土地","是否闲置","-")))</f>
        <v>成新及维护状况正常否</v>
      </c>
      <c r="D31" s="1507"/>
      <c r="E31" s="2597"/>
      <c r="F31" s="2839"/>
      <c r="G31" s="2839"/>
      <c r="H31" s="2839"/>
      <c r="I31" s="2839"/>
      <c r="J31" s="2613"/>
      <c r="K31" s="2789"/>
      <c r="L31" s="2787"/>
      <c r="M31" s="2787"/>
      <c r="N31" s="2613"/>
      <c r="O31" s="2624"/>
      <c r="P31" s="2613"/>
      <c r="Q31" s="2613"/>
      <c r="R31" s="2613"/>
      <c r="S31" s="2613"/>
      <c r="T31" s="2613"/>
      <c r="U31" s="2613"/>
      <c r="V31" s="2613"/>
    </row>
    <row r="32" spans="1:28">
      <c r="A32" s="3340"/>
      <c r="B32" s="2596"/>
      <c r="C32" s="2495" t="str">
        <f>IF(B32="现房","成新及维护状况是否正常",IF(B32="在建","工程状态是否正常",IF(B32="土地","是否闲置","-")))</f>
        <v>-</v>
      </c>
      <c r="D32" s="1507"/>
      <c r="E32" s="2597"/>
      <c r="F32" s="2839"/>
      <c r="G32" s="2839"/>
      <c r="H32" s="2839"/>
      <c r="I32" s="2839"/>
      <c r="J32" s="2613"/>
      <c r="K32" s="2790"/>
      <c r="L32" s="2787"/>
      <c r="M32" s="2787"/>
      <c r="N32" s="2613"/>
      <c r="O32" s="2624"/>
      <c r="P32" s="2613"/>
      <c r="Q32" s="2613"/>
      <c r="R32" s="2613"/>
      <c r="S32" s="2613"/>
      <c r="T32" s="2613"/>
      <c r="U32" s="2613"/>
      <c r="V32" s="2613"/>
    </row>
    <row r="33" spans="1:30">
      <c r="A33" s="3340"/>
      <c r="B33" s="2599"/>
      <c r="C33" s="1725" t="str">
        <f>IF(B33="现房","成新及维护状况是否正常",IF(B33="在建","工程状态是否正常",IF(B33="土地","是否闲置","-")))</f>
        <v>-</v>
      </c>
      <c r="D33" s="1499"/>
      <c r="E33" s="2600"/>
      <c r="F33" s="2839"/>
      <c r="G33" s="2839"/>
      <c r="H33" s="2839"/>
      <c r="I33" s="2839"/>
      <c r="J33" s="2613"/>
      <c r="K33" s="2790"/>
      <c r="L33" s="2787"/>
      <c r="M33" s="2787"/>
      <c r="N33" s="2613"/>
      <c r="O33" s="2624"/>
      <c r="P33" s="2613"/>
      <c r="Q33" s="2613"/>
      <c r="R33" s="2613"/>
      <c r="S33" s="2613"/>
      <c r="T33" s="2613"/>
      <c r="U33" s="2613"/>
      <c r="V33" s="2613"/>
    </row>
    <row r="34" spans="1:30">
      <c r="A34" s="308" t="s">
        <v>2718</v>
      </c>
      <c r="B34" s="2163"/>
      <c r="C34" s="2163"/>
      <c r="D34" s="2163"/>
      <c r="E34" s="2163"/>
      <c r="F34" s="2163"/>
      <c r="G34" s="2163"/>
      <c r="H34" s="2163"/>
      <c r="I34" s="2839"/>
      <c r="J34" s="2613"/>
      <c r="K34" s="2601">
        <f>COUNTIF(B34:H34,"——")</f>
        <v>0</v>
      </c>
      <c r="L34" s="329" t="s">
        <v>2719</v>
      </c>
      <c r="M34" s="329" t="s">
        <v>2720</v>
      </c>
      <c r="N34" s="329" t="s">
        <v>2721</v>
      </c>
      <c r="O34" s="329" t="s">
        <v>2722</v>
      </c>
      <c r="P34" s="329" t="s">
        <v>2723</v>
      </c>
      <c r="Q34" s="329" t="s">
        <v>2724</v>
      </c>
      <c r="R34" s="329" t="s">
        <v>2725</v>
      </c>
      <c r="S34" s="3334" t="s">
        <v>2726</v>
      </c>
      <c r="T34" s="2602" t="str">
        <f>NUMBERSTRING(7-K34,1)&amp;"通"</f>
        <v>七通</v>
      </c>
      <c r="U34" s="2613"/>
      <c r="V34" s="2613"/>
    </row>
    <row r="35" spans="1:30">
      <c r="A35" s="2603"/>
      <c r="B35" s="3341" t="s">
        <v>2727</v>
      </c>
      <c r="C35" s="3341"/>
      <c r="D35" s="3341"/>
      <c r="E35" s="3341"/>
      <c r="F35" s="673">
        <f>C10</f>
        <v>0</v>
      </c>
      <c r="G35" s="2839"/>
      <c r="H35" s="2839"/>
      <c r="I35" s="2839"/>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34"/>
      <c r="T35" s="335" t="str">
        <f>IF(T34="一通",L35,IF(T34="二通",M35,IF(T34="三通",N35,IF(T34="四通",O35,IF(T34="五通",P35,IF(T34="六通",Q35,R35))))))</f>
        <v>、、、、、、</v>
      </c>
      <c r="U35" s="2613"/>
      <c r="V35" s="2613"/>
    </row>
    <row r="36" spans="1:30">
      <c r="A36" s="2604"/>
      <c r="B36" s="673" t="s">
        <v>2683</v>
      </c>
      <c r="C36" s="673" t="s">
        <v>2684</v>
      </c>
      <c r="D36" s="673" t="s">
        <v>2682</v>
      </c>
      <c r="E36" s="673" t="s">
        <v>2687</v>
      </c>
      <c r="F36" s="2845"/>
      <c r="G36" s="2839"/>
      <c r="H36" s="2839"/>
      <c r="I36" s="2839"/>
      <c r="J36" s="2613"/>
      <c r="K36" s="2790"/>
      <c r="L36" s="2787"/>
      <c r="M36" s="2787"/>
      <c r="N36" s="2613"/>
      <c r="O36" s="2624"/>
      <c r="P36" s="2613"/>
      <c r="Q36" s="2613"/>
      <c r="R36" s="2613"/>
      <c r="S36" s="2613"/>
      <c r="T36" s="2613"/>
      <c r="U36" s="2613"/>
      <c r="V36" s="2613"/>
    </row>
    <row r="37" spans="1:30">
      <c r="A37" s="2805" t="s">
        <v>2728</v>
      </c>
      <c r="B37" s="2605" t="s">
        <v>533</v>
      </c>
      <c r="C37" s="2605" t="s">
        <v>533</v>
      </c>
      <c r="D37" s="2605" t="s">
        <v>533</v>
      </c>
      <c r="E37" s="2605" t="s">
        <v>533</v>
      </c>
      <c r="F37" s="2845"/>
      <c r="G37" s="2839"/>
      <c r="H37" s="2839"/>
      <c r="I37" s="2839"/>
      <c r="J37" s="2613"/>
      <c r="K37" s="2790"/>
      <c r="L37" s="2787"/>
      <c r="M37" s="2787"/>
      <c r="N37" s="2613"/>
      <c r="O37" s="2624"/>
      <c r="P37" s="2613"/>
      <c r="Q37" s="2613"/>
      <c r="R37" s="2613"/>
      <c r="S37" s="2613"/>
      <c r="T37" s="2613"/>
      <c r="U37" s="2613"/>
      <c r="V37" s="2613"/>
    </row>
    <row r="38" spans="1:30" ht="13.5" thickBot="1">
      <c r="A38" s="2806" t="s">
        <v>2729</v>
      </c>
      <c r="B38" s="2606" t="s">
        <v>233</v>
      </c>
      <c r="C38" s="2606" t="s">
        <v>233</v>
      </c>
      <c r="D38" s="2606" t="s">
        <v>233</v>
      </c>
      <c r="E38" s="2606" t="s">
        <v>233</v>
      </c>
      <c r="F38" s="2846"/>
      <c r="G38" s="2840"/>
      <c r="H38" s="2840"/>
      <c r="I38" s="2840"/>
      <c r="J38" s="2613"/>
      <c r="K38" s="2790"/>
      <c r="L38" s="2787"/>
      <c r="M38" s="2787"/>
      <c r="N38" s="2613"/>
      <c r="O38" s="2624"/>
      <c r="P38" s="2613"/>
      <c r="Q38" s="2613"/>
      <c r="R38" s="2613"/>
      <c r="S38" s="2613"/>
      <c r="T38" s="2613"/>
      <c r="U38" s="2613"/>
      <c r="V38" s="2613"/>
    </row>
    <row r="39" spans="1:30" s="2609" customFormat="1" ht="14.25" thickTop="1" thickBot="1">
      <c r="A39" s="2607" t="s">
        <v>2730</v>
      </c>
      <c r="B39" s="2608"/>
      <c r="C39" s="2608"/>
      <c r="D39" s="2608"/>
      <c r="E39" s="2608"/>
      <c r="F39" s="2608"/>
      <c r="G39" s="2608"/>
      <c r="H39" s="2608"/>
      <c r="I39" s="2608"/>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2"/>
      <c r="B40" s="2542"/>
      <c r="C40" s="2542"/>
      <c r="D40" s="2542"/>
      <c r="E40" s="2542"/>
      <c r="F40" s="2542"/>
      <c r="G40" s="2542"/>
      <c r="H40" s="2542"/>
      <c r="I40" s="1713"/>
      <c r="J40" s="2683"/>
      <c r="K40" s="2789"/>
      <c r="L40" s="2625"/>
      <c r="M40" s="2625"/>
      <c r="N40" s="2683"/>
      <c r="O40" s="2625"/>
      <c r="P40" s="2613"/>
      <c r="Q40" s="2613"/>
      <c r="R40" s="2613"/>
      <c r="S40" s="2613"/>
      <c r="T40" s="2613"/>
      <c r="U40" s="2613"/>
      <c r="V40" s="2613"/>
    </row>
    <row r="41" spans="1:30">
      <c r="A41" s="2610" t="s">
        <v>2731</v>
      </c>
      <c r="B41" s="1892"/>
      <c r="C41" s="1507"/>
      <c r="D41" s="2542"/>
      <c r="E41" s="2542"/>
      <c r="F41" s="2542"/>
      <c r="G41" s="2542"/>
      <c r="H41" s="2542"/>
      <c r="I41" s="1711"/>
      <c r="J41" s="2613"/>
      <c r="K41" s="2790"/>
      <c r="L41" s="2787"/>
      <c r="M41" s="2787"/>
      <c r="N41" s="2613"/>
      <c r="O41" s="2624"/>
      <c r="P41" s="2613"/>
      <c r="Q41" s="2613"/>
      <c r="R41" s="2613"/>
      <c r="S41" s="2613"/>
      <c r="T41" s="2613"/>
      <c r="U41" s="2613"/>
      <c r="V41" s="2613"/>
    </row>
    <row r="42" spans="1:30" ht="25.5">
      <c r="A42" s="329" t="s">
        <v>2732</v>
      </c>
      <c r="B42" s="11" t="s">
        <v>2733</v>
      </c>
      <c r="C42" s="11" t="s">
        <v>2734</v>
      </c>
      <c r="D42" s="11" t="s">
        <v>2735</v>
      </c>
      <c r="E42" s="11" t="s">
        <v>2736</v>
      </c>
      <c r="F42" s="11" t="s">
        <v>2737</v>
      </c>
      <c r="G42" s="11" t="s">
        <v>2738</v>
      </c>
      <c r="H42" s="11" t="s">
        <v>2739</v>
      </c>
      <c r="I42" s="11" t="s">
        <v>2740</v>
      </c>
      <c r="J42" s="2801" t="s">
        <v>2741</v>
      </c>
      <c r="K42" s="2802" t="s">
        <v>2742</v>
      </c>
      <c r="L42" s="2802" t="s">
        <v>2743</v>
      </c>
      <c r="M42" s="2802" t="s">
        <v>2744</v>
      </c>
      <c r="N42" s="2795" t="s">
        <v>2745</v>
      </c>
      <c r="O42" s="2795" t="s">
        <v>2746</v>
      </c>
      <c r="P42" s="2795" t="s">
        <v>2747</v>
      </c>
      <c r="Q42" s="2796" t="s">
        <v>2748</v>
      </c>
      <c r="R42" s="2796" t="s">
        <v>2749</v>
      </c>
      <c r="S42" s="2613"/>
      <c r="T42" s="2613"/>
      <c r="U42" s="2613"/>
      <c r="V42" s="2613"/>
    </row>
    <row r="43" spans="1:30" s="1878" customFormat="1">
      <c r="A43" s="1705"/>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78" customFormat="1">
      <c r="A44" s="1705"/>
      <c r="B44" s="1705"/>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78" customFormat="1">
      <c r="A45" s="1705"/>
      <c r="B45" s="1705"/>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78" customFormat="1">
      <c r="A46" s="1705"/>
      <c r="B46" s="1705"/>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78" customFormat="1">
      <c r="A47" s="1705"/>
      <c r="B47" s="1705"/>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78" customFormat="1">
      <c r="A48" s="1705"/>
      <c r="B48" s="1705"/>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78" customFormat="1">
      <c r="A49" s="1705"/>
      <c r="B49" s="1705"/>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78" customFormat="1">
      <c r="A50" s="1705"/>
      <c r="B50" s="1705"/>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78" customFormat="1">
      <c r="A51" s="1705"/>
      <c r="B51" s="1705"/>
      <c r="C51" s="1163"/>
      <c r="D51" s="1163"/>
      <c r="E51" s="1163"/>
      <c r="F51" s="1163"/>
      <c r="G51" s="1163"/>
      <c r="H51" s="1163"/>
      <c r="I51" s="1163"/>
      <c r="J51" s="2611"/>
      <c r="K51" s="2612"/>
      <c r="L51" s="2612"/>
      <c r="M51" s="1163"/>
      <c r="N51" s="1163"/>
      <c r="O51" s="1163"/>
      <c r="P51" s="1163"/>
      <c r="Q51" s="1163"/>
      <c r="R51" s="1163"/>
    </row>
    <row r="52" spans="1:22" s="1878" customFormat="1">
      <c r="A52" s="1705"/>
      <c r="B52" s="1705"/>
      <c r="C52" s="1705"/>
      <c r="D52" s="1705"/>
      <c r="E52" s="1705"/>
      <c r="F52" s="1163"/>
      <c r="G52" s="1705"/>
      <c r="H52" s="1705"/>
      <c r="I52" s="1705"/>
      <c r="J52" s="2614"/>
      <c r="K52" s="2612"/>
      <c r="L52" s="2612"/>
      <c r="M52" s="2612"/>
      <c r="N52" s="1705"/>
      <c r="O52" s="1705"/>
      <c r="P52" s="1705"/>
      <c r="Q52" s="1705"/>
      <c r="R52" s="1705"/>
    </row>
    <row r="53" spans="1:22" s="1878" customFormat="1">
      <c r="A53" s="1705"/>
      <c r="B53" s="1705"/>
      <c r="C53" s="1705"/>
      <c r="D53" s="1705"/>
      <c r="E53" s="1705"/>
      <c r="F53" s="1163"/>
      <c r="G53" s="1705"/>
      <c r="H53" s="1705"/>
      <c r="I53" s="1705"/>
      <c r="J53" s="2614"/>
      <c r="K53" s="2612"/>
      <c r="L53" s="2612"/>
      <c r="M53" s="2612"/>
      <c r="N53" s="1705"/>
      <c r="O53" s="1705"/>
      <c r="P53" s="1705"/>
      <c r="Q53" s="1705"/>
      <c r="R53" s="1705"/>
    </row>
    <row r="54" spans="1:22" s="1878" customFormat="1">
      <c r="A54" s="1705"/>
      <c r="B54" s="1705"/>
      <c r="C54" s="1705"/>
      <c r="D54" s="1705"/>
      <c r="E54" s="1705"/>
      <c r="F54" s="1163"/>
      <c r="G54" s="1705"/>
      <c r="H54" s="1705"/>
      <c r="I54" s="1705"/>
      <c r="J54" s="2614"/>
      <c r="K54" s="2612"/>
      <c r="L54" s="2612"/>
      <c r="M54" s="2612"/>
      <c r="N54" s="1705"/>
      <c r="O54" s="1705"/>
      <c r="P54" s="1705"/>
      <c r="Q54" s="1705"/>
      <c r="R54" s="1705"/>
    </row>
    <row r="55" spans="1:22" s="1878" customFormat="1">
      <c r="A55" s="1705"/>
      <c r="B55" s="1705"/>
      <c r="C55" s="1705"/>
      <c r="D55" s="1705"/>
      <c r="E55" s="1705"/>
      <c r="F55" s="1163"/>
      <c r="G55" s="1705"/>
      <c r="H55" s="1705"/>
      <c r="I55" s="1705"/>
      <c r="J55" s="2614"/>
      <c r="K55" s="2612"/>
      <c r="L55" s="2612"/>
      <c r="M55" s="2612"/>
      <c r="N55" s="1705"/>
      <c r="O55" s="1705"/>
      <c r="P55" s="1705"/>
      <c r="Q55" s="1705"/>
      <c r="R55" s="1705"/>
    </row>
    <row r="56" spans="1:22" s="1878" customFormat="1">
      <c r="A56" s="1705"/>
      <c r="B56" s="1705"/>
      <c r="C56" s="1705"/>
      <c r="D56" s="1705"/>
      <c r="E56" s="1705"/>
      <c r="F56" s="1163"/>
      <c r="G56" s="1705"/>
      <c r="H56" s="1705"/>
      <c r="I56" s="1705"/>
      <c r="J56" s="2614"/>
      <c r="K56" s="2612"/>
      <c r="L56" s="2612"/>
      <c r="M56" s="2612"/>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hidden="1" customWidth="1"/>
    <col min="11" max="11" width="11" style="1708" customWidth="1"/>
    <col min="12" max="12" width="9.5" style="1708" hidden="1" customWidth="1"/>
    <col min="13" max="13" width="9.5" style="1708" customWidth="1"/>
    <col min="14" max="14" width="9.5" style="1708" hidden="1" customWidth="1"/>
    <col min="15" max="15" width="9.875" style="1708" hidden="1" customWidth="1"/>
    <col min="16" max="16" width="9.75" style="1708" hidden="1" customWidth="1"/>
    <col min="17" max="17" width="9.375" style="1708" hidden="1" customWidth="1"/>
    <col min="18" max="18" width="9.25" style="1708" hidden="1" customWidth="1"/>
    <col min="19" max="19" width="10.875" style="1708" hidden="1" customWidth="1"/>
    <col min="20" max="21" width="10.75" style="1708" hidden="1" customWidth="1"/>
    <col min="22" max="22" width="10.875" style="1708" hidden="1" customWidth="1"/>
    <col min="23" max="27" width="10.75" style="1708" hidden="1" customWidth="1"/>
    <col min="28" max="28" width="10.875" style="1708" hidden="1" customWidth="1"/>
    <col min="29" max="29" width="11" style="1708" bestFit="1" customWidth="1"/>
    <col min="30" max="30" width="10" style="1708" hidden="1" customWidth="1"/>
    <col min="31" max="31" width="9.75" style="1708" hidden="1" customWidth="1"/>
    <col min="32" max="37" width="9.5" style="1708" hidden="1" customWidth="1"/>
    <col min="38"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1506</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1507</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1508</v>
      </c>
      <c r="B2" s="11" t="s">
        <v>1509</v>
      </c>
      <c r="C2" s="11" t="s">
        <v>1510</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60" t="s">
        <v>1511</v>
      </c>
      <c r="AZ2" s="1161" t="s">
        <v>1512</v>
      </c>
      <c r="BA2" s="11" t="s">
        <v>1513</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f>面积表!K7</f>
        <v>119876.49</v>
      </c>
      <c r="B3" s="14">
        <f>IF(C3="否",G5-AT5,G5)</f>
        <v>242531.24000000002</v>
      </c>
      <c r="C3" s="1715" t="s">
        <v>3243</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2">
        <f>面积表!K18</f>
        <v>118122.57</v>
      </c>
      <c r="AZ3" s="1163"/>
      <c r="BA3" s="1164"/>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1514</v>
      </c>
      <c r="B5" s="1481"/>
      <c r="C5" s="1481"/>
      <c r="D5" s="1483"/>
      <c r="E5" s="16" t="s">
        <v>1</v>
      </c>
      <c r="F5" s="16">
        <f>SUM(F13:F587)</f>
        <v>0</v>
      </c>
      <c r="G5" s="16">
        <f>SUM(G13:G587)</f>
        <v>242531.24000000002</v>
      </c>
      <c r="H5" s="16">
        <f t="shared" ref="H5:AT5" si="0">SUM(H13:H656)</f>
        <v>235999.26</v>
      </c>
      <c r="I5" s="16">
        <f t="shared" si="0"/>
        <v>175962.71000000002</v>
      </c>
      <c r="J5" s="16">
        <f t="shared" si="0"/>
        <v>0</v>
      </c>
      <c r="K5" s="16">
        <f t="shared" si="0"/>
        <v>29778.85</v>
      </c>
      <c r="L5" s="16">
        <f t="shared" si="0"/>
        <v>0</v>
      </c>
      <c r="M5" s="16">
        <f t="shared" si="0"/>
        <v>30257.699999999997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6531.98</v>
      </c>
      <c r="AD5" s="16">
        <f t="shared" si="0"/>
        <v>0</v>
      </c>
      <c r="AE5" s="16">
        <f t="shared" si="0"/>
        <v>0</v>
      </c>
      <c r="AF5" s="16">
        <f t="shared" si="0"/>
        <v>0</v>
      </c>
      <c r="AG5" s="16">
        <f t="shared" si="0"/>
        <v>0</v>
      </c>
      <c r="AH5" s="16">
        <f t="shared" si="0"/>
        <v>0</v>
      </c>
      <c r="AI5" s="16">
        <f t="shared" si="0"/>
        <v>0</v>
      </c>
      <c r="AJ5" s="16">
        <f t="shared" si="0"/>
        <v>0</v>
      </c>
      <c r="AK5" s="16">
        <f t="shared" si="0"/>
        <v>0</v>
      </c>
      <c r="AL5" s="16">
        <f t="shared" si="0"/>
        <v>572.02</v>
      </c>
      <c r="AM5" s="16">
        <f t="shared" si="0"/>
        <v>0</v>
      </c>
      <c r="AN5" s="16">
        <f t="shared" si="0"/>
        <v>5959.96</v>
      </c>
      <c r="AO5" s="16">
        <f t="shared" si="0"/>
        <v>0</v>
      </c>
      <c r="AP5" s="16">
        <f t="shared" si="0"/>
        <v>0</v>
      </c>
      <c r="AQ5" s="16">
        <f t="shared" si="0"/>
        <v>0</v>
      </c>
      <c r="AR5" s="16">
        <f t="shared" si="0"/>
        <v>0</v>
      </c>
      <c r="AS5" s="16">
        <f t="shared" si="0"/>
        <v>0</v>
      </c>
      <c r="AT5" s="16">
        <f t="shared" si="0"/>
        <v>0</v>
      </c>
      <c r="AU5" s="1480"/>
      <c r="AV5" s="15" t="s">
        <v>1514</v>
      </c>
      <c r="AW5" s="1481"/>
      <c r="AX5" s="1481"/>
      <c r="AY5" s="17" t="s">
        <v>3</v>
      </c>
      <c r="AZ5" s="18">
        <f t="shared" ref="AZ5:BT5" si="1">SUM(AZ13:AZ656)</f>
        <v>242531.24000000002</v>
      </c>
      <c r="BA5" s="18">
        <f t="shared" si="1"/>
        <v>235999.26</v>
      </c>
      <c r="BB5" s="18">
        <f t="shared" si="1"/>
        <v>175962.71000000002</v>
      </c>
      <c r="BC5" s="18">
        <f t="shared" si="1"/>
        <v>29778.85</v>
      </c>
      <c r="BD5" s="18">
        <f t="shared" si="1"/>
        <v>30257.699999999997</v>
      </c>
      <c r="BE5" s="18">
        <f t="shared" si="1"/>
        <v>0</v>
      </c>
      <c r="BF5" s="18">
        <f t="shared" si="1"/>
        <v>0</v>
      </c>
      <c r="BG5" s="18">
        <f t="shared" si="1"/>
        <v>0</v>
      </c>
      <c r="BH5" s="18">
        <f t="shared" si="1"/>
        <v>0</v>
      </c>
      <c r="BI5" s="18">
        <f t="shared" si="1"/>
        <v>0</v>
      </c>
      <c r="BJ5" s="18">
        <f t="shared" si="1"/>
        <v>0</v>
      </c>
      <c r="BK5" s="18">
        <f t="shared" si="1"/>
        <v>0</v>
      </c>
      <c r="BL5" s="18">
        <f t="shared" si="1"/>
        <v>6531.98</v>
      </c>
      <c r="BM5" s="18">
        <f t="shared" si="1"/>
        <v>0</v>
      </c>
      <c r="BN5" s="18">
        <f t="shared" si="1"/>
        <v>0</v>
      </c>
      <c r="BO5" s="18">
        <f t="shared" si="1"/>
        <v>0</v>
      </c>
      <c r="BP5" s="18">
        <f t="shared" si="1"/>
        <v>0</v>
      </c>
      <c r="BQ5" s="18">
        <f t="shared" si="1"/>
        <v>572.02</v>
      </c>
      <c r="BR5" s="18">
        <f t="shared" si="1"/>
        <v>5959.96</v>
      </c>
      <c r="BS5" s="18">
        <f t="shared" si="1"/>
        <v>0</v>
      </c>
      <c r="BT5" s="19">
        <f t="shared" si="1"/>
        <v>0</v>
      </c>
    </row>
    <row r="6" spans="1:72" s="1724" customFormat="1" ht="12.75">
      <c r="A6" s="15" t="s">
        <v>1515</v>
      </c>
      <c r="B6" s="1721"/>
      <c r="C6" s="1721"/>
      <c r="D6" s="1722"/>
      <c r="E6" s="16">
        <f>H6+AC6+AT6</f>
        <v>119876.48000000001</v>
      </c>
      <c r="F6" s="16" t="s">
        <v>1</v>
      </c>
      <c r="G6" s="16" t="s">
        <v>2</v>
      </c>
      <c r="H6" s="20">
        <f>SUMIF(I$12:AB$12,"总值",I6:AB6)</f>
        <v>116647.91</v>
      </c>
      <c r="I6" s="16">
        <f t="shared" ref="I6:AB6" si="2">ROUND($A$3*I5/$B$3,2)</f>
        <v>86973.51</v>
      </c>
      <c r="J6" s="16">
        <f t="shared" si="2"/>
        <v>0</v>
      </c>
      <c r="K6" s="16">
        <f t="shared" si="2"/>
        <v>14718.86</v>
      </c>
      <c r="L6" s="16">
        <f t="shared" si="2"/>
        <v>0</v>
      </c>
      <c r="M6" s="16">
        <f t="shared" si="2"/>
        <v>14955.54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3228.57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282.73</v>
      </c>
      <c r="AM6" s="16">
        <f t="shared" si="3"/>
        <v>0</v>
      </c>
      <c r="AN6" s="16">
        <f t="shared" si="3"/>
        <v>2945.84</v>
      </c>
      <c r="AO6" s="16">
        <f t="shared" si="3"/>
        <v>0</v>
      </c>
      <c r="AP6" s="16">
        <f t="shared" si="3"/>
        <v>0</v>
      </c>
      <c r="AQ6" s="16">
        <f t="shared" si="3"/>
        <v>0</v>
      </c>
      <c r="AR6" s="16">
        <f t="shared" si="3"/>
        <v>0</v>
      </c>
      <c r="AS6" s="16">
        <f t="shared" si="3"/>
        <v>0</v>
      </c>
      <c r="AT6" s="20">
        <f>IF(C3="是",ROUND($A$3*AT5/$B$3,2),0)</f>
        <v>0</v>
      </c>
      <c r="AU6" s="1723"/>
      <c r="AV6" s="15" t="s">
        <v>1515</v>
      </c>
      <c r="AW6" s="1721"/>
      <c r="AX6" s="1721"/>
      <c r="AY6" s="21">
        <f>IF(AY3&gt;0,AY3,ROUND($A$3*AZ5/$B$3,2))</f>
        <v>118122.57</v>
      </c>
      <c r="AZ6" s="16" t="s">
        <v>3</v>
      </c>
      <c r="BA6" s="16">
        <f>ROUND($AY$6*BA5/$AZ$5,2)</f>
        <v>114941.23</v>
      </c>
      <c r="BB6" s="16">
        <f>ROUND($AY$6*BB5/$AZ$5,2)</f>
        <v>85700.99</v>
      </c>
      <c r="BC6" s="16">
        <f t="shared" ref="BC6:BH6" si="4">ROUND($AY$6*BC5/$AZ$5,2)</f>
        <v>14503.51</v>
      </c>
      <c r="BD6" s="16">
        <f t="shared" si="4"/>
        <v>14736.73</v>
      </c>
      <c r="BE6" s="16">
        <f t="shared" si="4"/>
        <v>0</v>
      </c>
      <c r="BF6" s="16">
        <f t="shared" si="4"/>
        <v>0</v>
      </c>
      <c r="BG6" s="16">
        <f t="shared" si="4"/>
        <v>0</v>
      </c>
      <c r="BH6" s="16">
        <f t="shared" si="4"/>
        <v>0</v>
      </c>
      <c r="BI6" s="16">
        <f t="shared" ref="BI6:BT6" si="5">ROUND($AY$6*BI5/$AZ$5,2)</f>
        <v>0</v>
      </c>
      <c r="BJ6" s="16">
        <f t="shared" si="5"/>
        <v>0</v>
      </c>
      <c r="BK6" s="16">
        <f t="shared" si="5"/>
        <v>0</v>
      </c>
      <c r="BL6" s="16">
        <f t="shared" si="5"/>
        <v>3181.34</v>
      </c>
      <c r="BM6" s="16">
        <f t="shared" si="5"/>
        <v>0</v>
      </c>
      <c r="BN6" s="16">
        <f t="shared" si="5"/>
        <v>0</v>
      </c>
      <c r="BO6" s="16">
        <f t="shared" si="5"/>
        <v>0</v>
      </c>
      <c r="BP6" s="16">
        <f t="shared" si="5"/>
        <v>0</v>
      </c>
      <c r="BQ6" s="16">
        <f t="shared" si="5"/>
        <v>278.60000000000002</v>
      </c>
      <c r="BR6" s="16">
        <f t="shared" si="5"/>
        <v>2902.74</v>
      </c>
      <c r="BS6" s="16">
        <f t="shared" si="5"/>
        <v>0</v>
      </c>
      <c r="BT6" s="22">
        <f t="shared" si="5"/>
        <v>0</v>
      </c>
    </row>
    <row r="7" spans="1:72" s="1714" customFormat="1" ht="24.75">
      <c r="A7" s="1704" t="s">
        <v>1516</v>
      </c>
      <c r="B7" s="1704" t="s">
        <v>1517</v>
      </c>
      <c r="C7" s="1704" t="s">
        <v>1518</v>
      </c>
      <c r="D7" s="1704" t="s">
        <v>1519</v>
      </c>
      <c r="E7" s="1704" t="s">
        <v>1520</v>
      </c>
      <c r="F7" s="1704" t="s">
        <v>1521</v>
      </c>
      <c r="G7" s="1725" t="s">
        <v>1522</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1523</v>
      </c>
      <c r="AV7" s="23" t="s">
        <v>1524</v>
      </c>
      <c r="AW7" s="1713" t="s">
        <v>1525</v>
      </c>
      <c r="AX7" s="23" t="s">
        <v>1518</v>
      </c>
      <c r="AY7" s="1481" t="s">
        <v>1526</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1527</v>
      </c>
      <c r="H8" s="1731" t="s">
        <v>1528</v>
      </c>
      <c r="I8" s="1732"/>
      <c r="J8" s="1494"/>
      <c r="K8" s="1494"/>
      <c r="L8" s="1494"/>
      <c r="M8" s="1494"/>
      <c r="N8" s="1494"/>
      <c r="O8" s="1494"/>
      <c r="P8" s="1494"/>
      <c r="Q8" s="1494"/>
      <c r="R8" s="1494"/>
      <c r="S8" s="1494"/>
      <c r="T8" s="1494"/>
      <c r="U8" s="1494"/>
      <c r="V8" s="1733"/>
      <c r="W8" s="1494"/>
      <c r="X8" s="1494"/>
      <c r="Y8" s="1494"/>
      <c r="Z8" s="1494"/>
      <c r="AA8" s="1733"/>
      <c r="AB8" s="1734"/>
      <c r="AC8" s="899" t="s">
        <v>1529</v>
      </c>
      <c r="AD8" s="1735"/>
      <c r="AE8" s="1727"/>
      <c r="AF8" s="1494"/>
      <c r="AG8" s="1494"/>
      <c r="AH8" s="1494"/>
      <c r="AI8" s="1494"/>
      <c r="AJ8" s="1494"/>
      <c r="AK8" s="1494"/>
      <c r="AL8" s="1494"/>
      <c r="AM8" s="1494"/>
      <c r="AN8" s="1494"/>
      <c r="AO8" s="1494"/>
      <c r="AP8" s="1494"/>
      <c r="AQ8" s="1494"/>
      <c r="AR8" s="1494"/>
      <c r="AS8" s="1494"/>
      <c r="AT8" s="1183" t="s">
        <v>1530</v>
      </c>
      <c r="AU8" s="1729" t="s">
        <v>1531</v>
      </c>
      <c r="AV8" s="1183"/>
      <c r="AW8" s="1712"/>
      <c r="AX8" s="1183"/>
      <c r="AY8" s="1713" t="s">
        <v>1532</v>
      </c>
      <c r="AZ8" s="1493" t="s">
        <v>1533</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3"/>
      <c r="H9" s="1737" t="s">
        <v>1534</v>
      </c>
      <c r="I9" s="1738" t="s">
        <v>3173</v>
      </c>
      <c r="J9" s="899"/>
      <c r="K9" s="1738" t="s">
        <v>3174</v>
      </c>
      <c r="L9" s="899"/>
      <c r="M9" s="1738" t="s">
        <v>3174</v>
      </c>
      <c r="N9" s="899"/>
      <c r="O9" s="1738"/>
      <c r="P9" s="899"/>
      <c r="Q9" s="1738"/>
      <c r="R9" s="899"/>
      <c r="S9" s="1738"/>
      <c r="T9" s="899"/>
      <c r="U9" s="1738"/>
      <c r="V9" s="899"/>
      <c r="W9" s="1738"/>
      <c r="X9" s="1739"/>
      <c r="Y9" s="1738"/>
      <c r="Z9" s="899"/>
      <c r="AA9" s="1738"/>
      <c r="AB9" s="899"/>
      <c r="AC9" s="1730" t="s">
        <v>1534</v>
      </c>
      <c r="AD9" s="15" t="s">
        <v>1535</v>
      </c>
      <c r="AE9" s="1189"/>
      <c r="AF9" s="15" t="s">
        <v>1536</v>
      </c>
      <c r="AG9" s="1189"/>
      <c r="AH9" s="15" t="s">
        <v>1535</v>
      </c>
      <c r="AI9" s="1189"/>
      <c r="AJ9" s="15" t="s">
        <v>1536</v>
      </c>
      <c r="AK9" s="1189"/>
      <c r="AL9" s="15" t="s">
        <v>1535</v>
      </c>
      <c r="AM9" s="1189"/>
      <c r="AN9" s="15" t="s">
        <v>1536</v>
      </c>
      <c r="AO9" s="1189"/>
      <c r="AP9" s="15" t="s">
        <v>1535</v>
      </c>
      <c r="AQ9" s="1189"/>
      <c r="AR9" s="15" t="s">
        <v>1536</v>
      </c>
      <c r="AS9" s="1740"/>
      <c r="AT9" s="1729"/>
      <c r="AU9" s="1729" t="s">
        <v>1537</v>
      </c>
      <c r="AV9" s="1183"/>
      <c r="AW9" s="1712"/>
      <c r="AX9" s="1183"/>
      <c r="AY9" s="28"/>
      <c r="AZ9" s="28" t="s">
        <v>1527</v>
      </c>
      <c r="BA9" s="1741" t="s">
        <v>1538</v>
      </c>
      <c r="BB9" s="1742"/>
      <c r="BC9" s="1201"/>
      <c r="BD9" s="1201"/>
      <c r="BE9" s="1201"/>
      <c r="BF9" s="1201"/>
      <c r="BG9" s="1201"/>
      <c r="BH9" s="1201"/>
      <c r="BI9" s="1201"/>
      <c r="BJ9" s="1201"/>
      <c r="BK9" s="1743"/>
      <c r="BL9" s="15" t="s">
        <v>1539</v>
      </c>
      <c r="BM9" s="1494"/>
      <c r="BN9" s="1732"/>
      <c r="BO9" s="1494"/>
      <c r="BP9" s="1494"/>
      <c r="BQ9" s="1494"/>
      <c r="BR9" s="1494"/>
      <c r="BS9" s="1494"/>
      <c r="BT9" s="26"/>
    </row>
    <row r="10" spans="1:72" s="1736" customFormat="1" ht="12.75">
      <c r="A10" s="1729"/>
      <c r="B10" s="1729"/>
      <c r="C10" s="1729"/>
      <c r="D10" s="1729"/>
      <c r="E10" s="1729"/>
      <c r="F10" s="1729"/>
      <c r="G10" s="1183"/>
      <c r="H10" s="28"/>
      <c r="I10" s="1738" t="s">
        <v>6</v>
      </c>
      <c r="J10" s="899"/>
      <c r="K10" s="1744" t="s">
        <v>3245</v>
      </c>
      <c r="L10" s="899"/>
      <c r="M10" s="1744" t="s">
        <v>3246</v>
      </c>
      <c r="N10" s="899"/>
      <c r="O10" s="1744"/>
      <c r="P10" s="899"/>
      <c r="Q10" s="1744"/>
      <c r="R10" s="899"/>
      <c r="S10" s="1744"/>
      <c r="T10" s="899"/>
      <c r="U10" s="1744"/>
      <c r="V10" s="899"/>
      <c r="W10" s="1744"/>
      <c r="X10" s="899"/>
      <c r="Y10" s="1744"/>
      <c r="Z10" s="899"/>
      <c r="AA10" s="1744"/>
      <c r="AB10" s="899"/>
      <c r="AC10" s="1183"/>
      <c r="AD10" s="15" t="s">
        <v>1540</v>
      </c>
      <c r="AE10" s="1745"/>
      <c r="AF10" s="15" t="s">
        <v>1540</v>
      </c>
      <c r="AG10" s="1745"/>
      <c r="AH10" s="15" t="s">
        <v>1541</v>
      </c>
      <c r="AI10" s="1745"/>
      <c r="AJ10" s="15" t="s">
        <v>1541</v>
      </c>
      <c r="AK10" s="1745"/>
      <c r="AL10" s="15" t="s">
        <v>1542</v>
      </c>
      <c r="AM10" s="1189"/>
      <c r="AN10" s="15" t="s">
        <v>1542</v>
      </c>
      <c r="AO10" s="1189"/>
      <c r="AP10" s="15" t="s">
        <v>1543</v>
      </c>
      <c r="AQ10" s="1189"/>
      <c r="AR10" s="15" t="s">
        <v>1543</v>
      </c>
      <c r="AS10" s="1189"/>
      <c r="AT10" s="1729"/>
      <c r="AU10" s="1729"/>
      <c r="AV10" s="1183"/>
      <c r="AW10" s="1712"/>
      <c r="AX10" s="1183"/>
      <c r="AY10" s="28"/>
      <c r="AZ10" s="28"/>
      <c r="BA10" s="1746" t="s">
        <v>1534</v>
      </c>
      <c r="BB10" s="1747" t="str">
        <f>I9</f>
        <v>地上</v>
      </c>
      <c r="BC10" s="29" t="str">
        <f>K9</f>
        <v>地下</v>
      </c>
      <c r="BD10" s="29" t="str">
        <f>M9</f>
        <v>地下</v>
      </c>
      <c r="BE10" s="29">
        <f>O9</f>
        <v>0</v>
      </c>
      <c r="BF10" s="29">
        <f>Q9</f>
        <v>0</v>
      </c>
      <c r="BG10" s="29">
        <f>S9</f>
        <v>0</v>
      </c>
      <c r="BH10" s="29">
        <f>U9</f>
        <v>0</v>
      </c>
      <c r="BI10" s="29">
        <f>W9</f>
        <v>0</v>
      </c>
      <c r="BJ10" s="29">
        <f>Y9</f>
        <v>0</v>
      </c>
      <c r="BK10" s="29">
        <f>AA9</f>
        <v>0</v>
      </c>
      <c r="BL10" s="25" t="s">
        <v>1534</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3"/>
      <c r="H11" s="1746"/>
      <c r="I11" s="1749" t="s">
        <v>3244</v>
      </c>
      <c r="J11" s="1750"/>
      <c r="K11" s="1749" t="s">
        <v>3244</v>
      </c>
      <c r="L11" s="1750"/>
      <c r="M11" s="1749" t="s">
        <v>3246</v>
      </c>
      <c r="N11" s="1750"/>
      <c r="O11" s="1749"/>
      <c r="P11" s="1750"/>
      <c r="Q11" s="1749"/>
      <c r="R11" s="1750"/>
      <c r="S11" s="1749"/>
      <c r="T11" s="1750"/>
      <c r="U11" s="1749"/>
      <c r="V11" s="1750"/>
      <c r="W11" s="1749"/>
      <c r="X11" s="1750"/>
      <c r="Y11" s="1749"/>
      <c r="Z11" s="1750"/>
      <c r="AA11" s="1749"/>
      <c r="AB11" s="1750"/>
      <c r="AC11" s="1183"/>
      <c r="AD11" s="1751" t="s">
        <v>1544</v>
      </c>
      <c r="AE11" s="1495"/>
      <c r="AF11" s="1751" t="s">
        <v>1544</v>
      </c>
      <c r="AG11" s="1495"/>
      <c r="AH11" s="1751" t="s">
        <v>1545</v>
      </c>
      <c r="AI11" s="1752"/>
      <c r="AJ11" s="1751" t="s">
        <v>1545</v>
      </c>
      <c r="AK11" s="1495"/>
      <c r="AL11" s="1493"/>
      <c r="AM11" s="1495"/>
      <c r="AN11" s="1493"/>
      <c r="AO11" s="1495"/>
      <c r="AP11" s="1493"/>
      <c r="AQ11" s="1495"/>
      <c r="AR11" s="1493"/>
      <c r="AS11" s="1495"/>
      <c r="AT11" s="1712"/>
      <c r="AU11" s="1729"/>
      <c r="AV11" s="1183"/>
      <c r="AW11" s="1712"/>
      <c r="AX11" s="1183"/>
      <c r="AY11" s="28"/>
      <c r="AZ11" s="28"/>
      <c r="BA11" s="28"/>
      <c r="BB11" s="1734" t="str">
        <f>I10</f>
        <v>工业</v>
      </c>
      <c r="BC11" s="1734" t="str">
        <f>K10</f>
        <v>仓储</v>
      </c>
      <c r="BD11" s="1734" t="str">
        <f>M10</f>
        <v>车库</v>
      </c>
      <c r="BE11" s="1734">
        <f>O10</f>
        <v>0</v>
      </c>
      <c r="BF11" s="1734">
        <f>Q10</f>
        <v>0</v>
      </c>
      <c r="BG11" s="1734">
        <f>S10</f>
        <v>0</v>
      </c>
      <c r="BH11" s="1734">
        <f>U10</f>
        <v>0</v>
      </c>
      <c r="BI11" s="1734">
        <f>W10</f>
        <v>0</v>
      </c>
      <c r="BJ11" s="1734">
        <f>Y10</f>
        <v>0</v>
      </c>
      <c r="BK11" s="1734">
        <f>AA10</f>
        <v>0</v>
      </c>
      <c r="BL11" s="1183"/>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480" t="s">
        <v>1547</v>
      </c>
      <c r="W12" s="11" t="s">
        <v>1546</v>
      </c>
      <c r="X12" s="11" t="s">
        <v>1547</v>
      </c>
      <c r="Y12" s="11" t="s">
        <v>1546</v>
      </c>
      <c r="Z12" s="11" t="s">
        <v>1547</v>
      </c>
      <c r="AA12" s="11" t="s">
        <v>1546</v>
      </c>
      <c r="AB12" s="11" t="s">
        <v>1547</v>
      </c>
      <c r="AC12" s="1756"/>
      <c r="AD12" s="1483"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754" t="s">
        <v>1547</v>
      </c>
      <c r="AT12" s="1757"/>
      <c r="AU12" s="1754"/>
      <c r="AV12" s="31"/>
      <c r="AW12" s="1713"/>
      <c r="AX12" s="31"/>
      <c r="AY12" s="1758"/>
      <c r="AZ12" s="28"/>
      <c r="BA12" s="1746"/>
      <c r="BB12" s="24" t="str">
        <f>I11</f>
        <v>标准厂房</v>
      </c>
      <c r="BC12" s="1759" t="str">
        <f>K11</f>
        <v>标准厂房</v>
      </c>
      <c r="BD12" s="1759" t="str">
        <f>M11</f>
        <v>车库</v>
      </c>
      <c r="BE12" s="1734">
        <f>O11</f>
        <v>0</v>
      </c>
      <c r="BF12" s="1734">
        <f>Q11</f>
        <v>0</v>
      </c>
      <c r="BG12" s="1734">
        <f>S11</f>
        <v>0</v>
      </c>
      <c r="BH12" s="1734">
        <f>U11</f>
        <v>0</v>
      </c>
      <c r="BI12" s="1734">
        <f>W11</f>
        <v>0</v>
      </c>
      <c r="BJ12" s="1734">
        <f>Y11</f>
        <v>0</v>
      </c>
      <c r="BK12" s="1734">
        <f>AA11</f>
        <v>0</v>
      </c>
      <c r="BL12" s="1183"/>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3"/>
      <c r="B13" s="1163"/>
      <c r="C13" s="1163"/>
      <c r="D13" s="1760" t="s">
        <v>3243</v>
      </c>
      <c r="E13" s="16">
        <f>IF($C$3="是",ROUND($A$3*G13/$B$3,2),ROUND($A$3*(G13-AT13)/$B$3,2))</f>
        <v>119876.49</v>
      </c>
      <c r="F13" s="32"/>
      <c r="G13" s="33">
        <f>H13+AC13+AT13</f>
        <v>242531.24000000002</v>
      </c>
      <c r="H13" s="20">
        <f>SUMIF(I$12:AB$12,"总值",I13:AB13)</f>
        <v>235999.26</v>
      </c>
      <c r="I13" s="1761">
        <f>面积表!K20</f>
        <v>175962.71000000002</v>
      </c>
      <c r="J13" s="1761"/>
      <c r="K13" s="1761">
        <f>面积表!K21</f>
        <v>29778.85</v>
      </c>
      <c r="L13" s="1761"/>
      <c r="M13" s="1761">
        <f>面积表!K22</f>
        <v>30257.699999999997</v>
      </c>
      <c r="N13" s="1761"/>
      <c r="O13" s="1761"/>
      <c r="P13" s="1761"/>
      <c r="Q13" s="1761"/>
      <c r="R13" s="1761"/>
      <c r="S13" s="1761"/>
      <c r="T13" s="1761"/>
      <c r="U13" s="1761"/>
      <c r="V13" s="1761"/>
      <c r="W13" s="1761"/>
      <c r="X13" s="1761"/>
      <c r="Y13" s="1761"/>
      <c r="Z13" s="1761"/>
      <c r="AA13" s="1761"/>
      <c r="AB13" s="1761"/>
      <c r="AC13" s="16">
        <f>SUMIF(AD$12:AS$12,"总值",AD13:AS13)</f>
        <v>6531.98</v>
      </c>
      <c r="AD13" s="1762"/>
      <c r="AE13" s="1762"/>
      <c r="AF13" s="1762"/>
      <c r="AG13" s="1762"/>
      <c r="AH13" s="1762"/>
      <c r="AI13" s="1762"/>
      <c r="AJ13" s="1762"/>
      <c r="AK13" s="1762"/>
      <c r="AL13" s="1762">
        <f>面积表!K23</f>
        <v>572.02</v>
      </c>
      <c r="AM13" s="1762"/>
      <c r="AN13" s="1762">
        <f>面积表!K24</f>
        <v>5959.96</v>
      </c>
      <c r="AO13" s="1762"/>
      <c r="AP13" s="1762"/>
      <c r="AQ13" s="1762"/>
      <c r="AR13" s="1762"/>
      <c r="AS13" s="1762"/>
      <c r="AT13" s="1763"/>
      <c r="AU13" s="1764"/>
      <c r="AV13" s="11">
        <f t="shared" ref="AV13:AX17" si="6">A13</f>
        <v>0</v>
      </c>
      <c r="AW13" s="11">
        <f t="shared" si="6"/>
        <v>0</v>
      </c>
      <c r="AX13" s="11">
        <f t="shared" si="6"/>
        <v>0</v>
      </c>
      <c r="AY13" s="1483">
        <f>ROUND($AY$6*AZ13/$AZ$5,2)</f>
        <v>118122.57</v>
      </c>
      <c r="AZ13" s="16">
        <f>BA13+BL13</f>
        <v>242531.24000000002</v>
      </c>
      <c r="BA13" s="16">
        <f>SUM(BB13:BK13)</f>
        <v>235999.26</v>
      </c>
      <c r="BB13" s="16">
        <f>IF($D13="是",I13-J13,0)</f>
        <v>175962.71000000002</v>
      </c>
      <c r="BC13" s="16">
        <f>IF($D13="是",K13-L13,0)</f>
        <v>29778.85</v>
      </c>
      <c r="BD13" s="16">
        <f>IF($D13="是",M13-N13,0)</f>
        <v>30257.699999999997</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6531.98</v>
      </c>
      <c r="BM13" s="16">
        <f>IF($D13="是",AD13-AE13,0)</f>
        <v>0</v>
      </c>
      <c r="BN13" s="16">
        <f>IF($D13="是",AF13-AG13,0)</f>
        <v>0</v>
      </c>
      <c r="BO13" s="16">
        <f>IF($D13="是",AH13-AI13,0)</f>
        <v>0</v>
      </c>
      <c r="BP13" s="16">
        <f>IF($D13="是",AJ13-AK13,0)</f>
        <v>0</v>
      </c>
      <c r="BQ13" s="16">
        <f>IF($D13="是",AL13-AM13,0)</f>
        <v>572.02</v>
      </c>
      <c r="BR13" s="16">
        <f>IF($D13="是",AN13-AO13,0)</f>
        <v>5959.96</v>
      </c>
      <c r="BS13" s="16">
        <f>IF($D13="是",AP13-AQ13,0)</f>
        <v>0</v>
      </c>
      <c r="BT13" s="22">
        <f>IF($D13="是",AR13-AS13,0)</f>
        <v>0</v>
      </c>
    </row>
    <row r="14" spans="1:72" s="1714" customFormat="1" ht="12.75">
      <c r="A14" s="1163"/>
      <c r="B14" s="1163"/>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3"/>
      <c r="B15" s="1163"/>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3"/>
      <c r="B16" s="1163"/>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3"/>
      <c r="B17" s="1163"/>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64" t="s">
        <v>0</v>
      </c>
      <c r="B1" s="3364" t="s">
        <v>4</v>
      </c>
      <c r="C1" s="3364" t="s">
        <v>5</v>
      </c>
      <c r="D1" s="3365" t="s">
        <v>53</v>
      </c>
      <c r="E1" s="3365" t="s">
        <v>54</v>
      </c>
      <c r="F1" s="3365"/>
      <c r="G1" s="3365"/>
      <c r="H1" s="3365"/>
      <c r="I1" s="3365"/>
      <c r="J1" s="3365"/>
      <c r="K1" s="3365"/>
      <c r="L1" s="3365"/>
      <c r="M1" s="3365"/>
    </row>
    <row r="2" spans="1:13" ht="27" customHeight="1">
      <c r="A2" s="3364"/>
      <c r="B2" s="3364"/>
      <c r="C2" s="3364"/>
      <c r="D2" s="3365"/>
      <c r="E2" s="3365" t="s">
        <v>37</v>
      </c>
      <c r="F2" s="3365" t="s">
        <v>38</v>
      </c>
      <c r="G2" s="3365"/>
      <c r="H2" s="3365"/>
      <c r="I2" s="3365"/>
      <c r="J2" s="3365" t="s">
        <v>39</v>
      </c>
      <c r="K2" s="3365"/>
      <c r="L2" s="3365"/>
      <c r="M2" s="3365"/>
    </row>
    <row r="3" spans="1:13" ht="28.5">
      <c r="A3" s="3364"/>
      <c r="B3" s="3364"/>
      <c r="C3" s="3364"/>
      <c r="D3" s="3365"/>
      <c r="E3" s="33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5" t="s">
        <v>55</v>
      </c>
      <c r="B9" s="3365"/>
      <c r="C9" s="33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topLeftCell="H1" zoomScaleNormal="100" zoomScaleSheetLayoutView="100" workbookViewId="0">
      <selection activeCell="R35" sqref="R35"/>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4"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1573</v>
      </c>
      <c r="B1" s="1254"/>
      <c r="C1" s="1254"/>
      <c r="D1" s="1254"/>
      <c r="E1" s="1254"/>
      <c r="F1" s="1254"/>
      <c r="G1" s="1254"/>
      <c r="H1" s="1254"/>
      <c r="I1" s="1254"/>
      <c r="J1" s="1254"/>
      <c r="K1" s="1254"/>
      <c r="L1" s="1254"/>
      <c r="M1" s="1254"/>
      <c r="N1" s="1254"/>
      <c r="O1" s="1254"/>
      <c r="P1" s="1254"/>
    </row>
    <row r="2" spans="1:16" ht="15">
      <c r="A2" s="3375" t="s">
        <v>1574</v>
      </c>
      <c r="B2" s="3375"/>
      <c r="C2" s="3375"/>
      <c r="D2" s="885" t="s">
        <v>1550</v>
      </c>
      <c r="E2" s="1774" t="s">
        <v>1551</v>
      </c>
      <c r="F2" s="2834"/>
      <c r="G2" s="2825"/>
      <c r="H2" s="2826"/>
      <c r="I2" s="2497" t="s">
        <v>1575</v>
      </c>
      <c r="J2" s="2834"/>
      <c r="K2" s="2834"/>
      <c r="L2" s="2834"/>
      <c r="M2" s="2834"/>
      <c r="N2" s="2836"/>
      <c r="O2" s="2834"/>
      <c r="P2" s="2834"/>
    </row>
    <row r="3" spans="1:16" ht="15.75" thickBot="1">
      <c r="A3" s="3376" t="s">
        <v>1548</v>
      </c>
      <c r="B3" s="3376"/>
      <c r="C3" s="3376"/>
      <c r="D3" s="46">
        <f>'数据-基础表'!AY6</f>
        <v>118122.57</v>
      </c>
      <c r="E3" s="46">
        <f>'数据-基础表'!AZ5</f>
        <v>242531.24000000002</v>
      </c>
      <c r="F3" s="2834"/>
      <c r="G3" s="1260"/>
      <c r="H3" s="1138" t="s">
        <v>1549</v>
      </c>
      <c r="I3" s="945">
        <f>ROUND('数据-基础表'!B3/'数据-基础表'!A3,2)</f>
        <v>2.02</v>
      </c>
      <c r="J3" s="2834"/>
      <c r="K3" s="2834"/>
      <c r="L3" s="2834"/>
      <c r="M3" s="2834"/>
      <c r="N3" s="2836"/>
      <c r="O3" s="2834"/>
      <c r="P3" s="2834"/>
    </row>
    <row r="4" spans="1:16" ht="15">
      <c r="A4" s="3377"/>
      <c r="B4" s="3378"/>
      <c r="C4" s="3379"/>
      <c r="D4" s="1776" t="s">
        <v>1550</v>
      </c>
      <c r="E4" s="1777" t="s">
        <v>1551</v>
      </c>
      <c r="F4" s="2834"/>
      <c r="G4" s="2827" t="s">
        <v>1576</v>
      </c>
      <c r="H4" s="1138" t="s">
        <v>1556</v>
      </c>
      <c r="I4" s="945">
        <f>ROUND(SUMIF('数据-基础表'!I9:AS9,"地上",'数据-基础表'!I5:AS5)/'数据-基础表'!A3,2)</f>
        <v>1.47</v>
      </c>
      <c r="J4" s="2834"/>
      <c r="K4" s="2834"/>
      <c r="L4" s="2834"/>
      <c r="M4" s="2834"/>
      <c r="N4" s="2836"/>
      <c r="O4" s="2834"/>
      <c r="P4" s="2834"/>
    </row>
    <row r="5" spans="1:16">
      <c r="A5" s="47" t="s">
        <v>1552</v>
      </c>
      <c r="B5" s="3380" t="s">
        <v>1553</v>
      </c>
      <c r="C5" s="3380"/>
      <c r="D5" s="48">
        <f>ROUND($D$3*E5/$E$3,2)</f>
        <v>0</v>
      </c>
      <c r="E5" s="49">
        <f>SUMIF('数据-基础表'!$11:$11,"住宅",'数据-基础表'!$5:$5)</f>
        <v>0</v>
      </c>
      <c r="F5" s="2834"/>
      <c r="G5" s="1260"/>
      <c r="H5" s="1138" t="s">
        <v>1549</v>
      </c>
      <c r="I5" s="945">
        <f>ROUND(E31/D31,2)</f>
        <v>2.0499999999999998</v>
      </c>
      <c r="J5" s="2834"/>
      <c r="K5" s="2834"/>
      <c r="L5" s="2834"/>
      <c r="M5" s="2834"/>
      <c r="N5" s="2834"/>
      <c r="O5" s="2834"/>
      <c r="P5" s="2834"/>
    </row>
    <row r="6" spans="1:16" ht="15" thickBot="1">
      <c r="A6" s="1779"/>
      <c r="B6" s="3380" t="s">
        <v>1554</v>
      </c>
      <c r="C6" s="3380"/>
      <c r="D6" s="48">
        <f>ROUND($D$3*E6/$E$3,2)</f>
        <v>118122.57</v>
      </c>
      <c r="E6" s="49">
        <f>E3-E5</f>
        <v>242531.24000000002</v>
      </c>
      <c r="F6" s="2834"/>
      <c r="G6" s="2828" t="s">
        <v>1555</v>
      </c>
      <c r="H6" s="1261" t="s">
        <v>1556</v>
      </c>
      <c r="I6" s="2829">
        <f>ROUND(F31/D31,2)</f>
        <v>1.49</v>
      </c>
      <c r="J6" s="2834"/>
      <c r="K6" s="2834"/>
      <c r="L6" s="2834"/>
      <c r="M6" s="2834"/>
      <c r="N6" s="2834"/>
      <c r="O6" s="2834"/>
      <c r="P6" s="2834"/>
    </row>
    <row r="7" spans="1:16" ht="15.75" thickBot="1">
      <c r="A7" s="3372"/>
      <c r="B7" s="3373"/>
      <c r="C7" s="3374"/>
      <c r="D7" s="1776" t="s">
        <v>1550</v>
      </c>
      <c r="E7" s="1780" t="s">
        <v>1557</v>
      </c>
      <c r="F7" s="2834"/>
      <c r="G7" s="2830" t="s">
        <v>1558</v>
      </c>
      <c r="H7" s="2831"/>
      <c r="I7" s="2832"/>
      <c r="J7" s="2834"/>
      <c r="K7" s="2834"/>
      <c r="L7" s="2834"/>
      <c r="M7" s="2834"/>
      <c r="N7" s="2834"/>
      <c r="O7" s="2834"/>
      <c r="P7" s="2834"/>
    </row>
    <row r="8" spans="1:16">
      <c r="A8" s="47" t="s">
        <v>1559</v>
      </c>
      <c r="B8" s="50" t="s">
        <v>1560</v>
      </c>
      <c r="C8" s="48" t="s">
        <v>1561</v>
      </c>
      <c r="D8" s="48">
        <f t="shared" ref="D8:D15" si="0">ROUND($D$3*E8/$E$3,2)</f>
        <v>85700.99</v>
      </c>
      <c r="E8" s="51">
        <f>SUMIF('数据-基础表'!BB10:BK10,"地上",'数据-基础表'!BB5:BK5)</f>
        <v>175962.71000000002</v>
      </c>
      <c r="F8" s="2834"/>
      <c r="G8" s="2835"/>
      <c r="H8" s="2835"/>
      <c r="I8" s="2834"/>
      <c r="J8" s="2834"/>
      <c r="K8" s="2834"/>
      <c r="L8" s="2834"/>
      <c r="M8" s="2834"/>
      <c r="N8" s="2834"/>
      <c r="O8" s="2834"/>
      <c r="P8" s="2834"/>
    </row>
    <row r="9" spans="1:16">
      <c r="A9" s="1781"/>
      <c r="B9" s="1782"/>
      <c r="C9" s="48" t="s">
        <v>1562</v>
      </c>
      <c r="D9" s="48">
        <f t="shared" si="0"/>
        <v>0</v>
      </c>
      <c r="E9" s="52">
        <v>0</v>
      </c>
      <c r="F9" s="2834"/>
      <c r="G9" s="2835"/>
      <c r="H9" s="2835"/>
      <c r="I9" s="2834"/>
      <c r="J9" s="2834"/>
      <c r="K9" s="2834"/>
      <c r="L9" s="2834"/>
      <c r="M9" s="2834"/>
      <c r="N9" s="2834"/>
      <c r="O9" s="2834"/>
      <c r="P9" s="2834"/>
    </row>
    <row r="10" spans="1:16">
      <c r="A10" s="1781"/>
      <c r="B10" s="1782"/>
      <c r="C10" s="48" t="s">
        <v>1571</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c r="A11" s="1781"/>
      <c r="B11" s="1782"/>
      <c r="C11" s="48" t="s">
        <v>1563</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1"/>
      <c r="B12" s="1782"/>
      <c r="C12" s="48" t="s">
        <v>1564</v>
      </c>
      <c r="D12" s="48">
        <f t="shared" si="0"/>
        <v>14503.51</v>
      </c>
      <c r="E12" s="51">
        <f>SUMPRODUCT(('数据-基础表'!BB10:BK10="地下")*('数据-基础表'!BB11:BK11="仓储")*('数据-基础表'!BB5:BK5))</f>
        <v>29778.85</v>
      </c>
      <c r="F12" s="2834"/>
      <c r="G12" s="2835"/>
      <c r="H12" s="2835"/>
      <c r="I12" s="2834"/>
      <c r="J12" s="2834"/>
      <c r="K12" s="2834"/>
      <c r="L12" s="2834"/>
      <c r="M12" s="2834"/>
      <c r="N12" s="2834"/>
      <c r="O12" s="2834"/>
      <c r="P12" s="2834"/>
    </row>
    <row r="13" spans="1:16">
      <c r="A13" s="1781"/>
      <c r="B13" s="1782"/>
      <c r="C13" s="48" t="s">
        <v>1565</v>
      </c>
      <c r="D13" s="48">
        <f t="shared" si="0"/>
        <v>14736.73</v>
      </c>
      <c r="E13" s="51">
        <f>SUMPRODUCT(('数据-基础表'!BB10:BK10="地下")*('数据-基础表'!BB11:BK11="车库")*('数据-基础表'!BB5:BK5))</f>
        <v>30257.699999999997</v>
      </c>
      <c r="F13" s="2834"/>
      <c r="G13" s="2835"/>
      <c r="H13" s="2835"/>
      <c r="I13" s="2834"/>
      <c r="J13" s="2834"/>
      <c r="K13" s="2834"/>
      <c r="L13" s="2834"/>
      <c r="M13" s="2834"/>
      <c r="N13" s="2834"/>
      <c r="O13" s="2834"/>
      <c r="P13" s="2834"/>
    </row>
    <row r="14" spans="1:16">
      <c r="A14" s="1781"/>
      <c r="B14" s="1782"/>
      <c r="C14" s="48" t="s">
        <v>1577</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1"/>
      <c r="B15" s="1782"/>
      <c r="C15" s="48" t="s">
        <v>1572</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75" thickBot="1">
      <c r="A16" s="1779"/>
      <c r="B16" s="1782"/>
      <c r="C16" s="50" t="s">
        <v>1566</v>
      </c>
      <c r="D16" s="50">
        <f>SUM(D8:D15)</f>
        <v>114941.23</v>
      </c>
      <c r="E16" s="53">
        <f>SUM(E8:E15)</f>
        <v>235999.26</v>
      </c>
      <c r="F16" s="2834"/>
      <c r="G16" s="2835"/>
      <c r="H16" s="1783" t="s">
        <v>1578</v>
      </c>
      <c r="I16" s="1784"/>
      <c r="J16" s="1254"/>
      <c r="K16" s="3369" t="s">
        <v>1578</v>
      </c>
      <c r="L16" s="3370"/>
      <c r="M16" s="3370"/>
      <c r="N16" s="3370"/>
      <c r="O16" s="3370"/>
      <c r="P16" s="3371"/>
    </row>
    <row r="17" spans="1:19" ht="15">
      <c r="A17" s="1785" t="s">
        <v>1579</v>
      </c>
      <c r="B17" s="1786" t="s">
        <v>1580</v>
      </c>
      <c r="C17" s="1787" t="s">
        <v>1581</v>
      </c>
      <c r="D17" s="1788" t="s">
        <v>1569</v>
      </c>
      <c r="E17" s="1789" t="s">
        <v>1570</v>
      </c>
      <c r="F17" s="1790"/>
      <c r="G17" s="1791"/>
      <c r="H17" s="1792" t="s">
        <v>1582</v>
      </c>
      <c r="I17" s="1793" t="s">
        <v>1567</v>
      </c>
      <c r="J17" s="1254"/>
      <c r="K17" s="3366" t="s">
        <v>1583</v>
      </c>
      <c r="L17" s="3367"/>
      <c r="M17" s="3368"/>
      <c r="N17" s="3366" t="s">
        <v>1584</v>
      </c>
      <c r="O17" s="3367"/>
      <c r="P17" s="3368"/>
      <c r="R17" s="1775" t="s">
        <v>1585</v>
      </c>
      <c r="S17" s="60"/>
    </row>
    <row r="18" spans="1:19" ht="15">
      <c r="A18" s="1781"/>
      <c r="B18" s="1794"/>
      <c r="C18" s="1795"/>
      <c r="D18" s="1796"/>
      <c r="E18" s="1797" t="s">
        <v>1586</v>
      </c>
      <c r="F18" s="1798" t="s">
        <v>1587</v>
      </c>
      <c r="G18" s="1799" t="s">
        <v>1588</v>
      </c>
      <c r="H18" s="1153" t="s">
        <v>1589</v>
      </c>
      <c r="I18" s="1800" t="s">
        <v>1590</v>
      </c>
      <c r="J18" s="1254"/>
      <c r="K18" s="1153" t="s">
        <v>1591</v>
      </c>
      <c r="L18" s="1801" t="s">
        <v>1592</v>
      </c>
      <c r="M18" s="945" t="s">
        <v>1593</v>
      </c>
      <c r="N18" s="1153" t="s">
        <v>1591</v>
      </c>
      <c r="O18" s="1801" t="s">
        <v>1592</v>
      </c>
      <c r="P18" s="945" t="s">
        <v>1593</v>
      </c>
      <c r="R18" s="1138" t="s">
        <v>1594</v>
      </c>
      <c r="S18" s="1138" t="s">
        <v>1595</v>
      </c>
    </row>
    <row r="19" spans="1:19">
      <c r="A19" s="1802"/>
      <c r="B19" s="50" t="s">
        <v>1568</v>
      </c>
      <c r="C19" s="3242" t="s">
        <v>3253</v>
      </c>
      <c r="D19" s="48">
        <f>ROUND($D$3*E19/$E$3,2)</f>
        <v>85700.99</v>
      </c>
      <c r="E19" s="56">
        <f t="shared" ref="E19:E26" si="1">SUM(F19:G19)</f>
        <v>175962.71000000002</v>
      </c>
      <c r="F19" s="2974">
        <f>'数据-基础表'!I5</f>
        <v>175962.71000000002</v>
      </c>
      <c r="G19" s="2975"/>
      <c r="H19" s="679">
        <f>ROUND($D$3*I19/$E$3,2)</f>
        <v>2372.0300000000002</v>
      </c>
      <c r="I19" s="51">
        <f t="shared" ref="I19:I26" si="2">IF($I$17="自定义",P19,M19)</f>
        <v>4870.29</v>
      </c>
      <c r="J19" s="1254"/>
      <c r="K19" s="1253">
        <f t="shared" ref="K19:K26" si="3">ROUND(E$28*E19/E$27,2)</f>
        <v>4870.29</v>
      </c>
      <c r="L19" s="1138">
        <f t="shared" ref="L19:L26" si="4">ROUND(IF(COUNTIF(C19,"*住宅*")&gt;0,E$29*E19/E$32,0),2)</f>
        <v>0</v>
      </c>
      <c r="M19" s="1265">
        <f>K19+L19</f>
        <v>4870.29</v>
      </c>
      <c r="N19" s="1803"/>
      <c r="O19" s="1804"/>
      <c r="P19" s="1265">
        <f>N19+O19</f>
        <v>0</v>
      </c>
      <c r="R19" s="1138">
        <f t="shared" ref="R19:S26" si="5">D19+H19</f>
        <v>88073.02</v>
      </c>
      <c r="S19" s="1139">
        <f t="shared" si="5"/>
        <v>180833.00000000003</v>
      </c>
    </row>
    <row r="20" spans="1:19">
      <c r="A20" s="1805"/>
      <c r="B20" s="50" t="s">
        <v>1596</v>
      </c>
      <c r="C20" s="3242" t="s">
        <v>3254</v>
      </c>
      <c r="D20" s="48">
        <f t="shared" ref="D20:D26" si="6">ROUND($D$3*E20/$E$3,2)</f>
        <v>14503.51</v>
      </c>
      <c r="E20" s="56">
        <f t="shared" si="1"/>
        <v>29778.85</v>
      </c>
      <c r="F20" s="2974"/>
      <c r="G20" s="2975">
        <f>'数据-基础表'!K5</f>
        <v>29778.85</v>
      </c>
      <c r="H20" s="679">
        <f t="shared" ref="H20:H26" si="7">ROUND($D$3*I20/$E$3,2)</f>
        <v>401.43</v>
      </c>
      <c r="I20" s="51">
        <f t="shared" si="2"/>
        <v>824.22</v>
      </c>
      <c r="J20" s="1254"/>
      <c r="K20" s="1253">
        <f t="shared" si="3"/>
        <v>824.22</v>
      </c>
      <c r="L20" s="1138">
        <f t="shared" si="4"/>
        <v>0</v>
      </c>
      <c r="M20" s="1265">
        <f t="shared" ref="M20:M26" si="8">K20+L20</f>
        <v>824.22</v>
      </c>
      <c r="N20" s="1803"/>
      <c r="O20" s="1804"/>
      <c r="P20" s="1265">
        <f t="shared" ref="P20:P26" si="9">N20+O20</f>
        <v>0</v>
      </c>
      <c r="R20" s="1138">
        <f t="shared" si="5"/>
        <v>14904.94</v>
      </c>
      <c r="S20" s="1139">
        <f t="shared" si="5"/>
        <v>30603.07</v>
      </c>
    </row>
    <row r="21" spans="1:19">
      <c r="A21" s="1805"/>
      <c r="B21" s="50" t="s">
        <v>1596</v>
      </c>
      <c r="C21" s="3242" t="s">
        <v>3255</v>
      </c>
      <c r="D21" s="48">
        <f t="shared" si="6"/>
        <v>14736.73</v>
      </c>
      <c r="E21" s="56">
        <f t="shared" si="1"/>
        <v>30257.699999999997</v>
      </c>
      <c r="F21" s="2974"/>
      <c r="G21" s="2975">
        <f>'数据-基础表'!M5</f>
        <v>30257.699999999997</v>
      </c>
      <c r="H21" s="679">
        <f t="shared" si="7"/>
        <v>407.88</v>
      </c>
      <c r="I21" s="51">
        <f t="shared" si="2"/>
        <v>837.47</v>
      </c>
      <c r="J21" s="1254"/>
      <c r="K21" s="1253">
        <f t="shared" si="3"/>
        <v>837.47</v>
      </c>
      <c r="L21" s="1138">
        <f t="shared" si="4"/>
        <v>0</v>
      </c>
      <c r="M21" s="1265">
        <f t="shared" si="8"/>
        <v>837.47</v>
      </c>
      <c r="N21" s="1803"/>
      <c r="O21" s="1804"/>
      <c r="P21" s="1265">
        <f t="shared" si="9"/>
        <v>0</v>
      </c>
      <c r="R21" s="1138">
        <f t="shared" si="5"/>
        <v>15144.609999999999</v>
      </c>
      <c r="S21" s="1139">
        <f t="shared" si="5"/>
        <v>31095.17</v>
      </c>
    </row>
    <row r="22" spans="1:19">
      <c r="A22" s="1805"/>
      <c r="B22" s="50" t="s">
        <v>1596</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3"/>
      <c r="O22" s="1804"/>
      <c r="P22" s="1265">
        <f t="shared" si="9"/>
        <v>0</v>
      </c>
      <c r="R22" s="1138">
        <f t="shared" si="5"/>
        <v>0</v>
      </c>
      <c r="S22" s="1139">
        <f t="shared" si="5"/>
        <v>0</v>
      </c>
    </row>
    <row r="23" spans="1:19">
      <c r="A23" s="1805"/>
      <c r="B23" s="50" t="s">
        <v>1596</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3"/>
      <c r="O23" s="1804"/>
      <c r="P23" s="1265">
        <f t="shared" si="9"/>
        <v>0</v>
      </c>
      <c r="R23" s="1138">
        <f t="shared" si="5"/>
        <v>0</v>
      </c>
      <c r="S23" s="1139">
        <f t="shared" si="5"/>
        <v>0</v>
      </c>
    </row>
    <row r="24" spans="1:19">
      <c r="A24" s="1805"/>
      <c r="B24" s="50" t="s">
        <v>1596</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3"/>
      <c r="O24" s="1804"/>
      <c r="P24" s="1265">
        <f t="shared" si="9"/>
        <v>0</v>
      </c>
      <c r="R24" s="1138">
        <f t="shared" si="5"/>
        <v>0</v>
      </c>
      <c r="S24" s="1139">
        <f t="shared" si="5"/>
        <v>0</v>
      </c>
    </row>
    <row r="25" spans="1:19">
      <c r="A25" s="1805"/>
      <c r="B25" s="50" t="s">
        <v>1596</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3"/>
      <c r="O25" s="1804"/>
      <c r="P25" s="1265">
        <f t="shared" si="9"/>
        <v>0</v>
      </c>
      <c r="R25" s="1138">
        <f t="shared" si="5"/>
        <v>0</v>
      </c>
      <c r="S25" s="1139">
        <f t="shared" si="5"/>
        <v>0</v>
      </c>
    </row>
    <row r="26" spans="1:19">
      <c r="A26" s="1805"/>
      <c r="B26" s="50" t="s">
        <v>1596</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6"/>
      <c r="O26" s="1807"/>
      <c r="P26" s="63">
        <f t="shared" si="9"/>
        <v>0</v>
      </c>
      <c r="R26" s="1138">
        <f t="shared" si="5"/>
        <v>0</v>
      </c>
      <c r="S26" s="1139">
        <f t="shared" si="5"/>
        <v>0</v>
      </c>
    </row>
    <row r="27" spans="1:19" ht="15.75" thickBot="1">
      <c r="A27" s="1805"/>
      <c r="B27" s="48"/>
      <c r="C27" s="1808" t="s">
        <v>1597</v>
      </c>
      <c r="D27" s="1255">
        <f>SUM(D19:D26)</f>
        <v>114941.23</v>
      </c>
      <c r="E27" s="1256">
        <f>IF(SUM(E19:E26)='数据-基础表'!BA5,SUM(E19:E26),IF(F27="地上面积有误","面积有误","地下面积有误"))</f>
        <v>235999.26</v>
      </c>
      <c r="F27" s="1255">
        <f>IF(SUM(F19:F26)=E8,SUM(F19:F26),"地上面积有误")</f>
        <v>175962.71000000002</v>
      </c>
      <c r="G27" s="1257">
        <f>SUM(G19:G26)</f>
        <v>60036.549999999996</v>
      </c>
      <c r="H27" s="1258">
        <f>SUM(H19:H26)</f>
        <v>3181.34</v>
      </c>
      <c r="I27" s="1259">
        <f>SUM(I19:I26)</f>
        <v>6531.9800000000005</v>
      </c>
      <c r="J27" s="1254"/>
      <c r="K27" s="1262">
        <f>SUM(K19:K26)</f>
        <v>6531.9800000000005</v>
      </c>
      <c r="L27" s="1263">
        <f>SUM(L19:L26)</f>
        <v>0</v>
      </c>
      <c r="M27" s="1266">
        <f>SUM(M19:M26)</f>
        <v>6531.9800000000005</v>
      </c>
      <c r="N27" s="1262">
        <f t="shared" ref="N27:O27" si="10">SUM(N19:N26)</f>
        <v>0</v>
      </c>
      <c r="O27" s="1263">
        <f t="shared" si="10"/>
        <v>0</v>
      </c>
      <c r="P27" s="1264">
        <f>SUM(P19:P26)</f>
        <v>0</v>
      </c>
      <c r="R27" s="1140">
        <f>IF(SUM(R19:R26)=$D$3,SUM(R19:R26),SUM(R19:R26)&amp;"误差"&amp;ROUND(SUM(R19:R26)-$D$3,2))</f>
        <v>118122.57</v>
      </c>
      <c r="S27" s="1138">
        <f>IF(SUM(S19:S26)=$E$3,SUM(S19:S26),SUM(S19:S26)&amp;"误差"&amp;ROUND(SUM(S19:S26)-E3,2))</f>
        <v>242531.24000000005</v>
      </c>
    </row>
    <row r="28" spans="1:19">
      <c r="A28" s="1805"/>
      <c r="B28" s="50" t="s">
        <v>1598</v>
      </c>
      <c r="C28" s="1150" t="s">
        <v>1599</v>
      </c>
      <c r="D28" s="48">
        <f>ROUND($D$3*E28/$E$3,2)</f>
        <v>3181.34</v>
      </c>
      <c r="E28" s="56">
        <f>SUM(F28:G28)</f>
        <v>6531.98</v>
      </c>
      <c r="F28" s="60">
        <f>'数据-基础表'!BQ5+'数据-基础表'!BS5</f>
        <v>572.02</v>
      </c>
      <c r="G28" s="61">
        <f>'数据-基础表'!BR5+'数据-基础表'!BT5</f>
        <v>5959.96</v>
      </c>
      <c r="H28" s="2834"/>
      <c r="I28" s="2834"/>
      <c r="J28" s="2834"/>
      <c r="K28" s="2834"/>
      <c r="L28" s="2834"/>
      <c r="M28" s="2834"/>
      <c r="N28" s="2834"/>
      <c r="O28" s="2834"/>
      <c r="P28" s="2834"/>
    </row>
    <row r="29" spans="1:19">
      <c r="A29" s="1805"/>
      <c r="B29" s="50" t="s">
        <v>1598</v>
      </c>
      <c r="C29" s="1809" t="s">
        <v>1600</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5"/>
      <c r="B30" s="50"/>
      <c r="C30" s="1810" t="s">
        <v>1597</v>
      </c>
      <c r="D30" s="1255">
        <f>SUM(D28:D29)</f>
        <v>3181.34</v>
      </c>
      <c r="E30" s="1255">
        <f>SUM(E28:E29)</f>
        <v>6531.98</v>
      </c>
      <c r="F30" s="1255">
        <f>SUM(F28:F29)</f>
        <v>572.02</v>
      </c>
      <c r="G30" s="1257">
        <f>SUM(G28:G29)</f>
        <v>5959.96</v>
      </c>
      <c r="H30" s="2834"/>
      <c r="I30" s="2834"/>
      <c r="J30" s="2834"/>
      <c r="K30" s="2834"/>
      <c r="L30" s="2834"/>
      <c r="M30" s="2834"/>
      <c r="N30" s="2834"/>
      <c r="O30" s="2834"/>
      <c r="P30" s="2834"/>
    </row>
    <row r="31" spans="1:19" ht="15.75" thickBot="1">
      <c r="A31" s="1811"/>
      <c r="B31" s="1812"/>
      <c r="C31" s="925" t="s">
        <v>1601</v>
      </c>
      <c r="D31" s="685">
        <f>D27+D30</f>
        <v>118122.56999999999</v>
      </c>
      <c r="E31" s="685">
        <f>E27+E30</f>
        <v>242531.24000000002</v>
      </c>
      <c r="F31" s="686">
        <f>F27+F30</f>
        <v>176534.73</v>
      </c>
      <c r="G31" s="687">
        <f>G27+G30</f>
        <v>65996.509999999995</v>
      </c>
      <c r="H31" s="2834"/>
      <c r="I31" s="2834"/>
      <c r="J31" s="2834"/>
      <c r="K31" s="2834"/>
      <c r="L31" s="2834"/>
      <c r="M31" s="2834"/>
      <c r="N31" s="2834"/>
      <c r="O31" s="2834"/>
      <c r="P31" s="2834"/>
    </row>
    <row r="32" spans="1:19">
      <c r="A32" s="1778"/>
      <c r="B32" s="1778" t="s">
        <v>1602</v>
      </c>
      <c r="C32" s="1778"/>
      <c r="D32" s="1778"/>
      <c r="E32" s="1165">
        <f>SUMIF(C19:C26,"*住宅*",E19:E26)</f>
        <v>0</v>
      </c>
      <c r="F32" s="1778"/>
      <c r="G32" s="1778"/>
      <c r="H32" s="2834"/>
      <c r="I32" s="2834"/>
      <c r="J32" s="2834"/>
      <c r="K32" s="2834"/>
      <c r="L32" s="2834"/>
      <c r="M32" s="2834"/>
      <c r="N32" s="2834"/>
      <c r="O32" s="2834"/>
      <c r="P32" s="2834"/>
    </row>
    <row r="33" spans="4:7">
      <c r="D33" s="1813"/>
    </row>
    <row r="34" spans="4:7">
      <c r="E34" s="1773">
        <f>E35*10000/E31</f>
        <v>6484.4964096171707</v>
      </c>
      <c r="F34" s="1773">
        <v>8000</v>
      </c>
      <c r="G34" s="1773">
        <v>2500</v>
      </c>
    </row>
    <row r="35" spans="4:7">
      <c r="E35" s="1773">
        <f>F35+G35</f>
        <v>157269.29550000004</v>
      </c>
      <c r="F35" s="1773">
        <f>F34*F27/10000</f>
        <v>140770.16800000003</v>
      </c>
      <c r="G35" s="1773">
        <f>G34*G31/10000</f>
        <v>16499.127499999999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G6" activePane="bottomRight" state="frozen"/>
      <selection activeCell="C50" sqref="C50"/>
      <selection pane="topRight" activeCell="C50" sqref="C50"/>
      <selection pane="bottomLeft" activeCell="C50" sqref="C50"/>
      <selection pane="bottomRight" activeCell="H30" sqref="H30"/>
    </sheetView>
  </sheetViews>
  <sheetFormatPr defaultColWidth="13.75" defaultRowHeight="12.75"/>
  <cols>
    <col min="1" max="1" width="20.875" style="1880" customWidth="1"/>
    <col min="2" max="2" width="12" style="1817" customWidth="1"/>
    <col min="3" max="3" width="12.75" style="1817" customWidth="1"/>
    <col min="4" max="4" width="9.125" style="1881" customWidth="1"/>
    <col min="5" max="5" width="15" style="1817" bestFit="1" customWidth="1"/>
    <col min="6" max="10" width="8.875" style="1817" customWidth="1"/>
    <col min="11" max="12" width="12.375" style="1736" customWidth="1"/>
    <col min="13" max="13" width="8.625" style="1817" customWidth="1"/>
    <col min="14" max="14" width="11.875" style="1817" customWidth="1"/>
    <col min="15" max="15" width="8.5" style="1817" customWidth="1"/>
    <col min="16" max="17" width="10.875" style="1817" customWidth="1"/>
    <col min="18" max="19" width="12.5" style="1817" customWidth="1"/>
    <col min="20" max="20" width="12.125" style="1817" customWidth="1"/>
    <col min="21" max="21" width="7.5" style="1817" customWidth="1"/>
    <col min="22" max="22" width="6.375" style="1817" customWidth="1"/>
    <col min="23" max="30" width="6.75" style="1817" customWidth="1"/>
    <col min="31" max="31" width="8" style="1817" customWidth="1"/>
    <col min="32" max="34" width="7.25" style="1817" customWidth="1"/>
    <col min="35" max="39" width="8" style="1817" customWidth="1"/>
    <col min="40" max="40" width="13.75" style="1816"/>
    <col min="41" max="41" width="11.625" style="1816" customWidth="1"/>
    <col min="42" max="42" width="9.75" style="1816" customWidth="1"/>
    <col min="43" max="67" width="13.75" style="1816"/>
    <col min="68" max="16384" width="13.75" style="1817"/>
  </cols>
  <sheetData>
    <row r="1" spans="1:67" ht="19.5" thickBot="1">
      <c r="A1" s="1814" t="s">
        <v>1603</v>
      </c>
      <c r="B1" s="688"/>
      <c r="C1" s="1305"/>
      <c r="D1" s="1815"/>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8"/>
      <c r="AO1" s="2848"/>
      <c r="AP1" s="2848"/>
      <c r="AQ1" s="2848"/>
      <c r="AR1" s="2848"/>
    </row>
    <row r="2" spans="1:67" s="1694" customFormat="1" ht="15.75" thickBot="1">
      <c r="A2" s="1818" t="s">
        <v>1604</v>
      </c>
      <c r="B2" s="1157">
        <f>项目基本情况!D3</f>
        <v>44769</v>
      </c>
      <c r="C2" s="1819"/>
      <c r="D2" s="1820"/>
      <c r="E2" s="1819"/>
      <c r="F2" s="1819"/>
      <c r="G2" s="1819"/>
      <c r="H2" s="1819"/>
      <c r="I2" s="1819"/>
      <c r="J2" s="1819"/>
      <c r="K2" s="1283"/>
      <c r="L2" s="1283"/>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2850"/>
      <c r="AO2" s="2850"/>
      <c r="AP2" s="2850"/>
      <c r="AQ2" s="2850"/>
      <c r="AR2" s="2850"/>
      <c r="AS2" s="1821"/>
      <c r="AT2" s="1821"/>
      <c r="AU2" s="1821"/>
      <c r="AV2" s="1821"/>
      <c r="AW2" s="1821"/>
      <c r="AX2" s="1821"/>
      <c r="AY2" s="1821"/>
      <c r="AZ2" s="1821"/>
      <c r="BA2" s="1821"/>
      <c r="BB2" s="1821"/>
      <c r="BC2" s="1821"/>
      <c r="BD2" s="1821"/>
      <c r="BE2" s="1821"/>
      <c r="BF2" s="1821"/>
      <c r="BG2" s="1821"/>
      <c r="BH2" s="1821"/>
      <c r="BI2" s="1821"/>
      <c r="BJ2" s="1821"/>
      <c r="BK2" s="1821"/>
      <c r="BL2" s="1821"/>
      <c r="BM2" s="1821"/>
      <c r="BN2" s="1821"/>
      <c r="BO2" s="1821"/>
    </row>
    <row r="3" spans="1:67" s="1694" customFormat="1" ht="15" thickBot="1">
      <c r="A3" s="1692"/>
      <c r="B3" s="1822"/>
      <c r="C3" s="1819"/>
      <c r="D3" s="1820"/>
      <c r="E3" s="1819"/>
      <c r="F3" s="1819"/>
      <c r="G3" s="1819"/>
      <c r="H3" s="1819"/>
      <c r="I3" s="1819"/>
      <c r="J3" s="1819"/>
      <c r="K3" s="1283"/>
      <c r="L3" s="1283"/>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19"/>
      <c r="AN3" s="2850"/>
      <c r="AO3" s="2850"/>
      <c r="AP3" s="2850"/>
      <c r="AQ3" s="2850"/>
      <c r="AR3" s="2850"/>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1821"/>
      <c r="BO3" s="1821"/>
    </row>
    <row r="4" spans="1:67" s="1694" customFormat="1" ht="15" thickBot="1">
      <c r="A4" s="64" t="s">
        <v>1605</v>
      </c>
      <c r="B4" s="1823"/>
      <c r="C4" s="1824"/>
      <c r="D4" s="1825"/>
      <c r="E4" s="1824" t="s">
        <v>1606</v>
      </c>
      <c r="F4" s="1824"/>
      <c r="G4" s="1824"/>
      <c r="H4" s="1824"/>
      <c r="I4" s="1824"/>
      <c r="J4" s="1826"/>
      <c r="K4" s="1827"/>
      <c r="L4" s="1828"/>
      <c r="M4" s="1824"/>
      <c r="N4" s="1824" t="s">
        <v>1607</v>
      </c>
      <c r="O4" s="1824"/>
      <c r="P4" s="1824"/>
      <c r="Q4" s="1824"/>
      <c r="R4" s="1824"/>
      <c r="S4" s="1826"/>
      <c r="T4" s="2833" t="str">
        <f>'数据-汇总表'!I17</f>
        <v>按面积比例</v>
      </c>
      <c r="U4" s="1823" t="s">
        <v>1608</v>
      </c>
      <c r="V4" s="1824"/>
      <c r="W4" s="1824"/>
      <c r="X4" s="1824"/>
      <c r="Y4" s="1826"/>
      <c r="Z4" s="1787" t="s">
        <v>1609</v>
      </c>
      <c r="AA4" s="1787"/>
      <c r="AB4" s="1787"/>
      <c r="AC4" s="1787"/>
      <c r="AD4" s="1787"/>
      <c r="AE4" s="1785" t="s">
        <v>1610</v>
      </c>
      <c r="AF4" s="1787"/>
      <c r="AG4" s="1829"/>
      <c r="AH4" s="1823"/>
      <c r="AI4" s="1824"/>
      <c r="AJ4" s="1824"/>
      <c r="AK4" s="1824"/>
      <c r="AL4" s="1824"/>
      <c r="AM4" s="1826"/>
      <c r="AN4" s="2850"/>
      <c r="AO4" s="2850"/>
      <c r="AP4" s="2850"/>
      <c r="AQ4" s="2850"/>
      <c r="AR4" s="2850"/>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1821"/>
      <c r="BO4" s="1821"/>
    </row>
    <row r="5" spans="1:67" s="1695" customFormat="1" ht="42">
      <c r="A5" s="1830" t="s">
        <v>1611</v>
      </c>
      <c r="B5" s="1831" t="s">
        <v>1612</v>
      </c>
      <c r="C5" s="1832" t="s">
        <v>1613</v>
      </c>
      <c r="D5" s="1833" t="s">
        <v>1614</v>
      </c>
      <c r="E5" s="1159" t="s">
        <v>1615</v>
      </c>
      <c r="F5" s="1834" t="s">
        <v>1616</v>
      </c>
      <c r="G5" s="1159" t="s">
        <v>1617</v>
      </c>
      <c r="H5" s="1159" t="s">
        <v>1618</v>
      </c>
      <c r="I5" s="1159" t="s">
        <v>1619</v>
      </c>
      <c r="J5" s="1835" t="s">
        <v>1620</v>
      </c>
      <c r="K5" s="1836" t="s">
        <v>1621</v>
      </c>
      <c r="L5" s="1837" t="s">
        <v>1622</v>
      </c>
      <c r="M5" s="1838" t="s">
        <v>1623</v>
      </c>
      <c r="N5" s="1839" t="s">
        <v>3485</v>
      </c>
      <c r="O5" s="1837" t="s">
        <v>1624</v>
      </c>
      <c r="P5" s="1840" t="s">
        <v>1625</v>
      </c>
      <c r="Q5" s="65" t="s">
        <v>1626</v>
      </c>
      <c r="R5" s="1841" t="s">
        <v>1627</v>
      </c>
      <c r="S5" s="1842" t="s">
        <v>1628</v>
      </c>
      <c r="T5" s="1843" t="s">
        <v>1629</v>
      </c>
      <c r="U5" s="1158" t="s">
        <v>1630</v>
      </c>
      <c r="V5" s="1159" t="s">
        <v>1631</v>
      </c>
      <c r="W5" s="1159" t="s">
        <v>1632</v>
      </c>
      <c r="X5" s="67"/>
      <c r="Y5" s="66" t="s">
        <v>1633</v>
      </c>
      <c r="Z5" s="1844" t="s">
        <v>1630</v>
      </c>
      <c r="AA5" s="1159" t="s">
        <v>1631</v>
      </c>
      <c r="AB5" s="1159" t="s">
        <v>1632</v>
      </c>
      <c r="AC5" s="67"/>
      <c r="AD5" s="67" t="s">
        <v>1633</v>
      </c>
      <c r="AE5" s="1158" t="s">
        <v>1634</v>
      </c>
      <c r="AF5" s="1159" t="s">
        <v>1635</v>
      </c>
      <c r="AG5" s="66" t="s">
        <v>1636</v>
      </c>
      <c r="AH5" s="1158" t="s">
        <v>1637</v>
      </c>
      <c r="AI5" s="1844" t="s">
        <v>1638</v>
      </c>
      <c r="AJ5" s="1844" t="s">
        <v>1639</v>
      </c>
      <c r="AK5" s="1159" t="s">
        <v>1640</v>
      </c>
      <c r="AL5" s="1159" t="s">
        <v>1641</v>
      </c>
      <c r="AM5" s="66" t="s">
        <v>1642</v>
      </c>
      <c r="AN5" s="1845" t="s">
        <v>1643</v>
      </c>
      <c r="AO5" s="1697" t="s">
        <v>1644</v>
      </c>
      <c r="AP5" s="1140" t="s">
        <v>1645</v>
      </c>
      <c r="AQ5" s="1846" t="s">
        <v>1646</v>
      </c>
      <c r="AR5" s="1846" t="s">
        <v>1647</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7" t="str">
        <f>'数据-汇总表'!C19</f>
        <v>厂房</v>
      </c>
      <c r="B6" s="1848" t="str">
        <f>IF(A6=0,"","经营性")</f>
        <v>经营性</v>
      </c>
      <c r="C6" s="1849" t="s">
        <v>6</v>
      </c>
      <c r="D6" s="948">
        <f>SUMIF(项目基本情况!D$12:I$12,C6,项目基本情况!D$14:I$14)</f>
        <v>50</v>
      </c>
      <c r="E6" s="947">
        <f>IF(B6="","",SUMIF(项目基本情况!D$12:I$12,C6,项目基本情况!D$13:I$13))</f>
        <v>59926</v>
      </c>
      <c r="F6" s="68">
        <f>SUMIF(项目基本情况!D$12:I$12,C6,项目基本情况!D$15:I$15)</f>
        <v>41.52</v>
      </c>
      <c r="G6" s="69">
        <f>IF(ISERROR(ROUND(POWER(1+H6,D6-F6)*(POWER(1+H6,F6)-1)/(POWER(1+H6,D6)-1),3)),0,ROUND(POWER(1+H6,D6-F6)*(POWER(1+H6,F6)-1)/(POWER(1+H6,D6)-1),3))</f>
        <v>0.94399999999999995</v>
      </c>
      <c r="H6" s="741">
        <v>4.4999999999999998E-2</v>
      </c>
      <c r="I6" s="741">
        <v>0.05</v>
      </c>
      <c r="J6" s="70">
        <v>0.08</v>
      </c>
      <c r="K6" s="1142">
        <f>SUMIF('数据-汇总表'!C$19:C$33,A6,'数据-汇总表'!E$19:E$33)</f>
        <v>175962.71000000002</v>
      </c>
      <c r="L6" s="742">
        <v>3600</v>
      </c>
      <c r="M6" s="71">
        <f t="shared" ref="M6:M14" si="0">ROUND(K6*L6/10000,0)</f>
        <v>63347</v>
      </c>
      <c r="N6" s="740">
        <v>0.97</v>
      </c>
      <c r="O6" s="71" t="str">
        <f>IF($N$5="成新度","——",ROUND(M6*N6,0))</f>
        <v>——</v>
      </c>
      <c r="P6" s="72" t="str">
        <f>IF($N$5="成新度","——",M6-O6)</f>
        <v>——</v>
      </c>
      <c r="Q6" s="743">
        <v>0.15</v>
      </c>
      <c r="R6" s="73">
        <f ca="1">SUMIF('数据-汇总表'!C$19:C$33,A6,'数据-汇总表'!R$19:R$27)</f>
        <v>88073.02</v>
      </c>
      <c r="S6" s="54">
        <f>IF('数据-汇总表'!$I$17="按面积比例",SUMIF('数据-汇总表'!C$19:C$33,A6,'数据-汇总表'!K$19:K$33),SUMIF('数据-汇总表'!C$19:C$33,A6,'数据-汇总表'!N$19:N$33))</f>
        <v>4870.29</v>
      </c>
      <c r="T6" s="1287">
        <f>ROUND($L$14*S6/10000,0)</f>
        <v>1753</v>
      </c>
      <c r="U6" s="74">
        <v>1.42</v>
      </c>
      <c r="V6" s="3252">
        <v>2.5000000000000001E-2</v>
      </c>
      <c r="W6" s="75">
        <v>0.1</v>
      </c>
      <c r="X6" s="1152"/>
      <c r="Y6" s="76">
        <f>N6</f>
        <v>0.97</v>
      </c>
      <c r="Z6" s="77"/>
      <c r="AA6" s="70"/>
      <c r="AB6" s="70"/>
      <c r="AC6" s="1152"/>
      <c r="AD6" s="78"/>
      <c r="AE6" s="1153">
        <f ca="1">IF(AN6="",0,SUMIF(INDIRECT("'"&amp;AN6&amp;"'"&amp;"!E:E"),$AE$5,INDIRECT("'"&amp;AN6&amp;"'"&amp;"!F:F")))</f>
        <v>41.52</v>
      </c>
      <c r="AF6" s="1482"/>
      <c r="AG6" s="143">
        <f>IF(AF6="",0,AE6-AF6)</f>
        <v>0</v>
      </c>
      <c r="AH6" s="79"/>
      <c r="AI6" s="81">
        <v>365</v>
      </c>
      <c r="AJ6" s="82"/>
      <c r="AK6" s="3275">
        <v>0.01</v>
      </c>
      <c r="AL6" s="84">
        <v>1E-3</v>
      </c>
      <c r="AM6" s="85">
        <v>1.4999999999999999E-2</v>
      </c>
      <c r="AN6" s="1850" t="s">
        <v>3486</v>
      </c>
      <c r="AO6" s="55">
        <f ca="1">SUMIF(INDIRECT("'"&amp;AN6&amp;"'"&amp;"!A:A"),"总价",INDIRECT("'"&amp;AN6&amp;"'"&amp;"!B:B"))</f>
        <v>144168</v>
      </c>
      <c r="AP6" s="1851">
        <f>IF(C6="住宅",K6*L6,0)</f>
        <v>0</v>
      </c>
      <c r="AQ6" s="55">
        <f>ROUND($L$14*$N$14*S6/10000,0)</f>
        <v>1701</v>
      </c>
      <c r="AR6" s="55">
        <f>ROUND($L$14*(1-$N$14)*S6/10000,0)</f>
        <v>53</v>
      </c>
      <c r="AS6" s="1821"/>
      <c r="AT6" s="1821"/>
      <c r="AU6" s="1821"/>
      <c r="AV6" s="1821"/>
      <c r="AW6" s="1821"/>
      <c r="AX6" s="1821"/>
      <c r="AY6" s="1821"/>
      <c r="AZ6" s="1821"/>
      <c r="BA6" s="1821"/>
      <c r="BB6" s="1821"/>
      <c r="BC6" s="1821"/>
      <c r="BD6" s="1821"/>
      <c r="BE6" s="1821"/>
      <c r="BF6" s="1821"/>
      <c r="BG6" s="1821"/>
      <c r="BH6" s="1821"/>
      <c r="BI6" s="1821"/>
      <c r="BJ6" s="1821"/>
      <c r="BK6" s="1821"/>
      <c r="BL6" s="1821"/>
      <c r="BM6" s="1821"/>
      <c r="BN6" s="1821"/>
      <c r="BO6" s="1821"/>
    </row>
    <row r="7" spans="1:67" s="1694" customFormat="1" ht="14.25">
      <c r="A7" s="1847" t="str">
        <f>'数据-汇总表'!C20</f>
        <v>地下厂房</v>
      </c>
      <c r="B7" s="1848" t="str">
        <f t="shared" ref="B7:B13" si="1">IF(A7=0,"","经营性")</f>
        <v>经营性</v>
      </c>
      <c r="C7" s="1849" t="s">
        <v>6</v>
      </c>
      <c r="D7" s="948">
        <f>SUMIF(项目基本情况!D$12:I$12,C7,项目基本情况!D$14:I$14)</f>
        <v>50</v>
      </c>
      <c r="E7" s="947">
        <f>IF(B7="","",SUMIF(项目基本情况!D$12:I$12,C7,项目基本情况!D$13:I$13))</f>
        <v>59926</v>
      </c>
      <c r="F7" s="68">
        <f>SUMIF(项目基本情况!D$12:I$12,C7,项目基本情况!D$15:I$15)</f>
        <v>41.52</v>
      </c>
      <c r="G7" s="69">
        <f t="shared" ref="G7:G11" si="2">IF(ISERROR(ROUND(POWER(1+H7,D7-F7)*(POWER(1+H7,F7)-1)/(POWER(1+H7,D7)-1),3)),0,ROUND(POWER(1+H7,D7-F7)*(POWER(1+H7,F7)-1)/(POWER(1+H7,D7)-1),3))</f>
        <v>0.94399999999999995</v>
      </c>
      <c r="H7" s="741">
        <v>4.4999999999999998E-2</v>
      </c>
      <c r="I7" s="741">
        <f t="shared" ref="I7" si="3">H7+0.005</f>
        <v>4.9999999999999996E-2</v>
      </c>
      <c r="J7" s="70">
        <v>0.08</v>
      </c>
      <c r="K7" s="1142">
        <f>SUMIF('数据-汇总表'!C$19:C$33,A7,'数据-汇总表'!E$19:E$33)</f>
        <v>29778.85</v>
      </c>
      <c r="L7" s="742">
        <f>L6</f>
        <v>3600</v>
      </c>
      <c r="M7" s="71">
        <f t="shared" si="0"/>
        <v>10720</v>
      </c>
      <c r="N7" s="740">
        <f>N6</f>
        <v>0.97</v>
      </c>
      <c r="O7" s="71" t="str">
        <f t="shared" ref="O7:O14" si="4">IF($N$5="成新度","——",ROUND(M7*N7,0))</f>
        <v>——</v>
      </c>
      <c r="P7" s="72" t="str">
        <f t="shared" ref="P7:P14" si="5">IF($N$5="成新度","——",M7-O7)</f>
        <v>——</v>
      </c>
      <c r="Q7" s="743">
        <v>0.08</v>
      </c>
      <c r="R7" s="73">
        <f ca="1">SUMIF('数据-汇总表'!C$19:C$33,A7,'数据-汇总表'!R$19:R$27)</f>
        <v>14904.94</v>
      </c>
      <c r="S7" s="54">
        <f>IF('数据-汇总表'!$I$17="按面积比例",SUMIF('数据-汇总表'!C$19:C$33,A7,'数据-汇总表'!K$19:K$33),SUMIF('数据-汇总表'!C$19:C$33,A7,'数据-汇总表'!N$19:N$33))</f>
        <v>824.22</v>
      </c>
      <c r="T7" s="1287">
        <f t="shared" ref="T7:T13" si="6">ROUND($L$14*S7/10000,0)</f>
        <v>297</v>
      </c>
      <c r="U7" s="74">
        <v>0.8</v>
      </c>
      <c r="V7" s="75">
        <v>0.02</v>
      </c>
      <c r="W7" s="75">
        <v>0.1</v>
      </c>
      <c r="X7" s="1152"/>
      <c r="Y7" s="76">
        <f>Y6</f>
        <v>0.97</v>
      </c>
      <c r="Z7" s="77"/>
      <c r="AA7" s="70"/>
      <c r="AB7" s="70"/>
      <c r="AC7" s="1152"/>
      <c r="AD7" s="78"/>
      <c r="AE7" s="1153">
        <f t="shared" ref="AE7:AE13" ca="1" si="7">IF(AN7="",0,SUMIF(INDIRECT("'"&amp;AN7&amp;"'"&amp;"!E:E"),$AE$5,INDIRECT("'"&amp;AN7&amp;"'"&amp;"!F:F")))</f>
        <v>41.52</v>
      </c>
      <c r="AF7" s="1482"/>
      <c r="AG7" s="143">
        <f t="shared" ref="AG7:AG13" si="8">IF(AF7="",0,AE7-AF7)</f>
        <v>0</v>
      </c>
      <c r="AH7" s="79"/>
      <c r="AI7" s="81">
        <v>365</v>
      </c>
      <c r="AJ7" s="82"/>
      <c r="AK7" s="83">
        <v>5.0000000000000001E-3</v>
      </c>
      <c r="AL7" s="84">
        <v>1E-3</v>
      </c>
      <c r="AM7" s="85">
        <f>AM6</f>
        <v>1.4999999999999999E-2</v>
      </c>
      <c r="AN7" s="1850" t="s">
        <v>3488</v>
      </c>
      <c r="AO7" s="55">
        <f t="shared" ref="AO7:AO13" ca="1" si="9">SUMIF(INDIRECT("'"&amp;AN7&amp;"'"&amp;"!A:A"),"总价",INDIRECT("'"&amp;AN7&amp;"'"&amp;"!B:B"))</f>
        <v>12854</v>
      </c>
      <c r="AP7" s="1851">
        <f t="shared" ref="AP7:AP13" si="10">IF(C7="住宅",K7*L7,0)</f>
        <v>0</v>
      </c>
      <c r="AQ7" s="55">
        <f t="shared" ref="AQ7:AQ13" si="11">ROUND($L$14*$N$14*S7/10000,0)</f>
        <v>288</v>
      </c>
      <c r="AR7" s="55">
        <f t="shared" ref="AR7:AR13" si="12">ROUND($L$14*(1-$N$14)*S7/10000,0)</f>
        <v>9</v>
      </c>
      <c r="AS7" s="1821"/>
      <c r="AT7" s="1821"/>
      <c r="AU7" s="1821"/>
      <c r="AV7" s="1821"/>
      <c r="AW7" s="1821"/>
      <c r="AX7" s="1821"/>
      <c r="AY7" s="1821"/>
      <c r="AZ7" s="1821"/>
      <c r="BA7" s="1821"/>
      <c r="BB7" s="1821"/>
      <c r="BC7" s="1821"/>
      <c r="BD7" s="1821"/>
      <c r="BE7" s="1821"/>
      <c r="BF7" s="1821"/>
      <c r="BG7" s="1821"/>
      <c r="BH7" s="1821"/>
      <c r="BI7" s="1821"/>
      <c r="BJ7" s="1821"/>
      <c r="BK7" s="1821"/>
      <c r="BL7" s="1821"/>
      <c r="BM7" s="1821"/>
      <c r="BN7" s="1821"/>
      <c r="BO7" s="1821"/>
    </row>
    <row r="8" spans="1:67" s="1694" customFormat="1" ht="14.25">
      <c r="A8" s="1847" t="str">
        <f>'数据-汇总表'!C21</f>
        <v>地下车库</v>
      </c>
      <c r="B8" s="1848" t="str">
        <f t="shared" si="1"/>
        <v>经营性</v>
      </c>
      <c r="C8" s="1849" t="s">
        <v>3246</v>
      </c>
      <c r="D8" s="948">
        <f>SUMIF(项目基本情况!D$12:I$12,C8,项目基本情况!D$14:I$14)</f>
        <v>50</v>
      </c>
      <c r="E8" s="947">
        <f>IF(B8="","",SUMIF(项目基本情况!D$12:I$12,C8,项目基本情况!D$13:I$13))</f>
        <v>59926</v>
      </c>
      <c r="F8" s="68">
        <f>SUMIF(项目基本情况!D$12:I$12,C8,项目基本情况!D$15:I$15)</f>
        <v>41.52</v>
      </c>
      <c r="G8" s="69">
        <f t="shared" si="2"/>
        <v>0.94399999999999995</v>
      </c>
      <c r="H8" s="741">
        <v>4.4999999999999998E-2</v>
      </c>
      <c r="I8" s="741">
        <v>0.05</v>
      </c>
      <c r="J8" s="70">
        <v>0.08</v>
      </c>
      <c r="K8" s="1142">
        <f>SUMIF('数据-汇总表'!C$19:C$33,A8,'数据-汇总表'!E$19:E$33)</f>
        <v>30257.699999999997</v>
      </c>
      <c r="L8" s="742">
        <f>L6</f>
        <v>3600</v>
      </c>
      <c r="M8" s="71">
        <f>ROUND(K8*L8/10000,0)</f>
        <v>10893</v>
      </c>
      <c r="N8" s="740">
        <f>N6</f>
        <v>0.97</v>
      </c>
      <c r="O8" s="71" t="str">
        <f t="shared" si="4"/>
        <v>——</v>
      </c>
      <c r="P8" s="72" t="str">
        <f t="shared" si="5"/>
        <v>——</v>
      </c>
      <c r="Q8" s="743">
        <v>0.03</v>
      </c>
      <c r="R8" s="73">
        <f ca="1">SUMIF('数据-汇总表'!C$19:C$33,A8,'数据-汇总表'!R$19:R$27)</f>
        <v>15144.609999999999</v>
      </c>
      <c r="S8" s="54">
        <f>IF('数据-汇总表'!$I$17="按面积比例",SUMIF('数据-汇总表'!C$19:C$33,A8,'数据-汇总表'!K$19:K$33),SUMIF('数据-汇总表'!C$19:C$33,A8,'数据-汇总表'!N$19:N$33))</f>
        <v>837.47</v>
      </c>
      <c r="T8" s="1287">
        <f t="shared" si="6"/>
        <v>301</v>
      </c>
      <c r="U8" s="744">
        <v>0.5</v>
      </c>
      <c r="V8" s="745">
        <v>0.02</v>
      </c>
      <c r="W8" s="745">
        <v>0.1</v>
      </c>
      <c r="X8" s="1152"/>
      <c r="Y8" s="746">
        <f>Y6</f>
        <v>0.97</v>
      </c>
      <c r="Z8" s="77"/>
      <c r="AA8" s="70"/>
      <c r="AB8" s="70"/>
      <c r="AC8" s="1152"/>
      <c r="AD8" s="78"/>
      <c r="AE8" s="1153">
        <f t="shared" ca="1" si="7"/>
        <v>41.52</v>
      </c>
      <c r="AF8" s="1482"/>
      <c r="AG8" s="143">
        <f t="shared" si="8"/>
        <v>0</v>
      </c>
      <c r="AH8" s="747"/>
      <c r="AI8" s="81">
        <v>365</v>
      </c>
      <c r="AJ8" s="82"/>
      <c r="AK8" s="748">
        <v>5.0000000000000001E-3</v>
      </c>
      <c r="AL8" s="749">
        <v>1E-3</v>
      </c>
      <c r="AM8" s="750">
        <v>1.4999999999999999E-2</v>
      </c>
      <c r="AN8" s="1850" t="s">
        <v>3490</v>
      </c>
      <c r="AO8" s="55">
        <f t="shared" ca="1" si="9"/>
        <v>7442</v>
      </c>
      <c r="AP8" s="1851">
        <f t="shared" si="10"/>
        <v>0</v>
      </c>
      <c r="AQ8" s="55">
        <f t="shared" si="11"/>
        <v>292</v>
      </c>
      <c r="AR8" s="55">
        <f t="shared" si="12"/>
        <v>9</v>
      </c>
      <c r="AS8" s="1821"/>
      <c r="AT8" s="1821"/>
      <c r="AU8" s="1821"/>
      <c r="AV8" s="1821"/>
      <c r="AW8" s="1821"/>
      <c r="AX8" s="1821"/>
      <c r="AY8" s="1821"/>
      <c r="AZ8" s="1821"/>
      <c r="BA8" s="1821"/>
      <c r="BB8" s="1821"/>
      <c r="BC8" s="1821"/>
      <c r="BD8" s="1821"/>
      <c r="BE8" s="1821"/>
      <c r="BF8" s="1821"/>
      <c r="BG8" s="1821"/>
      <c r="BH8" s="1821"/>
      <c r="BI8" s="1821"/>
      <c r="BJ8" s="1821"/>
      <c r="BK8" s="1821"/>
      <c r="BL8" s="1821"/>
      <c r="BM8" s="1821"/>
      <c r="BN8" s="1821"/>
      <c r="BO8" s="1821"/>
    </row>
    <row r="9" spans="1:67" s="1694" customFormat="1" ht="14.25">
      <c r="A9" s="1847">
        <f>'数据-汇总表'!C22</f>
        <v>0</v>
      </c>
      <c r="B9" s="1848" t="str">
        <f t="shared" si="1"/>
        <v/>
      </c>
      <c r="C9" s="1849"/>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4"/>
        <v>——</v>
      </c>
      <c r="P9" s="72" t="str">
        <f t="shared" si="5"/>
        <v>——</v>
      </c>
      <c r="Q9" s="86"/>
      <c r="R9" s="73">
        <f ca="1">SUMIF('数据-汇总表'!C$19:C$33,A9,'数据-汇总表'!R$19:R$27)</f>
        <v>0</v>
      </c>
      <c r="S9" s="54">
        <f>IF('数据-汇总表'!$I$17="按面积比例",SUMIF('数据-汇总表'!C$19:C$33,A9,'数据-汇总表'!K$19:K$33),SUMIF('数据-汇总表'!C$19:C$33,A9,'数据-汇总表'!N$19:N$33))</f>
        <v>0</v>
      </c>
      <c r="T9" s="1287">
        <f t="shared" si="6"/>
        <v>0</v>
      </c>
      <c r="U9" s="74"/>
      <c r="V9" s="75"/>
      <c r="W9" s="75"/>
      <c r="X9" s="1152"/>
      <c r="Y9" s="76"/>
      <c r="Z9" s="77"/>
      <c r="AA9" s="70"/>
      <c r="AB9" s="70"/>
      <c r="AC9" s="1152"/>
      <c r="AD9" s="78"/>
      <c r="AE9" s="1153">
        <f t="shared" ca="1" si="7"/>
        <v>0</v>
      </c>
      <c r="AF9" s="1482"/>
      <c r="AG9" s="143">
        <f t="shared" si="8"/>
        <v>0</v>
      </c>
      <c r="AH9" s="79"/>
      <c r="AI9" s="81"/>
      <c r="AJ9" s="82"/>
      <c r="AK9" s="83"/>
      <c r="AL9" s="84"/>
      <c r="AM9" s="85"/>
      <c r="AN9" s="1850"/>
      <c r="AO9" s="55" t="e">
        <f t="shared" ca="1" si="9"/>
        <v>#REF!</v>
      </c>
      <c r="AP9" s="1851">
        <f t="shared" si="10"/>
        <v>0</v>
      </c>
      <c r="AQ9" s="55">
        <f t="shared" si="11"/>
        <v>0</v>
      </c>
      <c r="AR9" s="55">
        <f t="shared" si="12"/>
        <v>0</v>
      </c>
      <c r="AS9" s="1821"/>
      <c r="AT9" s="1821"/>
      <c r="AU9" s="1821"/>
      <c r="AV9" s="1821"/>
      <c r="AW9" s="1821"/>
      <c r="AX9" s="1821"/>
      <c r="AY9" s="1821"/>
      <c r="AZ9" s="1821"/>
      <c r="BA9" s="1821"/>
      <c r="BB9" s="1821"/>
      <c r="BC9" s="1821"/>
      <c r="BD9" s="1821"/>
      <c r="BE9" s="1821"/>
      <c r="BF9" s="1821"/>
      <c r="BG9" s="1821"/>
      <c r="BH9" s="1821"/>
      <c r="BI9" s="1821"/>
      <c r="BJ9" s="1821"/>
      <c r="BK9" s="1821"/>
      <c r="BL9" s="1821"/>
      <c r="BM9" s="1821"/>
      <c r="BN9" s="1821"/>
      <c r="BO9" s="1821"/>
    </row>
    <row r="10" spans="1:67" s="1694" customFormat="1" ht="14.25">
      <c r="A10" s="1847">
        <f>'数据-汇总表'!C23</f>
        <v>0</v>
      </c>
      <c r="B10" s="1848" t="str">
        <f t="shared" si="1"/>
        <v/>
      </c>
      <c r="C10" s="1849"/>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4"/>
        <v>——</v>
      </c>
      <c r="P10" s="72" t="str">
        <f t="shared" si="5"/>
        <v>——</v>
      </c>
      <c r="Q10" s="86"/>
      <c r="R10" s="73">
        <f ca="1">SUMIF('数据-汇总表'!C$19:C$33,A10,'数据-汇总表'!R$19:R$27)</f>
        <v>0</v>
      </c>
      <c r="S10" s="54">
        <f>IF('数据-汇总表'!$I$17="按面积比例",SUMIF('数据-汇总表'!C$19:C$33,A10,'数据-汇总表'!K$19:K$33),SUMIF('数据-汇总表'!C$19:C$33,A10,'数据-汇总表'!N$19:N$33))</f>
        <v>0</v>
      </c>
      <c r="T10" s="1287">
        <f t="shared" si="6"/>
        <v>0</v>
      </c>
      <c r="U10" s="74"/>
      <c r="V10" s="75"/>
      <c r="W10" s="75"/>
      <c r="X10" s="1152"/>
      <c r="Y10" s="76"/>
      <c r="Z10" s="77"/>
      <c r="AA10" s="70"/>
      <c r="AB10" s="70"/>
      <c r="AC10" s="1152"/>
      <c r="AD10" s="78"/>
      <c r="AE10" s="1153">
        <f t="shared" ca="1" si="7"/>
        <v>0</v>
      </c>
      <c r="AF10" s="1482"/>
      <c r="AG10" s="143">
        <f t="shared" si="8"/>
        <v>0</v>
      </c>
      <c r="AH10" s="79"/>
      <c r="AI10" s="81"/>
      <c r="AJ10" s="82"/>
      <c r="AK10" s="83"/>
      <c r="AL10" s="84"/>
      <c r="AM10" s="85"/>
      <c r="AN10" s="1850"/>
      <c r="AO10" s="55" t="e">
        <f t="shared" ca="1" si="9"/>
        <v>#REF!</v>
      </c>
      <c r="AP10" s="1851">
        <f t="shared" si="10"/>
        <v>0</v>
      </c>
      <c r="AQ10" s="55">
        <f t="shared" si="11"/>
        <v>0</v>
      </c>
      <c r="AR10" s="55">
        <f t="shared" si="12"/>
        <v>0</v>
      </c>
      <c r="AS10" s="1821"/>
      <c r="AT10" s="1821"/>
      <c r="AU10" s="1821"/>
      <c r="AV10" s="1821"/>
      <c r="AW10" s="1821"/>
      <c r="AX10" s="1821"/>
      <c r="AY10" s="1821"/>
      <c r="AZ10" s="1821"/>
      <c r="BA10" s="1821"/>
      <c r="BB10" s="1821"/>
      <c r="BC10" s="1821"/>
      <c r="BD10" s="1821"/>
      <c r="BE10" s="1821"/>
      <c r="BF10" s="1821"/>
      <c r="BG10" s="1821"/>
      <c r="BH10" s="1821"/>
      <c r="BI10" s="1821"/>
      <c r="BJ10" s="1821"/>
      <c r="BK10" s="1821"/>
      <c r="BL10" s="1821"/>
      <c r="BM10" s="1821"/>
      <c r="BN10" s="1821"/>
      <c r="BO10" s="1821"/>
    </row>
    <row r="11" spans="1:67" s="1694" customFormat="1" ht="14.25">
      <c r="A11" s="1847">
        <f>'数据-汇总表'!C24</f>
        <v>0</v>
      </c>
      <c r="B11" s="1848" t="str">
        <f t="shared" si="1"/>
        <v/>
      </c>
      <c r="C11" s="1849"/>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4"/>
        <v>——</v>
      </c>
      <c r="P11" s="72" t="str">
        <f t="shared" si="5"/>
        <v>——</v>
      </c>
      <c r="Q11" s="86"/>
      <c r="R11" s="73">
        <f ca="1">SUMIF('数据-汇总表'!C$19:C$33,A11,'数据-汇总表'!R$19:R$27)</f>
        <v>0</v>
      </c>
      <c r="S11" s="54">
        <f>IF('数据-汇总表'!$I$17="按面积比例",SUMIF('数据-汇总表'!C$19:C$33,A11,'数据-汇总表'!K$19:K$33),SUMIF('数据-汇总表'!C$19:C$33,A11,'数据-汇总表'!N$19:N$33))</f>
        <v>0</v>
      </c>
      <c r="T11" s="1287">
        <f t="shared" si="6"/>
        <v>0</v>
      </c>
      <c r="U11" s="79"/>
      <c r="V11" s="70"/>
      <c r="W11" s="70"/>
      <c r="X11" s="1152"/>
      <c r="Y11" s="76"/>
      <c r="Z11" s="89"/>
      <c r="AA11" s="70"/>
      <c r="AB11" s="70"/>
      <c r="AC11" s="1152"/>
      <c r="AD11" s="78"/>
      <c r="AE11" s="1153">
        <f t="shared" ca="1" si="7"/>
        <v>0</v>
      </c>
      <c r="AF11" s="1482"/>
      <c r="AG11" s="143">
        <f t="shared" si="8"/>
        <v>0</v>
      </c>
      <c r="AH11" s="79"/>
      <c r="AI11" s="81"/>
      <c r="AJ11" s="82"/>
      <c r="AK11" s="90"/>
      <c r="AL11" s="91"/>
      <c r="AM11" s="92"/>
      <c r="AN11" s="1850"/>
      <c r="AO11" s="55" t="e">
        <f t="shared" ca="1" si="9"/>
        <v>#REF!</v>
      </c>
      <c r="AP11" s="1851">
        <f t="shared" si="10"/>
        <v>0</v>
      </c>
      <c r="AQ11" s="55">
        <f t="shared" si="11"/>
        <v>0</v>
      </c>
      <c r="AR11" s="55">
        <f t="shared" si="12"/>
        <v>0</v>
      </c>
      <c r="AS11" s="1821"/>
      <c r="AT11" s="1821"/>
      <c r="AU11" s="1821"/>
      <c r="AV11" s="1821"/>
      <c r="AW11" s="1821"/>
      <c r="AX11" s="1821"/>
      <c r="AY11" s="1821"/>
      <c r="AZ11" s="1821"/>
      <c r="BA11" s="1821"/>
      <c r="BB11" s="1821"/>
      <c r="BC11" s="1821"/>
      <c r="BD11" s="1821"/>
      <c r="BE11" s="1821"/>
      <c r="BF11" s="1821"/>
      <c r="BG11" s="1821"/>
      <c r="BH11" s="1821"/>
      <c r="BI11" s="1821"/>
      <c r="BJ11" s="1821"/>
      <c r="BK11" s="1821"/>
      <c r="BL11" s="1821"/>
      <c r="BM11" s="1821"/>
      <c r="BN11" s="1821"/>
      <c r="BO11" s="1821"/>
    </row>
    <row r="12" spans="1:67" s="1694" customFormat="1" ht="14.25">
      <c r="A12" s="1847">
        <f>'数据-汇总表'!C25</f>
        <v>0</v>
      </c>
      <c r="B12" s="1848" t="str">
        <f t="shared" si="1"/>
        <v/>
      </c>
      <c r="C12" s="1849"/>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4"/>
        <v>——</v>
      </c>
      <c r="P12" s="72" t="str">
        <f t="shared" si="5"/>
        <v>——</v>
      </c>
      <c r="Q12" s="86"/>
      <c r="R12" s="73">
        <f ca="1">SUMIF('数据-汇总表'!C$19:C$33,A12,'数据-汇总表'!R$19:R$27)</f>
        <v>0</v>
      </c>
      <c r="S12" s="54">
        <f>IF('数据-汇总表'!$I$17="按面积比例",SUMIF('数据-汇总表'!C$19:C$33,A12,'数据-汇总表'!K$19:K$33),SUMIF('数据-汇总表'!C$19:C$33,A12,'数据-汇总表'!N$19:N$33))</f>
        <v>0</v>
      </c>
      <c r="T12" s="1287">
        <f t="shared" si="6"/>
        <v>0</v>
      </c>
      <c r="U12" s="79"/>
      <c r="V12" s="70"/>
      <c r="W12" s="70"/>
      <c r="X12" s="1152"/>
      <c r="Y12" s="76"/>
      <c r="Z12" s="89"/>
      <c r="AA12" s="70"/>
      <c r="AB12" s="70"/>
      <c r="AC12" s="1152"/>
      <c r="AD12" s="78"/>
      <c r="AE12" s="1153">
        <f t="shared" ca="1" si="7"/>
        <v>0</v>
      </c>
      <c r="AF12" s="1482"/>
      <c r="AG12" s="143">
        <f t="shared" si="8"/>
        <v>0</v>
      </c>
      <c r="AH12" s="79"/>
      <c r="AI12" s="81"/>
      <c r="AJ12" s="82"/>
      <c r="AK12" s="90"/>
      <c r="AL12" s="91"/>
      <c r="AM12" s="92"/>
      <c r="AN12" s="1850"/>
      <c r="AO12" s="55" t="e">
        <f t="shared" ca="1" si="9"/>
        <v>#REF!</v>
      </c>
      <c r="AP12" s="1851">
        <f t="shared" si="10"/>
        <v>0</v>
      </c>
      <c r="AQ12" s="55">
        <f t="shared" si="11"/>
        <v>0</v>
      </c>
      <c r="AR12" s="55">
        <f t="shared" si="12"/>
        <v>0</v>
      </c>
      <c r="AS12" s="1821"/>
      <c r="AT12" s="1821"/>
      <c r="AU12" s="1821"/>
      <c r="AV12" s="1821"/>
      <c r="AW12" s="1821"/>
      <c r="AX12" s="1821"/>
      <c r="AY12" s="1821"/>
      <c r="AZ12" s="1821"/>
      <c r="BA12" s="1821"/>
      <c r="BB12" s="1821"/>
      <c r="BC12" s="1821"/>
      <c r="BD12" s="1821"/>
      <c r="BE12" s="1821"/>
      <c r="BF12" s="1821"/>
      <c r="BG12" s="1821"/>
      <c r="BH12" s="1821"/>
      <c r="BI12" s="1821"/>
      <c r="BJ12" s="1821"/>
      <c r="BK12" s="1821"/>
      <c r="BL12" s="1821"/>
      <c r="BM12" s="1821"/>
      <c r="BN12" s="1821"/>
      <c r="BO12" s="1821"/>
    </row>
    <row r="13" spans="1:67" s="1694" customFormat="1" ht="14.25">
      <c r="A13" s="1847">
        <f>'数据-汇总表'!C26</f>
        <v>0</v>
      </c>
      <c r="B13" s="1848" t="str">
        <f t="shared" si="1"/>
        <v/>
      </c>
      <c r="C13" s="1849"/>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4"/>
        <v>——</v>
      </c>
      <c r="P13" s="72" t="str">
        <f t="shared" si="5"/>
        <v>——</v>
      </c>
      <c r="Q13" s="86"/>
      <c r="R13" s="73">
        <f ca="1">SUMIF('数据-汇总表'!C$19:C$33,A13,'数据-汇总表'!R$19:R$27)</f>
        <v>0</v>
      </c>
      <c r="S13" s="54">
        <f>IF('数据-汇总表'!$I$17="按面积比例",SUMIF('数据-汇总表'!C$19:C$33,A13,'数据-汇总表'!K$19:K$33),SUMIF('数据-汇总表'!C$19:C$33,A13,'数据-汇总表'!N$19:N$33))</f>
        <v>0</v>
      </c>
      <c r="T13" s="1287">
        <f t="shared" si="6"/>
        <v>0</v>
      </c>
      <c r="U13" s="74"/>
      <c r="V13" s="75"/>
      <c r="W13" s="75"/>
      <c r="X13" s="1152"/>
      <c r="Y13" s="76"/>
      <c r="Z13" s="77"/>
      <c r="AA13" s="70"/>
      <c r="AB13" s="70"/>
      <c r="AC13" s="1152"/>
      <c r="AD13" s="78"/>
      <c r="AE13" s="1153">
        <f t="shared" ca="1" si="7"/>
        <v>0</v>
      </c>
      <c r="AF13" s="1482"/>
      <c r="AG13" s="143">
        <f t="shared" si="8"/>
        <v>0</v>
      </c>
      <c r="AH13" s="79"/>
      <c r="AI13" s="81"/>
      <c r="AJ13" s="82"/>
      <c r="AK13" s="83"/>
      <c r="AL13" s="84"/>
      <c r="AM13" s="85"/>
      <c r="AN13" s="1850"/>
      <c r="AO13" s="55" t="e">
        <f t="shared" ca="1" si="9"/>
        <v>#REF!</v>
      </c>
      <c r="AP13" s="1851">
        <f t="shared" si="10"/>
        <v>0</v>
      </c>
      <c r="AQ13" s="55">
        <f t="shared" si="11"/>
        <v>0</v>
      </c>
      <c r="AR13" s="55">
        <f t="shared" si="12"/>
        <v>0</v>
      </c>
      <c r="AS13" s="1821"/>
      <c r="AT13" s="1821"/>
      <c r="AU13" s="1821"/>
      <c r="AV13" s="1821"/>
      <c r="AW13" s="1821"/>
      <c r="AX13" s="1821"/>
      <c r="AY13" s="1821"/>
      <c r="AZ13" s="1821"/>
      <c r="BA13" s="1821"/>
      <c r="BB13" s="1821"/>
      <c r="BC13" s="1821"/>
      <c r="BD13" s="1821"/>
      <c r="BE13" s="1821"/>
      <c r="BF13" s="1821"/>
      <c r="BG13" s="1821"/>
      <c r="BH13" s="1821"/>
      <c r="BI13" s="1821"/>
      <c r="BJ13" s="1821"/>
      <c r="BK13" s="1821"/>
      <c r="BL13" s="1821"/>
      <c r="BM13" s="1821"/>
      <c r="BN13" s="1821"/>
      <c r="BO13" s="1821"/>
    </row>
    <row r="14" spans="1:67" s="1694" customFormat="1" ht="14.25">
      <c r="A14" s="1852" t="s">
        <v>1648</v>
      </c>
      <c r="B14" s="1848" t="s">
        <v>1649</v>
      </c>
      <c r="C14" s="1853" t="s">
        <v>1648</v>
      </c>
      <c r="D14" s="948"/>
      <c r="E14" s="947"/>
      <c r="F14" s="68"/>
      <c r="G14" s="69"/>
      <c r="H14" s="1141"/>
      <c r="I14" s="1141"/>
      <c r="J14" s="1141"/>
      <c r="K14" s="1142">
        <f>SUMIF('数据-汇总表'!C$19:C$33,A14,'数据-汇总表'!E$19:E$33)</f>
        <v>6531.98</v>
      </c>
      <c r="L14" s="87">
        <f>L6</f>
        <v>3600</v>
      </c>
      <c r="M14" s="71">
        <f t="shared" si="0"/>
        <v>2352</v>
      </c>
      <c r="N14" s="88">
        <f>N6</f>
        <v>0.97</v>
      </c>
      <c r="O14" s="71" t="str">
        <f t="shared" si="4"/>
        <v>——</v>
      </c>
      <c r="P14" s="72" t="str">
        <f t="shared" si="5"/>
        <v>——</v>
      </c>
      <c r="Q14" s="1145"/>
      <c r="R14" s="73"/>
      <c r="S14" s="54"/>
      <c r="T14" s="1287"/>
      <c r="U14" s="679"/>
      <c r="V14" s="1147"/>
      <c r="W14" s="1147"/>
      <c r="X14" s="1148"/>
      <c r="Y14" s="1149"/>
      <c r="Z14" s="1150"/>
      <c r="AA14" s="1151"/>
      <c r="AB14" s="1151"/>
      <c r="AC14" s="1152"/>
      <c r="AD14" s="1148"/>
      <c r="AE14" s="1153"/>
      <c r="AF14" s="55"/>
      <c r="AG14" s="143"/>
      <c r="AH14" s="1153"/>
      <c r="AI14" s="1491"/>
      <c r="AJ14" s="713"/>
      <c r="AK14" s="1154"/>
      <c r="AL14" s="1155"/>
      <c r="AM14" s="1156"/>
      <c r="AN14" s="2848"/>
      <c r="AO14" s="2850"/>
      <c r="AP14" s="2850"/>
      <c r="AQ14" s="2850"/>
      <c r="AR14" s="2850"/>
      <c r="AS14" s="1821"/>
      <c r="AT14" s="1821"/>
      <c r="AU14" s="1821"/>
      <c r="AV14" s="1821"/>
      <c r="AW14" s="1821"/>
      <c r="AX14" s="1821"/>
      <c r="AY14" s="1821"/>
      <c r="AZ14" s="1821"/>
      <c r="BA14" s="1821"/>
      <c r="BB14" s="1821"/>
      <c r="BC14" s="1821"/>
      <c r="BD14" s="1821"/>
      <c r="BE14" s="1821"/>
      <c r="BF14" s="1821"/>
      <c r="BG14" s="1821"/>
      <c r="BH14" s="1821"/>
      <c r="BI14" s="1821"/>
      <c r="BJ14" s="1821"/>
      <c r="BK14" s="1821"/>
      <c r="BL14" s="1821"/>
      <c r="BM14" s="1821"/>
      <c r="BN14" s="1821"/>
      <c r="BO14" s="1821"/>
    </row>
    <row r="15" spans="1:67" s="1694" customFormat="1" ht="27">
      <c r="A15" s="1852" t="s">
        <v>1650</v>
      </c>
      <c r="B15" s="1848" t="s">
        <v>1649</v>
      </c>
      <c r="C15" s="1853" t="s">
        <v>1651</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1"/>
      <c r="AJ15" s="713"/>
      <c r="AK15" s="1154"/>
      <c r="AL15" s="1155"/>
      <c r="AM15" s="1156"/>
      <c r="AN15" s="2848"/>
      <c r="AO15" s="2850"/>
      <c r="AP15" s="2850"/>
      <c r="AQ15" s="2850"/>
      <c r="AR15" s="2850"/>
      <c r="AS15" s="1821"/>
      <c r="AT15" s="1821"/>
      <c r="AU15" s="1821"/>
      <c r="AV15" s="1821"/>
      <c r="AW15" s="1821"/>
      <c r="AX15" s="1821"/>
      <c r="AY15" s="1821"/>
      <c r="AZ15" s="1821"/>
      <c r="BA15" s="1821"/>
      <c r="BB15" s="1821"/>
      <c r="BC15" s="1821"/>
      <c r="BD15" s="1821"/>
      <c r="BE15" s="1821"/>
      <c r="BF15" s="1821"/>
      <c r="BG15" s="1821"/>
      <c r="BH15" s="1821"/>
      <c r="BI15" s="1821"/>
      <c r="BJ15" s="1821"/>
      <c r="BK15" s="1821"/>
      <c r="BL15" s="1821"/>
      <c r="BM15" s="1821"/>
      <c r="BN15" s="1821"/>
      <c r="BO15" s="1821"/>
    </row>
    <row r="16" spans="1:67" s="1694" customFormat="1" ht="15.75" thickBot="1">
      <c r="A16" s="1854" t="s">
        <v>1652</v>
      </c>
      <c r="B16" s="93"/>
      <c r="C16" s="923"/>
      <c r="D16" s="1855"/>
      <c r="E16" s="93"/>
      <c r="F16" s="93"/>
      <c r="G16" s="94">
        <f>ROUND(SUMPRODUCT(G6:G13,K6:K13)/SUMPRODUCT((G6:G13&gt;0)*(K6:K13)),3)</f>
        <v>0.94399999999999995</v>
      </c>
      <c r="H16" s="95">
        <f>ROUND(SUMPRODUCT(H6:H13,K6:K13)/SUMPRODUCT((H6:H13&gt;0)*(K6:K13)),3)</f>
        <v>4.4999999999999998E-2</v>
      </c>
      <c r="I16" s="96"/>
      <c r="J16" s="96"/>
      <c r="K16" s="97">
        <f>SUM(K6:K15)</f>
        <v>242531.24000000002</v>
      </c>
      <c r="L16" s="98">
        <f>ROUND(M16*10000/SUM(K6:K14),0)</f>
        <v>3600</v>
      </c>
      <c r="M16" s="98">
        <f>SUM(M6:M14)</f>
        <v>87312</v>
      </c>
      <c r="N16" s="99">
        <f>ROUND(SUMPRODUCT(M6:M14,N6:N14)/M16,3)</f>
        <v>0.97</v>
      </c>
      <c r="O16" s="98">
        <f>SUM(O6:O14)</f>
        <v>0</v>
      </c>
      <c r="P16" s="98">
        <f>SUM(P6:P14)</f>
        <v>0</v>
      </c>
      <c r="Q16" s="100">
        <f>ROUND(SUMPRODUCT(Q6:Q13,K6:K13)/SUMPRODUCT((Q6:Q13&gt;0)*(K6:K13)),2)</f>
        <v>0.13</v>
      </c>
      <c r="R16" s="1146">
        <f ca="1">SUM(R6:R13)</f>
        <v>118122.57</v>
      </c>
      <c r="S16" s="101">
        <f>SUM(S6:S13)</f>
        <v>6531.9800000000005</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1"/>
      <c r="AT16" s="1821"/>
      <c r="AU16" s="1821"/>
      <c r="AV16" s="1821"/>
      <c r="AW16" s="1821"/>
      <c r="AX16" s="1821"/>
      <c r="AY16" s="1821"/>
      <c r="AZ16" s="1821"/>
      <c r="BA16" s="1821"/>
      <c r="BB16" s="1821"/>
      <c r="BC16" s="1821"/>
      <c r="BD16" s="1821"/>
      <c r="BE16" s="1821"/>
      <c r="BF16" s="1821"/>
      <c r="BG16" s="1821"/>
      <c r="BH16" s="1821"/>
      <c r="BI16" s="1821"/>
      <c r="BJ16" s="1821"/>
      <c r="BK16" s="1821"/>
      <c r="BL16" s="1821"/>
      <c r="BM16" s="1821"/>
      <c r="BN16" s="1821"/>
      <c r="BO16" s="1821"/>
    </row>
    <row r="17" spans="1:67" ht="13.5" thickBot="1">
      <c r="A17" s="1856"/>
      <c r="B17" s="2859"/>
      <c r="C17" s="2848"/>
      <c r="D17" s="2852"/>
      <c r="E17" s="2852"/>
      <c r="F17" s="2848"/>
      <c r="G17" s="2848"/>
      <c r="H17" s="2848"/>
      <c r="I17" s="2848"/>
      <c r="J17" s="2848"/>
      <c r="K17" s="2849"/>
      <c r="L17" s="2849"/>
      <c r="M17" s="3290" t="s">
        <v>3795</v>
      </c>
      <c r="N17" s="3290" t="s">
        <v>3796</v>
      </c>
      <c r="O17" s="3290" t="s">
        <v>3797</v>
      </c>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1653</v>
      </c>
      <c r="B18" s="2862"/>
      <c r="C18" s="2850"/>
      <c r="D18" s="2853"/>
      <c r="E18" s="2850"/>
      <c r="F18" s="2850"/>
      <c r="G18" s="2850"/>
      <c r="H18" s="2850"/>
      <c r="I18" s="2850"/>
      <c r="J18" s="2850"/>
      <c r="K18" s="2849"/>
      <c r="L18" s="2849"/>
      <c r="M18" s="2848">
        <v>2019</v>
      </c>
      <c r="N18" s="2848">
        <f>SUM(面积表!Q5:Q31)</f>
        <v>102768.69</v>
      </c>
      <c r="O18" s="2848">
        <f>ROUND(1-(2022-M18)/60,2)</f>
        <v>0.95</v>
      </c>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7" t="s">
        <v>1654</v>
      </c>
      <c r="B19" s="108">
        <v>0</v>
      </c>
      <c r="C19" s="2978" t="s">
        <v>2803</v>
      </c>
      <c r="D19" s="2853"/>
      <c r="E19" s="2850"/>
      <c r="F19" s="2850"/>
      <c r="G19" s="2850"/>
      <c r="H19" s="2850"/>
      <c r="I19" s="2850"/>
      <c r="J19" s="2850"/>
      <c r="K19" s="2849"/>
      <c r="L19" s="2849"/>
      <c r="M19" s="2848">
        <v>2021</v>
      </c>
      <c r="N19" s="2848">
        <f>SUM(面积表!Q32:'面积表'!Q67)</f>
        <v>139762.55000000005</v>
      </c>
      <c r="O19" s="2848">
        <f>ROUND(1-(2022-M19)/60,2)</f>
        <v>0.98</v>
      </c>
      <c r="P19" s="2848"/>
      <c r="Q19" s="2848"/>
      <c r="R19" s="2848"/>
      <c r="S19" s="2848"/>
      <c r="T19" s="2848"/>
      <c r="U19" s="2848">
        <f>U6*K6+U7*K7+U8*K8</f>
        <v>288818.97820000001</v>
      </c>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58" t="s">
        <v>1655</v>
      </c>
      <c r="B20" s="109">
        <v>3</v>
      </c>
      <c r="C20" s="2979" t="s">
        <v>2801</v>
      </c>
      <c r="D20" s="2853"/>
      <c r="E20" s="2850"/>
      <c r="F20" s="2850"/>
      <c r="G20" s="2850"/>
      <c r="H20" s="2850"/>
      <c r="I20" s="2850"/>
      <c r="J20" s="2850"/>
      <c r="K20" s="2849"/>
      <c r="L20" s="2849"/>
      <c r="M20" s="2848"/>
      <c r="N20" s="2848">
        <f>N18+N19</f>
        <v>242531.24000000005</v>
      </c>
      <c r="O20" s="2848">
        <f>ROUND((N18*O18+N19*O19)/N20,2)</f>
        <v>0.97</v>
      </c>
      <c r="P20" s="2848"/>
      <c r="Q20" s="2848"/>
      <c r="R20" s="2848"/>
      <c r="S20" s="2848"/>
      <c r="T20" s="2848"/>
      <c r="U20" s="2848">
        <f>U19/K16</f>
        <v>1.1908526843799585</v>
      </c>
      <c r="V20" s="2848"/>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59" t="s">
        <v>1656</v>
      </c>
      <c r="B21" s="109">
        <v>3</v>
      </c>
      <c r="C21" s="2850"/>
      <c r="D21" s="2853"/>
      <c r="E21" s="2850"/>
      <c r="F21" s="2850"/>
      <c r="G21" s="2850"/>
      <c r="H21" s="2850"/>
      <c r="I21" s="2850"/>
      <c r="J21" s="2850"/>
      <c r="K21" s="2849"/>
      <c r="L21" s="2849"/>
      <c r="M21" s="2848"/>
      <c r="N21" s="2848"/>
      <c r="O21" s="2848"/>
      <c r="P21" s="2848"/>
      <c r="Q21" s="2848"/>
      <c r="R21" s="2848"/>
      <c r="S21" s="2848"/>
      <c r="T21" s="2848"/>
      <c r="U21" s="2848"/>
      <c r="V21" s="2848"/>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58" t="s">
        <v>1657</v>
      </c>
      <c r="B22" s="110">
        <f>B19+B20</f>
        <v>3</v>
      </c>
      <c r="C22" s="2850"/>
      <c r="D22" s="2853"/>
      <c r="E22" s="2850"/>
      <c r="F22" s="2850"/>
      <c r="G22" s="2850"/>
      <c r="H22" s="2850"/>
      <c r="I22" s="2850"/>
      <c r="J22" s="2850"/>
      <c r="K22" s="2849"/>
      <c r="L22" s="2849"/>
      <c r="M22" s="2848"/>
      <c r="N22" s="2848"/>
      <c r="O22" s="2848"/>
      <c r="P22" s="2848"/>
      <c r="Q22" s="2848"/>
      <c r="R22" s="2848"/>
      <c r="S22" s="2848"/>
      <c r="T22" s="2848"/>
      <c r="U22" s="2848"/>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59" t="s">
        <v>1658</v>
      </c>
      <c r="B23" s="110">
        <f>B19+B21</f>
        <v>3</v>
      </c>
      <c r="C23" s="2850"/>
      <c r="D23" s="2853"/>
      <c r="E23" s="2850"/>
      <c r="F23" s="2850"/>
      <c r="G23" s="2850"/>
      <c r="H23" s="2850"/>
      <c r="I23" s="2850"/>
      <c r="J23" s="2850"/>
      <c r="K23" s="2849"/>
      <c r="L23" s="2849"/>
      <c r="M23" s="2848"/>
      <c r="N23" s="2848"/>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0" t="s">
        <v>1659</v>
      </c>
      <c r="B24" s="111">
        <f>B20-B21</f>
        <v>0</v>
      </c>
      <c r="C24" s="2850"/>
      <c r="D24" s="2853"/>
      <c r="E24" s="2850"/>
      <c r="F24" s="2850"/>
      <c r="G24" s="2850"/>
      <c r="H24" s="2850"/>
      <c r="I24" s="2850"/>
      <c r="J24" s="2850"/>
      <c r="K24" s="2849"/>
      <c r="L24" s="2849"/>
      <c r="M24" s="2848"/>
      <c r="N24" s="2848"/>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2"/>
      <c r="B25" s="1822"/>
      <c r="C25" s="2850"/>
      <c r="D25" s="2853"/>
      <c r="E25" s="2850"/>
      <c r="F25" s="2850"/>
      <c r="G25" s="2850"/>
      <c r="H25" s="2850"/>
      <c r="I25" s="2850"/>
      <c r="J25" s="2850"/>
      <c r="K25" s="2849"/>
      <c r="L25" s="2849"/>
      <c r="M25" s="2848"/>
      <c r="N25" s="2848"/>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18" t="s">
        <v>1660</v>
      </c>
      <c r="B26" s="1861" t="s">
        <v>1661</v>
      </c>
      <c r="C26" s="2854" t="s">
        <v>1662</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3" customFormat="1" ht="27.75">
      <c r="A27" s="1862" t="s">
        <v>1663</v>
      </c>
      <c r="B27" s="112"/>
      <c r="C27" s="2980" t="s">
        <v>2805</v>
      </c>
      <c r="D27" s="2856"/>
      <c r="E27" s="2836"/>
      <c r="F27" s="2836"/>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3" customFormat="1" ht="27.75">
      <c r="A28" s="1864" t="s">
        <v>1664</v>
      </c>
      <c r="B28" s="115">
        <v>190</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3" customFormat="1" ht="28.5" thickBot="1">
      <c r="A29" s="1865" t="s">
        <v>1665</v>
      </c>
      <c r="B29" s="117">
        <f ca="1">成本法!C10</f>
        <v>4608</v>
      </c>
      <c r="C29" s="2981" t="s">
        <v>2792</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3" customFormat="1" ht="27">
      <c r="A30" s="1866" t="s">
        <v>1666</v>
      </c>
      <c r="B30" s="680">
        <v>150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3" customFormat="1" ht="27">
      <c r="A31" s="1864" t="s">
        <v>1667</v>
      </c>
      <c r="B31" s="116">
        <f>B30-B32</f>
        <v>150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3" customFormat="1" ht="27.75" thickBot="1">
      <c r="A32" s="1867" t="s">
        <v>1668</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3" customFormat="1" ht="14.25">
      <c r="A33" s="1862" t="s">
        <v>1669</v>
      </c>
      <c r="B33" s="682">
        <v>0.03</v>
      </c>
      <c r="C33" s="2982" t="s">
        <v>2793</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3" customFormat="1" ht="14.25">
      <c r="A34" s="1864" t="s">
        <v>1670</v>
      </c>
      <c r="B34" s="118"/>
      <c r="C34" s="2982" t="s">
        <v>2794</v>
      </c>
      <c r="D34" s="2861" t="s">
        <v>2802</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3" customFormat="1" ht="14.25">
      <c r="A35" s="1864" t="s">
        <v>1671</v>
      </c>
      <c r="B35" s="115">
        <v>100</v>
      </c>
      <c r="C35" s="2982" t="s">
        <v>2795</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5" t="s">
        <v>1672</v>
      </c>
      <c r="B36" s="119">
        <v>1.4999999999999999E-2</v>
      </c>
      <c r="C36" s="2982" t="s">
        <v>2796</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6" t="s">
        <v>1673</v>
      </c>
      <c r="B37" s="120">
        <v>0.02</v>
      </c>
      <c r="C37" s="2982" t="s">
        <v>2797</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4" t="s">
        <v>1674</v>
      </c>
      <c r="B38" s="118">
        <v>0.01</v>
      </c>
      <c r="C38" s="2982" t="s">
        <v>2797</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7" t="s">
        <v>1675</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3484</v>
      </c>
      <c r="B40" s="1191">
        <f ca="1">IF(A40="利息：取LPR",存贷款利率!G1,存贷款利率!G1+C40)</f>
        <v>4.2000000000000003E-2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2" t="s">
        <v>1676</v>
      </c>
      <c r="B41" s="121">
        <f>B42+B43</f>
        <v>5.5000000000000007E-2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68" t="s">
        <v>1677</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68" t="s">
        <v>1678</v>
      </c>
      <c r="B43" s="123">
        <f>B42*(B44+B45+B46)+B47</f>
        <v>5.000000000000001E-3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69" t="s">
        <v>1679</v>
      </c>
      <c r="B44" s="124">
        <v>0.05</v>
      </c>
      <c r="C44" s="2982" t="s">
        <v>2806</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69" t="s">
        <v>1680</v>
      </c>
      <c r="B45" s="122">
        <v>0.03</v>
      </c>
      <c r="C45" s="2981" t="s">
        <v>2798</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69" t="s">
        <v>1681</v>
      </c>
      <c r="B46" s="122">
        <v>0.02</v>
      </c>
      <c r="C46" s="2981" t="s">
        <v>2799</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0" t="s">
        <v>1682</v>
      </c>
      <c r="B47" s="125"/>
      <c r="C47" s="2984" t="s">
        <v>2807</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1" t="s">
        <v>1683</v>
      </c>
      <c r="B48" s="126">
        <v>0.03</v>
      </c>
      <c r="C48" s="2981" t="s">
        <v>2798</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7" t="s">
        <v>1684</v>
      </c>
      <c r="B49" s="122">
        <v>5.0000000000000001E-4</v>
      </c>
      <c r="C49" s="2981" t="s">
        <v>2800</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2" t="s">
        <v>1685</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5" t="s">
        <v>1686</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2" t="s">
        <v>1687</v>
      </c>
      <c r="B52" s="129">
        <f>SUMIF(A54:A63,B53,B54:B63)</f>
        <v>1.5</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4" t="s">
        <v>1688</v>
      </c>
      <c r="B53" s="1873" t="s">
        <v>56</v>
      </c>
      <c r="C53" s="2836" t="s">
        <v>1689</v>
      </c>
      <c r="D53" s="2983" t="s">
        <v>2804</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4" t="s">
        <v>1690</v>
      </c>
      <c r="B54" s="80"/>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4" t="s">
        <v>1691</v>
      </c>
      <c r="B55" s="80"/>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4" t="s">
        <v>1692</v>
      </c>
      <c r="B56" s="80"/>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4" t="s">
        <v>1693</v>
      </c>
      <c r="B57" s="80"/>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4" t="s">
        <v>1694</v>
      </c>
      <c r="B58" s="80"/>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4" t="s">
        <v>1695</v>
      </c>
      <c r="B59" s="80">
        <v>1.5</v>
      </c>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4" t="s">
        <v>1696</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4" t="s">
        <v>1697</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4" t="s">
        <v>1698</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5" t="s">
        <v>1699</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6"/>
      <c r="D69" s="1877"/>
      <c r="K69" s="737"/>
      <c r="L69" s="737"/>
    </row>
    <row r="70" spans="1:44" s="882" customFormat="1">
      <c r="A70" s="1876"/>
      <c r="D70" s="1877"/>
      <c r="K70" s="737"/>
      <c r="L70" s="737"/>
    </row>
    <row r="71" spans="1:44" s="882" customFormat="1">
      <c r="A71" s="1876"/>
      <c r="D71" s="1877"/>
      <c r="K71" s="737"/>
      <c r="L71" s="737"/>
    </row>
    <row r="72" spans="1:44" s="882" customFormat="1">
      <c r="A72" s="1876"/>
      <c r="D72" s="1877"/>
      <c r="K72" s="737"/>
      <c r="L72" s="737"/>
    </row>
    <row r="73" spans="1:44" s="882" customFormat="1">
      <c r="A73" s="1876"/>
      <c r="D73" s="1877"/>
      <c r="K73" s="737"/>
      <c r="L73" s="737"/>
    </row>
    <row r="74" spans="1:44" s="882" customFormat="1">
      <c r="A74" s="1876"/>
      <c r="D74" s="1877"/>
      <c r="K74" s="737"/>
      <c r="L74" s="737"/>
    </row>
    <row r="75" spans="1:44" s="882" customFormat="1">
      <c r="A75" s="1876"/>
      <c r="D75" s="1877"/>
      <c r="K75" s="737"/>
      <c r="L75" s="737"/>
    </row>
    <row r="76" spans="1:44" s="882" customFormat="1">
      <c r="A76" s="1876"/>
      <c r="D76" s="1877"/>
      <c r="K76" s="737"/>
      <c r="L76" s="737"/>
    </row>
    <row r="77" spans="1:44" s="882" customFormat="1">
      <c r="A77" s="1876"/>
      <c r="D77" s="1877"/>
      <c r="K77" s="737"/>
      <c r="L77" s="737"/>
    </row>
    <row r="78" spans="1:44" s="882" customFormat="1">
      <c r="A78" s="1876"/>
      <c r="D78" s="1877"/>
      <c r="K78" s="737"/>
      <c r="L78" s="737"/>
    </row>
    <row r="79" spans="1:44" s="882" customFormat="1">
      <c r="A79" s="1876"/>
      <c r="D79" s="1877"/>
      <c r="K79" s="737"/>
      <c r="L79" s="737"/>
    </row>
    <row r="80" spans="1:44" s="882" customFormat="1">
      <c r="A80" s="1876"/>
      <c r="D80" s="1877"/>
      <c r="K80" s="737"/>
      <c r="L80" s="737"/>
    </row>
    <row r="81" spans="1:12" s="882" customFormat="1">
      <c r="A81" s="1876"/>
      <c r="D81" s="1877"/>
      <c r="K81" s="737"/>
      <c r="L81" s="737"/>
    </row>
    <row r="82" spans="1:12" s="882" customFormat="1">
      <c r="A82" s="1876"/>
      <c r="D82" s="1877"/>
      <c r="K82" s="737"/>
      <c r="L82" s="737"/>
    </row>
    <row r="83" spans="1:12" s="882" customFormat="1">
      <c r="A83" s="1876"/>
      <c r="D83" s="1877"/>
      <c r="K83" s="737"/>
      <c r="L83" s="737"/>
    </row>
    <row r="84" spans="1:12" s="882" customFormat="1">
      <c r="A84" s="1876"/>
      <c r="D84" s="1877"/>
      <c r="K84" s="737"/>
      <c r="L84" s="737"/>
    </row>
    <row r="85" spans="1:12" s="882" customFormat="1">
      <c r="A85" s="1876"/>
      <c r="D85" s="1877"/>
      <c r="K85" s="737"/>
      <c r="L85" s="737"/>
    </row>
    <row r="86" spans="1:12" s="882" customFormat="1">
      <c r="A86" s="1876"/>
      <c r="D86" s="1877"/>
      <c r="K86" s="737"/>
      <c r="L86" s="737"/>
    </row>
    <row r="87" spans="1:12" s="882" customFormat="1">
      <c r="A87" s="1876"/>
      <c r="D87" s="1877"/>
      <c r="K87" s="737"/>
      <c r="L87" s="737"/>
    </row>
    <row r="88" spans="1:12" s="882" customFormat="1">
      <c r="A88" s="1876"/>
      <c r="D88" s="1877"/>
      <c r="K88" s="737"/>
      <c r="L88" s="737"/>
    </row>
    <row r="89" spans="1:12" s="882" customFormat="1">
      <c r="A89" s="1876"/>
      <c r="D89" s="1877"/>
      <c r="K89" s="737"/>
      <c r="L89" s="737"/>
    </row>
    <row r="90" spans="1:12" s="882" customFormat="1">
      <c r="A90" s="1876"/>
      <c r="D90" s="1877"/>
      <c r="K90" s="737"/>
      <c r="L90" s="737"/>
    </row>
    <row r="91" spans="1:12" s="882" customFormat="1">
      <c r="A91" s="1876"/>
      <c r="D91" s="1877"/>
      <c r="K91" s="737"/>
      <c r="L91" s="737"/>
    </row>
    <row r="92" spans="1:12" s="882" customFormat="1">
      <c r="A92" s="1876"/>
      <c r="D92" s="1877"/>
      <c r="K92" s="737"/>
      <c r="L92" s="737"/>
    </row>
    <row r="93" spans="1:12" s="882" customFormat="1">
      <c r="A93" s="1876"/>
      <c r="D93" s="1877"/>
      <c r="K93" s="737"/>
      <c r="L93" s="737"/>
    </row>
    <row r="94" spans="1:12" s="882" customFormat="1">
      <c r="A94" s="1876"/>
      <c r="D94" s="1877"/>
      <c r="K94" s="737"/>
      <c r="L94" s="737"/>
    </row>
    <row r="95" spans="1:12" s="882" customFormat="1">
      <c r="A95" s="1876"/>
      <c r="D95" s="1877"/>
      <c r="K95" s="737"/>
      <c r="L95" s="737"/>
    </row>
    <row r="96" spans="1:12" s="882" customFormat="1">
      <c r="A96" s="1876"/>
      <c r="D96" s="1877"/>
      <c r="K96" s="737"/>
      <c r="L96" s="737"/>
    </row>
    <row r="97" spans="1:12" s="882" customFormat="1">
      <c r="A97" s="1876"/>
      <c r="D97" s="1877"/>
      <c r="K97" s="737"/>
      <c r="L97" s="737"/>
    </row>
    <row r="98" spans="1:12" s="882" customFormat="1">
      <c r="A98" s="1876"/>
      <c r="D98" s="1877"/>
      <c r="K98" s="737"/>
      <c r="L98" s="737"/>
    </row>
    <row r="99" spans="1:12" s="882" customFormat="1">
      <c r="A99" s="1876"/>
      <c r="D99" s="1877"/>
      <c r="K99" s="737"/>
      <c r="L99" s="737"/>
    </row>
    <row r="100" spans="1:12" s="882" customFormat="1">
      <c r="A100" s="1876"/>
      <c r="D100" s="1877"/>
      <c r="K100" s="737"/>
      <c r="L100" s="737"/>
    </row>
    <row r="101" spans="1:12" s="882" customFormat="1">
      <c r="A101" s="1876"/>
      <c r="D101" s="1877"/>
      <c r="K101" s="737"/>
      <c r="L101" s="737"/>
    </row>
    <row r="102" spans="1:12" s="882" customFormat="1">
      <c r="A102" s="1876"/>
      <c r="D102" s="1877"/>
      <c r="K102" s="737"/>
      <c r="L102" s="737"/>
    </row>
    <row r="103" spans="1:12" s="882" customFormat="1">
      <c r="A103" s="1876"/>
      <c r="D103" s="1877"/>
      <c r="K103" s="737"/>
      <c r="L103" s="737"/>
    </row>
    <row r="104" spans="1:12" s="882" customFormat="1">
      <c r="A104" s="1876"/>
      <c r="D104" s="1877"/>
      <c r="K104" s="737"/>
      <c r="L104" s="737"/>
    </row>
    <row r="105" spans="1:12" s="882" customFormat="1">
      <c r="A105" s="1876"/>
      <c r="D105" s="1877"/>
      <c r="K105" s="737"/>
      <c r="L105" s="737"/>
    </row>
    <row r="106" spans="1:12" s="882" customFormat="1">
      <c r="A106" s="1876"/>
      <c r="D106" s="1877"/>
      <c r="K106" s="737"/>
      <c r="L106" s="737"/>
    </row>
    <row r="107" spans="1:12" s="882" customFormat="1">
      <c r="A107" s="1876"/>
      <c r="D107" s="1877"/>
      <c r="K107" s="737"/>
      <c r="L107" s="737"/>
    </row>
    <row r="108" spans="1:12" s="882" customFormat="1">
      <c r="A108" s="1876"/>
      <c r="D108" s="1877"/>
      <c r="K108" s="737"/>
      <c r="L108" s="737"/>
    </row>
    <row r="109" spans="1:12" s="882" customFormat="1">
      <c r="A109" s="1876"/>
      <c r="D109" s="1877"/>
      <c r="K109" s="737"/>
      <c r="L109" s="737"/>
    </row>
    <row r="110" spans="1:12" s="882" customFormat="1">
      <c r="A110" s="1876"/>
      <c r="D110" s="1877"/>
      <c r="K110" s="737"/>
      <c r="L110" s="737"/>
    </row>
    <row r="111" spans="1:12" s="882" customFormat="1">
      <c r="A111" s="1876"/>
      <c r="D111" s="1877"/>
      <c r="K111" s="737"/>
      <c r="L111" s="737"/>
    </row>
    <row r="112" spans="1:12" s="882" customFormat="1">
      <c r="A112" s="1876"/>
      <c r="D112" s="1877"/>
      <c r="K112" s="737"/>
      <c r="L112" s="737"/>
    </row>
    <row r="113" spans="1:12" s="882" customFormat="1">
      <c r="A113" s="1876"/>
      <c r="D113" s="1877"/>
      <c r="K113" s="737"/>
      <c r="L113" s="737"/>
    </row>
    <row r="114" spans="1:12" s="882" customFormat="1">
      <c r="A114" s="1876"/>
      <c r="D114" s="1877"/>
      <c r="K114" s="737"/>
      <c r="L114" s="737"/>
    </row>
    <row r="115" spans="1:12" s="882" customFormat="1">
      <c r="A115" s="1876"/>
      <c r="D115" s="1877"/>
      <c r="K115" s="737"/>
      <c r="L115" s="737"/>
    </row>
    <row r="116" spans="1:12" s="882" customFormat="1">
      <c r="A116" s="1876"/>
      <c r="D116" s="1877"/>
      <c r="K116" s="737"/>
      <c r="L116" s="737"/>
    </row>
    <row r="117" spans="1:12" s="882" customFormat="1">
      <c r="A117" s="1876"/>
      <c r="D117" s="1877"/>
      <c r="K117" s="737"/>
      <c r="L117" s="737"/>
    </row>
    <row r="118" spans="1:12" s="882" customFormat="1">
      <c r="A118" s="1876"/>
      <c r="D118" s="1877"/>
      <c r="K118" s="737"/>
      <c r="L118" s="737"/>
    </row>
    <row r="119" spans="1:12" s="882" customFormat="1">
      <c r="A119" s="1876"/>
      <c r="D119" s="1877"/>
      <c r="K119" s="737"/>
      <c r="L119" s="737"/>
    </row>
    <row r="120" spans="1:12" s="882" customFormat="1">
      <c r="A120" s="1876"/>
      <c r="D120" s="1877"/>
      <c r="K120" s="737"/>
      <c r="L120" s="737"/>
    </row>
    <row r="121" spans="1:12" s="882" customFormat="1">
      <c r="A121" s="1876"/>
      <c r="D121" s="1877"/>
      <c r="K121" s="737"/>
      <c r="L121" s="737"/>
    </row>
    <row r="122" spans="1:12" s="882" customFormat="1">
      <c r="A122" s="1876"/>
      <c r="D122" s="1877"/>
      <c r="K122" s="737"/>
      <c r="L122" s="737"/>
    </row>
    <row r="123" spans="1:12" s="882" customFormat="1">
      <c r="A123" s="1876"/>
      <c r="D123" s="1877"/>
      <c r="K123" s="737"/>
      <c r="L123" s="737"/>
    </row>
    <row r="124" spans="1:12" s="882" customFormat="1">
      <c r="A124" s="1876"/>
      <c r="D124" s="1877"/>
      <c r="K124" s="737"/>
      <c r="L124" s="737"/>
    </row>
    <row r="125" spans="1:12" s="882" customFormat="1">
      <c r="A125" s="1876"/>
      <c r="D125" s="1877"/>
      <c r="K125" s="737"/>
      <c r="L125" s="737"/>
    </row>
    <row r="126" spans="1:12" s="882" customFormat="1">
      <c r="A126" s="1876"/>
      <c r="D126" s="1877"/>
      <c r="K126" s="737"/>
      <c r="L126" s="737"/>
    </row>
    <row r="127" spans="1:12" s="882" customFormat="1">
      <c r="A127" s="1876"/>
      <c r="D127" s="1877"/>
      <c r="K127" s="737"/>
      <c r="L127" s="737"/>
    </row>
    <row r="128" spans="1:12" s="882" customFormat="1">
      <c r="A128" s="1876"/>
      <c r="D128" s="1877"/>
      <c r="K128" s="737"/>
      <c r="L128" s="737"/>
    </row>
    <row r="129" spans="1:12" s="882" customFormat="1">
      <c r="A129" s="1876"/>
      <c r="D129" s="1877"/>
      <c r="K129" s="737"/>
      <c r="L129" s="737"/>
    </row>
    <row r="130" spans="1:12" s="882" customFormat="1">
      <c r="A130" s="1876"/>
      <c r="D130" s="1877"/>
      <c r="K130" s="737"/>
      <c r="L130" s="737"/>
    </row>
    <row r="131" spans="1:12" s="882" customFormat="1">
      <c r="A131" s="1876"/>
      <c r="D131" s="1877"/>
      <c r="K131" s="737"/>
      <c r="L131" s="737"/>
    </row>
    <row r="132" spans="1:12" s="882" customFormat="1">
      <c r="A132" s="1876"/>
      <c r="D132" s="1877"/>
      <c r="K132" s="737"/>
      <c r="L132" s="737"/>
    </row>
    <row r="133" spans="1:12" s="882" customFormat="1">
      <c r="A133" s="1876"/>
      <c r="D133" s="1877"/>
      <c r="K133" s="737"/>
      <c r="L133" s="737"/>
    </row>
    <row r="134" spans="1:12" s="1816" customFormat="1">
      <c r="A134" s="1878"/>
      <c r="D134" s="1879"/>
      <c r="K134" s="27"/>
      <c r="L134" s="27"/>
    </row>
    <row r="135" spans="1:12" s="1816" customFormat="1">
      <c r="A135" s="1878"/>
      <c r="D135" s="1879"/>
      <c r="K135" s="27"/>
      <c r="L135" s="27"/>
    </row>
    <row r="136" spans="1:12" s="1816" customFormat="1">
      <c r="A136" s="1878"/>
      <c r="D136" s="1879"/>
      <c r="K136" s="27"/>
      <c r="L136" s="27"/>
    </row>
    <row r="137" spans="1:12" s="1816" customFormat="1">
      <c r="A137" s="1878"/>
      <c r="D137" s="1879"/>
      <c r="K137" s="27"/>
      <c r="L137" s="27"/>
    </row>
    <row r="138" spans="1:12" s="1816" customFormat="1">
      <c r="A138" s="1878"/>
      <c r="D138" s="1879"/>
      <c r="K138" s="27"/>
      <c r="L138" s="27"/>
    </row>
    <row r="139" spans="1:12" s="1816" customFormat="1">
      <c r="A139" s="1878"/>
      <c r="D139" s="1879"/>
      <c r="K139" s="27"/>
      <c r="L139" s="27"/>
    </row>
    <row r="140" spans="1:12" s="1816" customFormat="1">
      <c r="A140" s="1878"/>
      <c r="D140" s="1879"/>
      <c r="K140" s="27"/>
      <c r="L140" s="27"/>
    </row>
    <row r="141" spans="1:12" s="1816" customFormat="1">
      <c r="A141" s="1878"/>
      <c r="D141" s="1879"/>
      <c r="K141" s="27"/>
      <c r="L141" s="27"/>
    </row>
    <row r="142" spans="1:12" s="1816" customFormat="1">
      <c r="A142" s="1878"/>
      <c r="D142" s="1879"/>
      <c r="K142" s="27"/>
      <c r="L142" s="27"/>
    </row>
    <row r="143" spans="1:12" s="1816" customFormat="1">
      <c r="A143" s="1878"/>
      <c r="D143" s="1879"/>
      <c r="K143" s="27"/>
      <c r="L143" s="27"/>
    </row>
    <row r="144" spans="1:12" s="1816" customFormat="1">
      <c r="A144" s="1878"/>
      <c r="D144" s="1879"/>
      <c r="K144" s="27"/>
      <c r="L144" s="27"/>
    </row>
    <row r="145" spans="1:12" s="1816" customFormat="1">
      <c r="A145" s="1878"/>
      <c r="D145" s="1879"/>
      <c r="K145" s="27"/>
      <c r="L145" s="27"/>
    </row>
    <row r="146" spans="1:12" s="1816" customFormat="1">
      <c r="A146" s="1878"/>
      <c r="D146" s="1879"/>
      <c r="K146" s="27"/>
      <c r="L146" s="27"/>
    </row>
    <row r="147" spans="1:12" s="1816" customFormat="1">
      <c r="A147" s="1878"/>
      <c r="D147" s="1879"/>
      <c r="K147" s="27"/>
      <c r="L147" s="27"/>
    </row>
    <row r="148" spans="1:12" s="1816" customFormat="1">
      <c r="A148" s="1878"/>
      <c r="D148" s="1879"/>
      <c r="K148" s="27"/>
      <c r="L148" s="27"/>
    </row>
    <row r="149" spans="1:12" s="1816" customFormat="1">
      <c r="A149" s="1878"/>
      <c r="D149" s="1879"/>
      <c r="K149" s="27"/>
      <c r="L149" s="27"/>
    </row>
    <row r="150" spans="1:12" s="1816" customFormat="1">
      <c r="A150" s="1878"/>
      <c r="D150" s="1879"/>
      <c r="K150" s="27"/>
      <c r="L150" s="27"/>
    </row>
    <row r="151" spans="1:12" s="1816" customFormat="1">
      <c r="A151" s="1878"/>
      <c r="D151" s="1879"/>
      <c r="K151" s="27"/>
      <c r="L151" s="27"/>
    </row>
    <row r="152" spans="1:12" s="1816" customFormat="1">
      <c r="A152" s="1878"/>
      <c r="D152" s="1879"/>
      <c r="K152" s="27"/>
      <c r="L152" s="27"/>
    </row>
    <row r="153" spans="1:12" s="1816" customFormat="1">
      <c r="A153" s="1878"/>
      <c r="D153" s="1879"/>
      <c r="K153" s="27"/>
      <c r="L153" s="27"/>
    </row>
    <row r="154" spans="1:12" s="1816" customFormat="1">
      <c r="A154" s="1878"/>
      <c r="D154" s="1879"/>
      <c r="K154" s="27"/>
      <c r="L154" s="27"/>
    </row>
    <row r="155" spans="1:12" s="1816" customFormat="1">
      <c r="A155" s="1878"/>
      <c r="D155" s="1879"/>
      <c r="K155" s="27"/>
      <c r="L155" s="27"/>
    </row>
    <row r="156" spans="1:12" s="1816" customFormat="1">
      <c r="A156" s="1878"/>
      <c r="D156" s="1879"/>
      <c r="K156" s="27"/>
      <c r="L156" s="27"/>
    </row>
    <row r="157" spans="1:12" s="1816" customFormat="1">
      <c r="A157" s="1878"/>
      <c r="D157" s="1879"/>
      <c r="K157" s="27"/>
      <c r="L157" s="27"/>
    </row>
    <row r="158" spans="1:12" s="1816" customFormat="1">
      <c r="A158" s="1878"/>
      <c r="D158" s="1879"/>
      <c r="K158" s="27"/>
      <c r="L158" s="27"/>
    </row>
    <row r="159" spans="1:12" s="1816" customFormat="1">
      <c r="A159" s="1878"/>
      <c r="D159" s="1879"/>
      <c r="K159" s="27"/>
      <c r="L159" s="27"/>
    </row>
    <row r="160" spans="1:12" s="1816" customFormat="1">
      <c r="A160" s="1878"/>
      <c r="D160" s="1879"/>
      <c r="K160" s="27"/>
      <c r="L160" s="27"/>
    </row>
    <row r="161" spans="1:12" s="1816" customFormat="1">
      <c r="A161" s="1878"/>
      <c r="D161" s="1879"/>
      <c r="K161" s="27"/>
      <c r="L161" s="27"/>
    </row>
    <row r="162" spans="1:12" s="1816" customFormat="1">
      <c r="A162" s="1878"/>
      <c r="D162" s="1879"/>
      <c r="K162" s="27"/>
      <c r="L162" s="27"/>
    </row>
    <row r="163" spans="1:12" s="1816" customFormat="1">
      <c r="A163" s="1878"/>
      <c r="D163" s="1879"/>
      <c r="K163" s="27"/>
      <c r="L163" s="27"/>
    </row>
    <row r="164" spans="1:12" s="1816" customFormat="1">
      <c r="A164" s="1878"/>
      <c r="D164" s="1879"/>
      <c r="K164" s="27"/>
      <c r="L164" s="27"/>
    </row>
    <row r="165" spans="1:12" s="1816" customFormat="1">
      <c r="A165" s="1878"/>
      <c r="D165" s="1879"/>
      <c r="K165" s="27"/>
      <c r="L165" s="27"/>
    </row>
    <row r="166" spans="1:12" s="1816" customFormat="1">
      <c r="A166" s="1878"/>
      <c r="D166" s="1879"/>
      <c r="K166" s="27"/>
      <c r="L166" s="27"/>
    </row>
    <row r="167" spans="1:12" s="1816" customFormat="1">
      <c r="A167" s="1878"/>
      <c r="D167" s="1879"/>
      <c r="K167" s="27"/>
      <c r="L167" s="27"/>
    </row>
    <row r="168" spans="1:12" s="1816" customFormat="1">
      <c r="A168" s="1878"/>
      <c r="D168" s="1879"/>
      <c r="K168" s="27"/>
      <c r="L168" s="27"/>
    </row>
    <row r="169" spans="1:12" s="1816" customFormat="1">
      <c r="A169" s="1878"/>
      <c r="D169" s="1879"/>
      <c r="K169" s="27"/>
      <c r="L169" s="27"/>
    </row>
    <row r="170" spans="1:12" s="1816" customFormat="1">
      <c r="A170" s="1878"/>
      <c r="D170" s="1879"/>
      <c r="K170" s="27"/>
      <c r="L170" s="27"/>
    </row>
    <row r="171" spans="1:12" s="1816" customFormat="1">
      <c r="A171" s="1878"/>
      <c r="D171" s="1879"/>
      <c r="K171" s="27"/>
      <c r="L171" s="27"/>
    </row>
    <row r="172" spans="1:12" s="1816" customFormat="1">
      <c r="A172" s="1878"/>
      <c r="D172" s="1879"/>
      <c r="K172" s="27"/>
      <c r="L172" s="27"/>
    </row>
    <row r="173" spans="1:12" s="1816" customFormat="1">
      <c r="A173" s="1878"/>
      <c r="D173" s="1879"/>
      <c r="K173" s="27"/>
      <c r="L173" s="27"/>
    </row>
    <row r="174" spans="1:12" s="1816" customFormat="1">
      <c r="A174" s="1878"/>
      <c r="D174" s="187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R71"/>
  <sheetViews>
    <sheetView topLeftCell="L29" zoomScaleNormal="100" workbookViewId="0">
      <selection activeCell="P32" sqref="P32:P67"/>
    </sheetView>
  </sheetViews>
  <sheetFormatPr defaultColWidth="9" defaultRowHeight="12"/>
  <cols>
    <col min="1" max="1" width="31.125" style="3262" bestFit="1" customWidth="1"/>
    <col min="2" max="2" width="14.75" style="3262" customWidth="1"/>
    <col min="3" max="3" width="9" style="3262"/>
    <col min="4" max="4" width="11.25" style="3262" bestFit="1" customWidth="1"/>
    <col min="5" max="7" width="9" style="3262"/>
    <col min="8" max="8" width="12.375" style="3262" customWidth="1"/>
    <col min="9" max="9" width="9.375" style="3262" bestFit="1" customWidth="1"/>
    <col min="10" max="10" width="11.375" style="3262" bestFit="1" customWidth="1"/>
    <col min="11" max="11" width="9" style="3262"/>
    <col min="12" max="12" width="15.375" style="3262" customWidth="1"/>
    <col min="13" max="13" width="9" style="3262"/>
    <col min="14" max="14" width="31.125" style="3262" bestFit="1" customWidth="1"/>
    <col min="15" max="16" width="9" style="3262"/>
    <col min="17" max="17" width="10.625" style="3262" customWidth="1"/>
    <col min="18" max="18" width="9" style="3274"/>
    <col min="19" max="22" width="9" style="3262"/>
    <col min="23" max="24" width="9" style="3262" customWidth="1"/>
    <col min="25" max="25" width="11.5" style="3262" customWidth="1"/>
    <col min="26" max="26" width="9.5" style="3262" customWidth="1"/>
    <col min="27" max="35" width="9" style="3262" customWidth="1"/>
    <col min="36" max="37" width="9" style="3283" customWidth="1"/>
    <col min="38" max="39" width="9" style="3262" customWidth="1"/>
    <col min="40" max="40" width="9.5" style="3262" customWidth="1"/>
    <col min="41" max="44" width="9" style="3262" customWidth="1"/>
    <col min="45" max="45" width="6.75" style="3262" customWidth="1"/>
    <col min="46" max="16384" width="9" style="3262"/>
  </cols>
  <sheetData>
    <row r="1" spans="1:44">
      <c r="AP1" s="3262" t="s">
        <v>3670</v>
      </c>
      <c r="AQ1" s="3262" t="s">
        <v>3671</v>
      </c>
      <c r="AR1" s="3262" t="s">
        <v>3672</v>
      </c>
    </row>
    <row r="2" spans="1:44">
      <c r="A2" s="3262" t="s">
        <v>3645</v>
      </c>
      <c r="N2" s="3262" t="s">
        <v>3646</v>
      </c>
      <c r="Y2" s="3240"/>
      <c r="Z2" s="3240" t="s">
        <v>3650</v>
      </c>
      <c r="AA2" s="3240" t="s">
        <v>3651</v>
      </c>
      <c r="AB2" s="3240" t="s">
        <v>3652</v>
      </c>
      <c r="AC2" s="3240" t="s">
        <v>3653</v>
      </c>
      <c r="AD2" s="3240" t="s">
        <v>3654</v>
      </c>
      <c r="AE2" s="3240" t="s">
        <v>3655</v>
      </c>
      <c r="AF2" s="3240"/>
      <c r="AG2" s="3240"/>
      <c r="AH2" s="3240"/>
      <c r="AI2" s="3240"/>
      <c r="AN2" s="3262">
        <f>AP2+AQ2+AR2</f>
        <v>235999.26</v>
      </c>
      <c r="AP2" s="3262">
        <f>'数据-汇总表'!F19</f>
        <v>175962.71000000002</v>
      </c>
      <c r="AQ2" s="3262">
        <f>'数据-汇总表'!G20</f>
        <v>29778.85</v>
      </c>
      <c r="AR2" s="3262">
        <f>'数据-汇总表'!G21</f>
        <v>30257.699999999997</v>
      </c>
    </row>
    <row r="3" spans="1:44" ht="15" customHeight="1">
      <c r="A3" s="3384" t="s">
        <v>3511</v>
      </c>
      <c r="B3" s="3384" t="s">
        <v>3532</v>
      </c>
      <c r="C3" s="3382" t="s">
        <v>3172</v>
      </c>
      <c r="D3" s="3382" t="s">
        <v>3559</v>
      </c>
      <c r="E3" s="3382" t="s">
        <v>3560</v>
      </c>
      <c r="F3" s="3382"/>
      <c r="G3" s="3382"/>
      <c r="H3" s="3382"/>
      <c r="N3" s="3384" t="s">
        <v>3511</v>
      </c>
      <c r="O3" s="3384" t="s">
        <v>3532</v>
      </c>
      <c r="P3" s="3382" t="s">
        <v>3172</v>
      </c>
      <c r="Q3" s="3382" t="s">
        <v>3559</v>
      </c>
      <c r="R3" s="3382" t="s">
        <v>3560</v>
      </c>
      <c r="S3" s="3382"/>
      <c r="T3" s="3382"/>
      <c r="U3" s="3382"/>
      <c r="V3" s="3272"/>
      <c r="W3" s="3272"/>
      <c r="Y3" s="3270" t="s">
        <v>3656</v>
      </c>
      <c r="Z3" s="3240">
        <f>K20</f>
        <v>175962.71000000002</v>
      </c>
      <c r="AA3" s="3240">
        <f>K21</f>
        <v>29778.85</v>
      </c>
      <c r="AB3" s="3240">
        <f>K22</f>
        <v>30257.699999999997</v>
      </c>
      <c r="AC3" s="3240">
        <f>K23+K24</f>
        <v>6531.98</v>
      </c>
      <c r="AD3" s="3240">
        <f>SUM(Z3:AC3)</f>
        <v>242531.24000000002</v>
      </c>
      <c r="AE3" s="3240">
        <f>Z3+AA3+AB3</f>
        <v>235999.26</v>
      </c>
      <c r="AF3" s="3240"/>
      <c r="AG3" s="3240" t="s">
        <v>3657</v>
      </c>
      <c r="AH3" s="3240" t="s">
        <v>3658</v>
      </c>
      <c r="AI3" s="3240" t="s">
        <v>3659</v>
      </c>
      <c r="AJ3" s="3283" t="s">
        <v>3673</v>
      </c>
      <c r="AK3" s="3283" t="s">
        <v>3668</v>
      </c>
      <c r="AL3" s="3262" t="s">
        <v>3667</v>
      </c>
      <c r="AM3" s="3262" t="s">
        <v>3668</v>
      </c>
      <c r="AN3" s="3262" t="s">
        <v>3669</v>
      </c>
      <c r="AO3" s="3262" t="s">
        <v>3668</v>
      </c>
      <c r="AP3" s="3262">
        <f ca="1">AP4*10000/AP2</f>
        <v>3664.9242330946136</v>
      </c>
      <c r="AQ3" s="3262">
        <f ca="1">AQ4*10000/AQ2</f>
        <v>1930.9006224216182</v>
      </c>
      <c r="AR3" s="3262">
        <f ca="1">AR4*10000/AR2</f>
        <v>1100.215812834419</v>
      </c>
    </row>
    <row r="4" spans="1:44" ht="14.25">
      <c r="A4" s="3384"/>
      <c r="B4" s="3384"/>
      <c r="C4" s="3382"/>
      <c r="D4" s="3382"/>
      <c r="E4" s="3254" t="s">
        <v>3173</v>
      </c>
      <c r="F4" s="3254"/>
      <c r="G4" s="3254" t="s">
        <v>3174</v>
      </c>
      <c r="H4" s="3254"/>
      <c r="N4" s="3384"/>
      <c r="O4" s="3384"/>
      <c r="P4" s="3382"/>
      <c r="Q4" s="3382"/>
      <c r="R4" s="3279" t="s">
        <v>3173</v>
      </c>
      <c r="S4" s="3254"/>
      <c r="T4" s="3254" t="s">
        <v>3174</v>
      </c>
      <c r="U4" s="3254"/>
      <c r="V4" s="3272" t="s">
        <v>3664</v>
      </c>
      <c r="W4" s="3272"/>
      <c r="Y4" s="3240" t="s">
        <v>3660</v>
      </c>
      <c r="Z4" s="3240">
        <f>'土地比较法-工业'!F51</f>
        <v>31708</v>
      </c>
      <c r="AA4" s="3240">
        <f>'土地比较法-工业'!F57</f>
        <v>268</v>
      </c>
      <c r="AB4" s="3240">
        <f>'土地比较法-工业'!F58</f>
        <v>136</v>
      </c>
      <c r="AC4" s="3240"/>
      <c r="AD4" s="3240">
        <f>SUM(Z4:AC4)</f>
        <v>32112</v>
      </c>
      <c r="AE4" s="3240"/>
      <c r="AF4" s="3240"/>
      <c r="AG4" s="3240">
        <f ca="1">结果表!H118</f>
        <v>167234</v>
      </c>
      <c r="AH4" s="3240">
        <f ca="1">结果表!F118</f>
        <v>116228</v>
      </c>
      <c r="AI4" s="3240">
        <f ca="1">结果表!D118</f>
        <v>51006</v>
      </c>
      <c r="AJ4" s="3283">
        <f ca="1">AL4+AN4</f>
        <v>167234</v>
      </c>
      <c r="AL4" s="3262">
        <f ca="1">ROUND(AM4*Q68/10000,0)</f>
        <v>93666</v>
      </c>
      <c r="AM4" s="3283">
        <f ca="1">成本法!J33</f>
        <v>3862</v>
      </c>
      <c r="AN4" s="3262">
        <f ca="1">系统读取表!D14-AL4</f>
        <v>73568</v>
      </c>
      <c r="AO4" s="3278">
        <f ca="1">系统读取表!E14-面积表!AM4</f>
        <v>3033</v>
      </c>
      <c r="AP4" s="3262">
        <f ca="1">ROUND(AN4*'收益法（汇总）'!J6,0)</f>
        <v>64489</v>
      </c>
      <c r="AQ4" s="3262">
        <f ca="1">ROUND(AN4*'收益法（汇总）'!J7,0)</f>
        <v>5750</v>
      </c>
      <c r="AR4" s="3262">
        <f ca="1">AN4-AP4-AQ4</f>
        <v>3329</v>
      </c>
    </row>
    <row r="5" spans="1:44" ht="14.25">
      <c r="A5" s="3263" t="s">
        <v>3572</v>
      </c>
      <c r="B5" s="3254" t="s">
        <v>3579</v>
      </c>
      <c r="C5" s="3254" t="s">
        <v>3183</v>
      </c>
      <c r="D5" s="3255">
        <v>9433.5300000000007</v>
      </c>
      <c r="E5" s="3255">
        <v>9433.5300000000007</v>
      </c>
      <c r="F5" s="3254" t="s">
        <v>3175</v>
      </c>
      <c r="G5" s="3255" t="s">
        <v>70</v>
      </c>
      <c r="H5" s="3255" t="s">
        <v>70</v>
      </c>
      <c r="N5" s="3263" t="s">
        <v>3572</v>
      </c>
      <c r="O5" s="3254" t="s">
        <v>3579</v>
      </c>
      <c r="P5" s="3254" t="s">
        <v>3183</v>
      </c>
      <c r="Q5" s="3255">
        <v>9433.5300000000007</v>
      </c>
      <c r="R5" s="3280">
        <v>9433.5300000000007</v>
      </c>
      <c r="S5" s="3254" t="s">
        <v>3175</v>
      </c>
      <c r="T5" s="3255" t="s">
        <v>70</v>
      </c>
      <c r="U5" s="3255" t="s">
        <v>70</v>
      </c>
      <c r="V5" s="3273">
        <f ca="1">ROUND(R5*$Z$7/10000,0)+ROUND(R5*$Z$9/10000,0)</f>
        <v>7221</v>
      </c>
      <c r="W5" s="3273">
        <v>6886</v>
      </c>
      <c r="Y5" s="3240"/>
      <c r="Z5" s="3240"/>
      <c r="AA5" s="3240"/>
      <c r="AB5" s="3240"/>
      <c r="AC5" s="3240"/>
      <c r="AD5" s="3240"/>
      <c r="AE5" s="3240"/>
      <c r="AF5" s="3240"/>
      <c r="AG5" s="3240"/>
      <c r="AH5" s="3240"/>
      <c r="AI5" s="3240"/>
      <c r="AJ5" s="3283">
        <f ca="1">AL5+AN5</f>
        <v>7100.3</v>
      </c>
      <c r="AK5" s="3284">
        <f ca="1">AM5+AO5</f>
        <v>7526.9059259895284</v>
      </c>
      <c r="AL5" s="3262">
        <f ca="1">ROUND(AM5*Q5/10000,0)</f>
        <v>3643</v>
      </c>
      <c r="AM5" s="3262">
        <f ca="1">AM4</f>
        <v>3862</v>
      </c>
      <c r="AN5" s="3262">
        <f ca="1">AP5+AQ5+AR5</f>
        <v>3457.3</v>
      </c>
      <c r="AO5" s="3278">
        <f ca="1">AN5*10000/Q5</f>
        <v>3664.9059259895284</v>
      </c>
      <c r="AP5" s="3262">
        <f ca="1">ROUND($AP$4*R5/$AP$2,1)</f>
        <v>3457.3</v>
      </c>
    </row>
    <row r="6" spans="1:44" ht="14.25">
      <c r="A6" s="3263" t="s">
        <v>3573</v>
      </c>
      <c r="B6" s="3254" t="s">
        <v>3580</v>
      </c>
      <c r="C6" s="3254" t="s">
        <v>3184</v>
      </c>
      <c r="D6" s="3255">
        <v>8269.76</v>
      </c>
      <c r="E6" s="3255">
        <v>8269.76</v>
      </c>
      <c r="F6" s="3254" t="s">
        <v>3176</v>
      </c>
      <c r="G6" s="3255" t="s">
        <v>70</v>
      </c>
      <c r="H6" s="3255" t="s">
        <v>70</v>
      </c>
      <c r="J6" s="3262" t="s">
        <v>3647</v>
      </c>
      <c r="L6" s="3262" t="s">
        <v>3642</v>
      </c>
      <c r="N6" s="3263" t="s">
        <v>3573</v>
      </c>
      <c r="O6" s="3254" t="s">
        <v>3580</v>
      </c>
      <c r="P6" s="3254" t="s">
        <v>3184</v>
      </c>
      <c r="Q6" s="3255">
        <v>8269.76</v>
      </c>
      <c r="R6" s="3280">
        <v>8269.76</v>
      </c>
      <c r="S6" s="3254" t="s">
        <v>3176</v>
      </c>
      <c r="T6" s="3255" t="s">
        <v>70</v>
      </c>
      <c r="U6" s="3255" t="s">
        <v>70</v>
      </c>
      <c r="V6" s="3273">
        <f ca="1">ROUND(R6*$Z$7/10000,0)+ROUND(R6*$Z$9/10000,0)</f>
        <v>6330</v>
      </c>
      <c r="W6" s="3273">
        <v>6036</v>
      </c>
      <c r="Y6" s="3240" t="s">
        <v>3661</v>
      </c>
      <c r="Z6" s="3240">
        <f ca="1">ROUND(Z4/$AD$4*$AI$4,0)</f>
        <v>50364</v>
      </c>
      <c r="AA6" s="3240">
        <f ca="1">ROUND(AA4/$AD$4*$AI$4,0)</f>
        <v>426</v>
      </c>
      <c r="AB6" s="3240">
        <f ca="1">ROUND(AB4/$AD$4*$AI$4,0)</f>
        <v>216</v>
      </c>
      <c r="AC6" s="3240"/>
      <c r="AD6" s="3240"/>
      <c r="AE6" s="3240"/>
      <c r="AF6" s="3240"/>
      <c r="AG6" s="3240"/>
      <c r="AH6" s="3240"/>
      <c r="AI6" s="3240"/>
      <c r="AJ6" s="3283">
        <f t="shared" ref="AJ6:AJ67" ca="1" si="0">AL6+AN6</f>
        <v>6224.8</v>
      </c>
      <c r="AK6" s="3284">
        <f t="shared" ref="AK6:AK67" ca="1" si="1">AM6+AO6</f>
        <v>7526.9189335603451</v>
      </c>
      <c r="AL6" s="3262">
        <f t="shared" ref="AL6:AL67" ca="1" si="2">ROUND(AM6*Q6/10000,0)</f>
        <v>3194</v>
      </c>
      <c r="AM6" s="3262">
        <f t="shared" ref="AM6:AM67" ca="1" si="3">AM5</f>
        <v>3862</v>
      </c>
      <c r="AN6" s="3262">
        <f ca="1">AP6+AQ6+AR6</f>
        <v>3030.8</v>
      </c>
      <c r="AO6" s="3278">
        <f t="shared" ref="AO6:AO7" ca="1" si="4">AN6*10000/Q6</f>
        <v>3664.9189335603451</v>
      </c>
      <c r="AP6" s="3262">
        <f ca="1">ROUND($AP$4*R6/$AP$2,1)</f>
        <v>3030.8</v>
      </c>
    </row>
    <row r="7" spans="1:44" ht="14.25">
      <c r="A7" s="3386" t="s">
        <v>3577</v>
      </c>
      <c r="B7" s="3382" t="s">
        <v>3581</v>
      </c>
      <c r="C7" s="3382" t="s">
        <v>3185</v>
      </c>
      <c r="D7" s="3383">
        <v>10595.77</v>
      </c>
      <c r="E7" s="3383" t="s">
        <v>70</v>
      </c>
      <c r="F7" s="3383" t="s">
        <v>70</v>
      </c>
      <c r="G7" s="3255">
        <v>5325.27</v>
      </c>
      <c r="H7" s="3254" t="s">
        <v>3177</v>
      </c>
      <c r="J7" s="3262" t="s">
        <v>3643</v>
      </c>
      <c r="K7" s="3262">
        <v>119876.49</v>
      </c>
      <c r="L7" s="3269">
        <v>59926</v>
      </c>
      <c r="N7" s="3386" t="s">
        <v>3577</v>
      </c>
      <c r="O7" s="3382" t="s">
        <v>3581</v>
      </c>
      <c r="P7" s="3382" t="s">
        <v>3185</v>
      </c>
      <c r="Q7" s="3383">
        <v>10595.77</v>
      </c>
      <c r="R7" s="3388" t="s">
        <v>70</v>
      </c>
      <c r="S7" s="3383" t="s">
        <v>70</v>
      </c>
      <c r="T7" s="3255">
        <v>5325.27</v>
      </c>
      <c r="U7" s="3254" t="s">
        <v>3177</v>
      </c>
      <c r="V7" s="3273">
        <f ca="1">ROUND(T7*$AB$7/10000,0)+ROUND(T7*$Z$9/10000,0)</f>
        <v>2590</v>
      </c>
      <c r="W7" s="3273">
        <v>2768</v>
      </c>
      <c r="Y7" s="3271" t="s">
        <v>3662</v>
      </c>
      <c r="Z7" s="3240">
        <f ca="1">ROUND(Z6/Z3*10000,0)</f>
        <v>2862</v>
      </c>
      <c r="AA7" s="3240">
        <f ca="1">ROUND(AA6/AA3*10000,0)</f>
        <v>143</v>
      </c>
      <c r="AB7" s="3240">
        <f ca="1">ROUND(AB6/AB3*10000,0)</f>
        <v>71</v>
      </c>
      <c r="AC7" s="3240"/>
      <c r="AD7" s="3240"/>
      <c r="AE7" s="3240"/>
      <c r="AF7" s="3240"/>
      <c r="AG7" s="3240"/>
      <c r="AH7" s="3240"/>
      <c r="AI7" s="3240"/>
      <c r="AJ7" s="3283">
        <f t="shared" ca="1" si="0"/>
        <v>5077.1000000000004</v>
      </c>
      <c r="AK7" s="3284">
        <f t="shared" ca="1" si="1"/>
        <v>4791.7106298079325</v>
      </c>
      <c r="AL7" s="3262">
        <f t="shared" ca="1" si="2"/>
        <v>4092</v>
      </c>
      <c r="AM7" s="3262">
        <f t="shared" ca="1" si="3"/>
        <v>3862</v>
      </c>
      <c r="AN7" s="3262">
        <f ca="1">SUM(AP7:AR10)</f>
        <v>985.1</v>
      </c>
      <c r="AO7" s="3278">
        <f t="shared" ca="1" si="4"/>
        <v>929.71062980793272</v>
      </c>
      <c r="AR7" s="3262">
        <f ca="1">ROUND($AR$4*T7/$AR$2,1)</f>
        <v>585.9</v>
      </c>
    </row>
    <row r="8" spans="1:44" ht="14.25">
      <c r="A8" s="3386"/>
      <c r="B8" s="3382"/>
      <c r="C8" s="3382"/>
      <c r="D8" s="3383"/>
      <c r="E8" s="3383"/>
      <c r="F8" s="3383"/>
      <c r="G8" s="3255">
        <v>1393.64</v>
      </c>
      <c r="H8" s="3254" t="s">
        <v>3178</v>
      </c>
      <c r="J8" s="3262" t="s">
        <v>3644</v>
      </c>
      <c r="K8" s="3262">
        <f>D71</f>
        <v>246132.41999999998</v>
      </c>
      <c r="N8" s="3386"/>
      <c r="O8" s="3382"/>
      <c r="P8" s="3382"/>
      <c r="Q8" s="3383"/>
      <c r="R8" s="3388"/>
      <c r="S8" s="3383"/>
      <c r="T8" s="3255">
        <v>1393.64</v>
      </c>
      <c r="U8" s="3254" t="s">
        <v>3178</v>
      </c>
      <c r="V8" s="3273">
        <f ca="1">ROUND(T8*$AA$7/10000,0)+ROUND(T8*$Z$9/10000,0)</f>
        <v>688</v>
      </c>
      <c r="W8" s="3273">
        <v>713</v>
      </c>
      <c r="Y8" s="3240"/>
      <c r="Z8" s="3240"/>
      <c r="AA8" s="3240"/>
      <c r="AB8" s="3240"/>
      <c r="AC8" s="3240"/>
      <c r="AD8" s="3240"/>
      <c r="AE8" s="3240"/>
      <c r="AF8" s="3240"/>
      <c r="AG8" s="3240"/>
      <c r="AH8" s="3240"/>
      <c r="AI8" s="3240"/>
      <c r="AK8" s="3284"/>
      <c r="AM8" s="3262">
        <f t="shared" ca="1" si="3"/>
        <v>3862</v>
      </c>
      <c r="AO8" s="3278"/>
      <c r="AQ8" s="3262">
        <f ca="1">ROUND($AQ$4*T8/$AQ$2,1)</f>
        <v>269.10000000000002</v>
      </c>
    </row>
    <row r="9" spans="1:44" ht="14.25">
      <c r="A9" s="3386"/>
      <c r="B9" s="3382"/>
      <c r="C9" s="3382"/>
      <c r="D9" s="3383"/>
      <c r="E9" s="3383"/>
      <c r="F9" s="3383"/>
      <c r="G9" s="3255">
        <v>673.87</v>
      </c>
      <c r="H9" s="3254" t="s">
        <v>3179</v>
      </c>
      <c r="J9" s="3262" t="s">
        <v>3247</v>
      </c>
      <c r="K9" s="3262">
        <f>E5+E6+SUM(E11:E26)+E30+SUM(E32:E52)+SUM(E56:E68)</f>
        <v>178411.05000000002</v>
      </c>
      <c r="N9" s="3386"/>
      <c r="O9" s="3382"/>
      <c r="P9" s="3382"/>
      <c r="Q9" s="3383"/>
      <c r="R9" s="3388"/>
      <c r="S9" s="3383"/>
      <c r="T9" s="3255">
        <v>673.87</v>
      </c>
      <c r="U9" s="3254" t="s">
        <v>3179</v>
      </c>
      <c r="V9" s="3273">
        <f ca="1">ROUND(T9*$AA$7/10000,0)+ROUND(T9*$Z$9/10000,0)</f>
        <v>333</v>
      </c>
      <c r="W9" s="3273">
        <v>352</v>
      </c>
      <c r="Y9" s="3240" t="s">
        <v>3663</v>
      </c>
      <c r="Z9" s="3286">
        <f ca="1">ROUND(AH4/AD3*10000,0)</f>
        <v>4792</v>
      </c>
      <c r="AA9" s="3240"/>
      <c r="AB9" s="3240"/>
      <c r="AC9" s="3240"/>
      <c r="AD9" s="3240"/>
      <c r="AE9" s="3240"/>
      <c r="AF9" s="3240"/>
      <c r="AG9" s="3240"/>
      <c r="AH9" s="3240"/>
      <c r="AI9" s="3240"/>
      <c r="AK9" s="3284"/>
      <c r="AM9" s="3262">
        <f t="shared" ca="1" si="3"/>
        <v>3862</v>
      </c>
      <c r="AO9" s="3278"/>
      <c r="AQ9" s="3262">
        <f ca="1">ROUND($AQ$4*T9/$AQ$2,1)</f>
        <v>130.1</v>
      </c>
    </row>
    <row r="10" spans="1:44" ht="14.25">
      <c r="A10" s="3386"/>
      <c r="B10" s="3382"/>
      <c r="C10" s="3382"/>
      <c r="D10" s="3383"/>
      <c r="E10" s="3383"/>
      <c r="F10" s="3383"/>
      <c r="G10" s="3255">
        <v>3202.99</v>
      </c>
      <c r="H10" s="3254" t="s">
        <v>3180</v>
      </c>
      <c r="J10" s="3274" t="s">
        <v>3249</v>
      </c>
      <c r="K10" s="3274">
        <f>G9+G28+SUM(G34:G52)+SUM(G56:G68)+G8</f>
        <v>30343.309999999998</v>
      </c>
      <c r="N10" s="3386"/>
      <c r="O10" s="3382"/>
      <c r="P10" s="3382"/>
      <c r="Q10" s="3383"/>
      <c r="R10" s="3388"/>
      <c r="S10" s="3383"/>
      <c r="T10" s="3255">
        <v>3202.99</v>
      </c>
      <c r="U10" s="3254" t="s">
        <v>3180</v>
      </c>
      <c r="V10" s="3273">
        <f ca="1">ROUND(T10*$Z$9/10000,0)</f>
        <v>1535</v>
      </c>
      <c r="W10" s="3273">
        <v>1639</v>
      </c>
      <c r="X10" s="3274">
        <f ca="1">V7+V8+V9+V10</f>
        <v>5146</v>
      </c>
      <c r="Y10" s="3262">
        <f>W7+W8+W9+W10</f>
        <v>5472</v>
      </c>
      <c r="Z10" s="3262">
        <f ca="1">Y10/X10-1</f>
        <v>6.3350174893120892E-2</v>
      </c>
      <c r="AK10" s="3284"/>
      <c r="AM10" s="3262">
        <f t="shared" ca="1" si="3"/>
        <v>3862</v>
      </c>
      <c r="AO10" s="3278"/>
    </row>
    <row r="11" spans="1:44" ht="14.25">
      <c r="A11" s="3263" t="s">
        <v>3574</v>
      </c>
      <c r="B11" s="3264" t="s">
        <v>3582</v>
      </c>
      <c r="C11" s="3254" t="s">
        <v>3186</v>
      </c>
      <c r="D11" s="3255">
        <v>1500.94</v>
      </c>
      <c r="E11" s="3255">
        <v>1500.94</v>
      </c>
      <c r="F11" s="3254" t="s">
        <v>3175</v>
      </c>
      <c r="G11" s="3255" t="s">
        <v>70</v>
      </c>
      <c r="H11" s="3255" t="s">
        <v>70</v>
      </c>
      <c r="J11" s="3262" t="s">
        <v>3250</v>
      </c>
      <c r="K11" s="3262">
        <f>G7+G27+G54+G70</f>
        <v>30257.699999999997</v>
      </c>
      <c r="N11" s="3263" t="s">
        <v>3574</v>
      </c>
      <c r="O11" s="3264" t="s">
        <v>3582</v>
      </c>
      <c r="P11" s="3254" t="s">
        <v>3186</v>
      </c>
      <c r="Q11" s="3255">
        <v>1500.94</v>
      </c>
      <c r="R11" s="3280">
        <v>1500.94</v>
      </c>
      <c r="S11" s="3254" t="s">
        <v>3175</v>
      </c>
      <c r="T11" s="3255" t="s">
        <v>70</v>
      </c>
      <c r="U11" s="3255" t="s">
        <v>70</v>
      </c>
      <c r="V11" s="3273">
        <f ca="1">ROUND(R11*$Z$7/10000,0)+ROUND(R11*$Z$9/10000,0)</f>
        <v>1149</v>
      </c>
      <c r="W11" s="3273">
        <v>1096</v>
      </c>
      <c r="AJ11" s="3283">
        <f t="shared" ca="1" si="0"/>
        <v>1130.0999999999999</v>
      </c>
      <c r="AK11" s="3284">
        <f t="shared" ca="1" si="1"/>
        <v>7527.0365770783646</v>
      </c>
      <c r="AL11" s="3262">
        <f t="shared" ca="1" si="2"/>
        <v>580</v>
      </c>
      <c r="AM11" s="3262">
        <f t="shared" ca="1" si="3"/>
        <v>3862</v>
      </c>
      <c r="AN11" s="3262">
        <f t="shared" ref="AN11:AN25" ca="1" si="5">AP11+AQ11+AR11</f>
        <v>550.1</v>
      </c>
      <c r="AO11" s="3278">
        <f ca="1">AN11*10000/Q11</f>
        <v>3665.0365770783642</v>
      </c>
      <c r="AP11" s="3262">
        <f t="shared" ref="AP11:AP26" ca="1" si="6">ROUND($AP$4*R11/$AP$2,1)</f>
        <v>550.1</v>
      </c>
    </row>
    <row r="12" spans="1:44" ht="14.25">
      <c r="A12" s="3263" t="s">
        <v>3575</v>
      </c>
      <c r="B12" s="3264" t="s">
        <v>3583</v>
      </c>
      <c r="C12" s="3254" t="s">
        <v>3187</v>
      </c>
      <c r="D12" s="3255">
        <v>1116.4000000000001</v>
      </c>
      <c r="E12" s="3255">
        <v>1116.4000000000001</v>
      </c>
      <c r="F12" s="3254" t="s">
        <v>3175</v>
      </c>
      <c r="G12" s="3255" t="s">
        <v>70</v>
      </c>
      <c r="H12" s="3255" t="s">
        <v>70</v>
      </c>
      <c r="J12" s="3262" t="s">
        <v>3251</v>
      </c>
      <c r="K12" s="3262">
        <f>E31+E53+E69</f>
        <v>1160.4000000000001</v>
      </c>
      <c r="N12" s="3263" t="s">
        <v>3575</v>
      </c>
      <c r="O12" s="3264" t="s">
        <v>3583</v>
      </c>
      <c r="P12" s="3254" t="s">
        <v>3187</v>
      </c>
      <c r="Q12" s="3255">
        <v>1116.4000000000001</v>
      </c>
      <c r="R12" s="3280">
        <v>1116.4000000000001</v>
      </c>
      <c r="S12" s="3254" t="s">
        <v>3175</v>
      </c>
      <c r="T12" s="3255" t="s">
        <v>70</v>
      </c>
      <c r="U12" s="3255" t="s">
        <v>70</v>
      </c>
      <c r="V12" s="3273">
        <f t="shared" ref="V12:V26" ca="1" si="7">ROUND(R12*$Z$7/10000,0)+ROUND(R12*$Z$9/10000,0)</f>
        <v>855</v>
      </c>
      <c r="W12" s="3273">
        <v>815</v>
      </c>
      <c r="AJ12" s="3283">
        <f t="shared" ca="1" si="0"/>
        <v>840.2</v>
      </c>
      <c r="AK12" s="3284">
        <f t="shared" ca="1" si="1"/>
        <v>7527.3529201003221</v>
      </c>
      <c r="AL12" s="3262">
        <f t="shared" ca="1" si="2"/>
        <v>431</v>
      </c>
      <c r="AM12" s="3262">
        <f t="shared" ca="1" si="3"/>
        <v>3862</v>
      </c>
      <c r="AN12" s="3262">
        <f t="shared" ca="1" si="5"/>
        <v>409.2</v>
      </c>
      <c r="AO12" s="3278">
        <f t="shared" ref="AO12:AO27" ca="1" si="8">AN12*10000/Q12</f>
        <v>3665.3529201003221</v>
      </c>
      <c r="AP12" s="3274">
        <f ca="1">ROUND($AP$4*R12/$AP$2,1)</f>
        <v>409.2</v>
      </c>
    </row>
    <row r="13" spans="1:44" ht="14.25">
      <c r="A13" s="3263" t="s">
        <v>3576</v>
      </c>
      <c r="B13" s="3264" t="s">
        <v>3584</v>
      </c>
      <c r="C13" s="3254" t="s">
        <v>3188</v>
      </c>
      <c r="D13" s="3255">
        <v>2056.79</v>
      </c>
      <c r="E13" s="3255">
        <v>2056.79</v>
      </c>
      <c r="F13" s="3254" t="s">
        <v>3175</v>
      </c>
      <c r="G13" s="3255" t="s">
        <v>70</v>
      </c>
      <c r="H13" s="3255" t="s">
        <v>70</v>
      </c>
      <c r="J13" s="3262" t="s">
        <v>3252</v>
      </c>
      <c r="K13" s="3262">
        <f>G8+G10+G29+G30+G55</f>
        <v>7353.5999999999995</v>
      </c>
      <c r="N13" s="3263" t="s">
        <v>3576</v>
      </c>
      <c r="O13" s="3264" t="s">
        <v>3584</v>
      </c>
      <c r="P13" s="3254" t="s">
        <v>3188</v>
      </c>
      <c r="Q13" s="3255">
        <v>2056.79</v>
      </c>
      <c r="R13" s="3280">
        <v>2056.79</v>
      </c>
      <c r="S13" s="3254" t="s">
        <v>3175</v>
      </c>
      <c r="T13" s="3255" t="s">
        <v>70</v>
      </c>
      <c r="U13" s="3255" t="s">
        <v>70</v>
      </c>
      <c r="V13" s="3273">
        <f t="shared" ca="1" si="7"/>
        <v>1575</v>
      </c>
      <c r="W13" s="3273">
        <v>1501</v>
      </c>
      <c r="AJ13" s="3283">
        <f t="shared" ca="1" si="0"/>
        <v>1547.8</v>
      </c>
      <c r="AK13" s="3284">
        <f t="shared" ca="1" si="1"/>
        <v>7526.934193573481</v>
      </c>
      <c r="AL13" s="3262">
        <f t="shared" ca="1" si="2"/>
        <v>794</v>
      </c>
      <c r="AM13" s="3262">
        <f t="shared" ca="1" si="3"/>
        <v>3862</v>
      </c>
      <c r="AN13" s="3262">
        <f t="shared" ca="1" si="5"/>
        <v>753.8</v>
      </c>
      <c r="AO13" s="3278">
        <f t="shared" ca="1" si="8"/>
        <v>3664.934193573481</v>
      </c>
      <c r="AP13" s="3262">
        <f t="shared" ca="1" si="6"/>
        <v>753.8</v>
      </c>
    </row>
    <row r="14" spans="1:44" ht="14.25">
      <c r="A14" s="3263" t="s">
        <v>3556</v>
      </c>
      <c r="B14" s="3264" t="s">
        <v>3585</v>
      </c>
      <c r="C14" s="3254" t="s">
        <v>3189</v>
      </c>
      <c r="D14" s="3255">
        <v>2010</v>
      </c>
      <c r="E14" s="3255">
        <v>2010</v>
      </c>
      <c r="F14" s="3254" t="s">
        <v>3175</v>
      </c>
      <c r="G14" s="3255" t="s">
        <v>70</v>
      </c>
      <c r="H14" s="3255" t="s">
        <v>70</v>
      </c>
      <c r="J14" s="3262" t="s">
        <v>3256</v>
      </c>
      <c r="K14" s="3262">
        <f>SUM(K9:K13)</f>
        <v>247526.06</v>
      </c>
      <c r="N14" s="3263" t="s">
        <v>3556</v>
      </c>
      <c r="O14" s="3264" t="s">
        <v>3585</v>
      </c>
      <c r="P14" s="3254" t="s">
        <v>3189</v>
      </c>
      <c r="Q14" s="3255">
        <v>2010</v>
      </c>
      <c r="R14" s="3280">
        <v>2010</v>
      </c>
      <c r="S14" s="3254" t="s">
        <v>3175</v>
      </c>
      <c r="T14" s="3255" t="s">
        <v>70</v>
      </c>
      <c r="U14" s="3255" t="s">
        <v>70</v>
      </c>
      <c r="V14" s="3273">
        <f t="shared" ca="1" si="7"/>
        <v>1538</v>
      </c>
      <c r="W14" s="3273">
        <v>1467</v>
      </c>
      <c r="AJ14" s="3283">
        <f t="shared" ca="1" si="0"/>
        <v>1512.6</v>
      </c>
      <c r="AK14" s="3284">
        <f t="shared" ca="1" si="1"/>
        <v>7526.6766169154234</v>
      </c>
      <c r="AL14" s="3262">
        <f t="shared" ca="1" si="2"/>
        <v>776</v>
      </c>
      <c r="AM14" s="3262">
        <f t="shared" ca="1" si="3"/>
        <v>3862</v>
      </c>
      <c r="AN14" s="3262">
        <f t="shared" ca="1" si="5"/>
        <v>736.6</v>
      </c>
      <c r="AO14" s="3278">
        <f t="shared" ca="1" si="8"/>
        <v>3664.676616915423</v>
      </c>
      <c r="AP14" s="3262">
        <f t="shared" ca="1" si="6"/>
        <v>736.6</v>
      </c>
    </row>
    <row r="15" spans="1:44" ht="14.25">
      <c r="A15" s="3263" t="s">
        <v>3557</v>
      </c>
      <c r="B15" s="3264" t="s">
        <v>3586</v>
      </c>
      <c r="C15" s="3254" t="s">
        <v>3190</v>
      </c>
      <c r="D15" s="3255">
        <v>1927.94</v>
      </c>
      <c r="E15" s="3255">
        <v>1927.94</v>
      </c>
      <c r="F15" s="3254" t="s">
        <v>3175</v>
      </c>
      <c r="G15" s="3255" t="s">
        <v>70</v>
      </c>
      <c r="H15" s="3255" t="s">
        <v>70</v>
      </c>
      <c r="N15" s="3263" t="s">
        <v>3557</v>
      </c>
      <c r="O15" s="3264" t="s">
        <v>3586</v>
      </c>
      <c r="P15" s="3254" t="s">
        <v>3190</v>
      </c>
      <c r="Q15" s="3255">
        <v>1927.94</v>
      </c>
      <c r="R15" s="3280">
        <v>1927.94</v>
      </c>
      <c r="S15" s="3254" t="s">
        <v>3175</v>
      </c>
      <c r="T15" s="3255" t="s">
        <v>70</v>
      </c>
      <c r="U15" s="3255" t="s">
        <v>70</v>
      </c>
      <c r="V15" s="3273">
        <f t="shared" ca="1" si="7"/>
        <v>1476</v>
      </c>
      <c r="W15" s="3273">
        <v>1407</v>
      </c>
      <c r="AJ15" s="3283">
        <f t="shared" ca="1" si="0"/>
        <v>1451.6</v>
      </c>
      <c r="AK15" s="3284">
        <f t="shared" ca="1" si="1"/>
        <v>7527.0518169652587</v>
      </c>
      <c r="AL15" s="3262">
        <f t="shared" ca="1" si="2"/>
        <v>745</v>
      </c>
      <c r="AM15" s="3262">
        <f t="shared" ca="1" si="3"/>
        <v>3862</v>
      </c>
      <c r="AN15" s="3262">
        <f t="shared" ca="1" si="5"/>
        <v>706.6</v>
      </c>
      <c r="AO15" s="3278">
        <f t="shared" ca="1" si="8"/>
        <v>3665.0518169652582</v>
      </c>
      <c r="AP15" s="3274">
        <f ca="1">ROUND($AP$4*R15/$AP$2,1)</f>
        <v>706.6</v>
      </c>
    </row>
    <row r="16" spans="1:44" ht="14.25">
      <c r="A16" s="3263" t="s">
        <v>3558</v>
      </c>
      <c r="B16" s="3264" t="s">
        <v>3587</v>
      </c>
      <c r="C16" s="3254" t="s">
        <v>3191</v>
      </c>
      <c r="D16" s="3255">
        <v>1116.0999999999999</v>
      </c>
      <c r="E16" s="3255">
        <v>1116.0999999999999</v>
      </c>
      <c r="F16" s="3254" t="s">
        <v>3175</v>
      </c>
      <c r="G16" s="3255" t="s">
        <v>70</v>
      </c>
      <c r="H16" s="3255" t="s">
        <v>70</v>
      </c>
      <c r="N16" s="3263" t="s">
        <v>3558</v>
      </c>
      <c r="O16" s="3264" t="s">
        <v>3587</v>
      </c>
      <c r="P16" s="3254" t="s">
        <v>3191</v>
      </c>
      <c r="Q16" s="3255">
        <v>1116.0999999999999</v>
      </c>
      <c r="R16" s="3280">
        <v>1116.0999999999999</v>
      </c>
      <c r="S16" s="3254" t="s">
        <v>3175</v>
      </c>
      <c r="T16" s="3255" t="s">
        <v>70</v>
      </c>
      <c r="U16" s="3255" t="s">
        <v>70</v>
      </c>
      <c r="V16" s="3273">
        <f t="shared" ca="1" si="7"/>
        <v>854</v>
      </c>
      <c r="W16" s="3273">
        <v>815</v>
      </c>
      <c r="AJ16" s="3283">
        <f t="shared" ca="1" si="0"/>
        <v>840</v>
      </c>
      <c r="AK16" s="3284">
        <f t="shared" ca="1" si="1"/>
        <v>7526.5461876175978</v>
      </c>
      <c r="AL16" s="3262">
        <f t="shared" ca="1" si="2"/>
        <v>431</v>
      </c>
      <c r="AM16" s="3262">
        <f t="shared" ca="1" si="3"/>
        <v>3862</v>
      </c>
      <c r="AN16" s="3262">
        <f t="shared" ca="1" si="5"/>
        <v>409</v>
      </c>
      <c r="AO16" s="3278">
        <f t="shared" ca="1" si="8"/>
        <v>3664.5461876175973</v>
      </c>
      <c r="AP16" s="3274">
        <f ca="1">ROUND($AP$4*R16/$AP$2,1)</f>
        <v>409</v>
      </c>
    </row>
    <row r="17" spans="1:44" ht="14.25">
      <c r="A17" s="3263" t="s">
        <v>3561</v>
      </c>
      <c r="B17" s="3264" t="s">
        <v>3588</v>
      </c>
      <c r="C17" s="3254" t="s">
        <v>3192</v>
      </c>
      <c r="D17" s="3255">
        <v>2056.48</v>
      </c>
      <c r="E17" s="3255">
        <v>2056.48</v>
      </c>
      <c r="F17" s="3254" t="s">
        <v>3175</v>
      </c>
      <c r="G17" s="3255" t="s">
        <v>70</v>
      </c>
      <c r="H17" s="3255" t="s">
        <v>70</v>
      </c>
      <c r="J17" s="3262" t="s">
        <v>3649</v>
      </c>
      <c r="L17" s="3262" t="s">
        <v>3642</v>
      </c>
      <c r="N17" s="3263" t="s">
        <v>3561</v>
      </c>
      <c r="O17" s="3264" t="s">
        <v>3588</v>
      </c>
      <c r="P17" s="3254" t="s">
        <v>3192</v>
      </c>
      <c r="Q17" s="3255">
        <v>2056.48</v>
      </c>
      <c r="R17" s="3280">
        <v>2056.48</v>
      </c>
      <c r="S17" s="3254" t="s">
        <v>3175</v>
      </c>
      <c r="T17" s="3255" t="s">
        <v>70</v>
      </c>
      <c r="U17" s="3255" t="s">
        <v>70</v>
      </c>
      <c r="V17" s="3273">
        <f t="shared" ca="1" si="7"/>
        <v>1574</v>
      </c>
      <c r="W17" s="3273">
        <v>1501</v>
      </c>
      <c r="AJ17" s="3283">
        <f t="shared" ca="1" si="0"/>
        <v>1547.7</v>
      </c>
      <c r="AK17" s="3284">
        <f t="shared" ca="1" si="1"/>
        <v>7527.000389014238</v>
      </c>
      <c r="AL17" s="3262">
        <f t="shared" ca="1" si="2"/>
        <v>794</v>
      </c>
      <c r="AM17" s="3262">
        <f t="shared" ca="1" si="3"/>
        <v>3862</v>
      </c>
      <c r="AN17" s="3262">
        <f t="shared" ca="1" si="5"/>
        <v>753.7</v>
      </c>
      <c r="AO17" s="3278">
        <f t="shared" ca="1" si="8"/>
        <v>3665.000389014238</v>
      </c>
      <c r="AP17" s="3262">
        <f t="shared" ca="1" si="6"/>
        <v>753.7</v>
      </c>
    </row>
    <row r="18" spans="1:44" ht="14.25">
      <c r="A18" s="3263" t="s">
        <v>3562</v>
      </c>
      <c r="B18" s="3264" t="s">
        <v>3589</v>
      </c>
      <c r="C18" s="3254" t="s">
        <v>3193</v>
      </c>
      <c r="D18" s="3255">
        <v>2010.38</v>
      </c>
      <c r="E18" s="3255">
        <v>2010.38</v>
      </c>
      <c r="F18" s="3254" t="s">
        <v>3175</v>
      </c>
      <c r="G18" s="3255" t="s">
        <v>70</v>
      </c>
      <c r="H18" s="3255" t="s">
        <v>70</v>
      </c>
      <c r="J18" s="3262" t="s">
        <v>3648</v>
      </c>
      <c r="K18" s="3262">
        <f>ROUND(K19/K8*K7,2)</f>
        <v>118122.57</v>
      </c>
      <c r="L18" s="3269">
        <v>59926</v>
      </c>
      <c r="N18" s="3263" t="s">
        <v>3562</v>
      </c>
      <c r="O18" s="3264" t="s">
        <v>3589</v>
      </c>
      <c r="P18" s="3254" t="s">
        <v>3193</v>
      </c>
      <c r="Q18" s="3255">
        <v>2010.38</v>
      </c>
      <c r="R18" s="3280">
        <v>2010.38</v>
      </c>
      <c r="S18" s="3254" t="s">
        <v>3175</v>
      </c>
      <c r="T18" s="3255" t="s">
        <v>70</v>
      </c>
      <c r="U18" s="3255" t="s">
        <v>70</v>
      </c>
      <c r="V18" s="3273">
        <f t="shared" ca="1" si="7"/>
        <v>1538</v>
      </c>
      <c r="W18" s="3273">
        <v>1467</v>
      </c>
      <c r="AJ18" s="3283">
        <f t="shared" ca="1" si="0"/>
        <v>1512.8</v>
      </c>
      <c r="AK18" s="3284">
        <f t="shared" ca="1" si="1"/>
        <v>7526.978760234384</v>
      </c>
      <c r="AL18" s="3262">
        <f t="shared" ca="1" si="2"/>
        <v>776</v>
      </c>
      <c r="AM18" s="3262">
        <f t="shared" ca="1" si="3"/>
        <v>3862</v>
      </c>
      <c r="AN18" s="3262">
        <f t="shared" ca="1" si="5"/>
        <v>736.8</v>
      </c>
      <c r="AO18" s="3278">
        <f t="shared" ca="1" si="8"/>
        <v>3664.9787602343836</v>
      </c>
      <c r="AP18" s="3262">
        <f t="shared" ca="1" si="6"/>
        <v>736.8</v>
      </c>
    </row>
    <row r="19" spans="1:44" ht="14.25">
      <c r="A19" s="3263" t="s">
        <v>3563</v>
      </c>
      <c r="B19" s="3264" t="s">
        <v>3590</v>
      </c>
      <c r="C19" s="3254" t="s">
        <v>3194</v>
      </c>
      <c r="D19" s="3255">
        <v>1117.76</v>
      </c>
      <c r="E19" s="3255">
        <v>1117.76</v>
      </c>
      <c r="F19" s="3254" t="s">
        <v>3175</v>
      </c>
      <c r="G19" s="3255" t="s">
        <v>70</v>
      </c>
      <c r="H19" s="3255" t="s">
        <v>70</v>
      </c>
      <c r="J19" s="3262" t="s">
        <v>3644</v>
      </c>
      <c r="K19" s="3262">
        <f>Q68</f>
        <v>242531.24000000002</v>
      </c>
      <c r="N19" s="3263" t="s">
        <v>3563</v>
      </c>
      <c r="O19" s="3264" t="s">
        <v>3590</v>
      </c>
      <c r="P19" s="3254" t="s">
        <v>3194</v>
      </c>
      <c r="Q19" s="3255">
        <v>1117.76</v>
      </c>
      <c r="R19" s="3280">
        <v>1117.76</v>
      </c>
      <c r="S19" s="3254" t="s">
        <v>3175</v>
      </c>
      <c r="T19" s="3255" t="s">
        <v>70</v>
      </c>
      <c r="U19" s="3255" t="s">
        <v>70</v>
      </c>
      <c r="V19" s="3273">
        <f t="shared" ca="1" si="7"/>
        <v>856</v>
      </c>
      <c r="W19" s="3273">
        <v>816</v>
      </c>
      <c r="AJ19" s="3283">
        <f t="shared" ca="1" si="0"/>
        <v>841.7</v>
      </c>
      <c r="AK19" s="3284">
        <f t="shared" ca="1" si="1"/>
        <v>7527.3664471800748</v>
      </c>
      <c r="AL19" s="3262">
        <f t="shared" ca="1" si="2"/>
        <v>432</v>
      </c>
      <c r="AM19" s="3262">
        <f t="shared" ca="1" si="3"/>
        <v>3862</v>
      </c>
      <c r="AN19" s="3262">
        <f t="shared" ca="1" si="5"/>
        <v>409.7</v>
      </c>
      <c r="AO19" s="3278">
        <f t="shared" ca="1" si="8"/>
        <v>3665.3664471800744</v>
      </c>
      <c r="AP19" s="3262">
        <f t="shared" ca="1" si="6"/>
        <v>409.7</v>
      </c>
    </row>
    <row r="20" spans="1:44" ht="14.25">
      <c r="A20" s="3263" t="s">
        <v>3564</v>
      </c>
      <c r="B20" s="3264" t="s">
        <v>3591</v>
      </c>
      <c r="C20" s="3254" t="s">
        <v>3195</v>
      </c>
      <c r="D20" s="3255">
        <v>2010.07</v>
      </c>
      <c r="E20" s="3255">
        <v>2010.07</v>
      </c>
      <c r="F20" s="3254" t="s">
        <v>3175</v>
      </c>
      <c r="G20" s="3255" t="s">
        <v>70</v>
      </c>
      <c r="H20" s="3255" t="s">
        <v>70</v>
      </c>
      <c r="J20" s="3262" t="s">
        <v>3247</v>
      </c>
      <c r="K20" s="3262">
        <f>R5+R6+SUM(R11:R26)+R30+SUM(R32:R52)+SUM(R55:R66)</f>
        <v>175962.71000000002</v>
      </c>
      <c r="N20" s="3263" t="s">
        <v>3564</v>
      </c>
      <c r="O20" s="3264" t="s">
        <v>3591</v>
      </c>
      <c r="P20" s="3254" t="s">
        <v>3195</v>
      </c>
      <c r="Q20" s="3255">
        <v>2010.07</v>
      </c>
      <c r="R20" s="3280">
        <v>2010.07</v>
      </c>
      <c r="S20" s="3254" t="s">
        <v>3175</v>
      </c>
      <c r="T20" s="3255" t="s">
        <v>70</v>
      </c>
      <c r="U20" s="3255" t="s">
        <v>70</v>
      </c>
      <c r="V20" s="3273">
        <f t="shared" ca="1" si="7"/>
        <v>1538</v>
      </c>
      <c r="W20" s="3273">
        <v>1467</v>
      </c>
      <c r="AJ20" s="3283">
        <f t="shared" ca="1" si="0"/>
        <v>1512.7</v>
      </c>
      <c r="AK20" s="3284">
        <f t="shared" ca="1" si="1"/>
        <v>7527.0464909182265</v>
      </c>
      <c r="AL20" s="3262">
        <f t="shared" ca="1" si="2"/>
        <v>776</v>
      </c>
      <c r="AM20" s="3262">
        <f t="shared" ca="1" si="3"/>
        <v>3862</v>
      </c>
      <c r="AN20" s="3262">
        <f t="shared" ca="1" si="5"/>
        <v>736.7</v>
      </c>
      <c r="AO20" s="3278">
        <f t="shared" ca="1" si="8"/>
        <v>3665.0464909182269</v>
      </c>
      <c r="AP20" s="3262">
        <f t="shared" ca="1" si="6"/>
        <v>736.7</v>
      </c>
    </row>
    <row r="21" spans="1:44" ht="14.25">
      <c r="A21" s="3263" t="s">
        <v>3565</v>
      </c>
      <c r="B21" s="3264" t="s">
        <v>3592</v>
      </c>
      <c r="C21" s="3254" t="s">
        <v>3196</v>
      </c>
      <c r="D21" s="3255">
        <v>1117.77</v>
      </c>
      <c r="E21" s="3255">
        <v>1117.77</v>
      </c>
      <c r="F21" s="3254" t="s">
        <v>3175</v>
      </c>
      <c r="G21" s="3255" t="s">
        <v>70</v>
      </c>
      <c r="H21" s="3255" t="s">
        <v>70</v>
      </c>
      <c r="J21" s="3262" t="s">
        <v>3249</v>
      </c>
      <c r="K21" s="3262">
        <f>T9+T28+SUM(T34:T52)+SUM(T55:T66)+T8</f>
        <v>29778.85</v>
      </c>
      <c r="N21" s="3263" t="s">
        <v>3565</v>
      </c>
      <c r="O21" s="3264" t="s">
        <v>3592</v>
      </c>
      <c r="P21" s="3254" t="s">
        <v>3196</v>
      </c>
      <c r="Q21" s="3255">
        <v>1117.77</v>
      </c>
      <c r="R21" s="3280">
        <v>1117.77</v>
      </c>
      <c r="S21" s="3254" t="s">
        <v>3175</v>
      </c>
      <c r="T21" s="3255" t="s">
        <v>70</v>
      </c>
      <c r="U21" s="3255" t="s">
        <v>70</v>
      </c>
      <c r="V21" s="3273">
        <f t="shared" ca="1" si="7"/>
        <v>856</v>
      </c>
      <c r="W21" s="3273">
        <v>816</v>
      </c>
      <c r="AJ21" s="3283">
        <f t="shared" ca="1" si="0"/>
        <v>841.7</v>
      </c>
      <c r="AK21" s="3284">
        <f t="shared" ca="1" si="1"/>
        <v>7527.3336554031684</v>
      </c>
      <c r="AL21" s="3262">
        <f t="shared" ca="1" si="2"/>
        <v>432</v>
      </c>
      <c r="AM21" s="3262">
        <f t="shared" ca="1" si="3"/>
        <v>3862</v>
      </c>
      <c r="AN21" s="3262">
        <f t="shared" ca="1" si="5"/>
        <v>409.7</v>
      </c>
      <c r="AO21" s="3278">
        <f t="shared" ca="1" si="8"/>
        <v>3665.3336554031689</v>
      </c>
      <c r="AP21" s="3262">
        <f t="shared" ca="1" si="6"/>
        <v>409.7</v>
      </c>
    </row>
    <row r="22" spans="1:44" ht="14.25">
      <c r="A22" s="3263" t="s">
        <v>3566</v>
      </c>
      <c r="B22" s="3264" t="s">
        <v>3593</v>
      </c>
      <c r="C22" s="3254" t="s">
        <v>3197</v>
      </c>
      <c r="D22" s="3255">
        <v>1928.9</v>
      </c>
      <c r="E22" s="3255">
        <v>1928.9</v>
      </c>
      <c r="F22" s="3254" t="s">
        <v>3175</v>
      </c>
      <c r="G22" s="3255" t="s">
        <v>70</v>
      </c>
      <c r="H22" s="3255" t="s">
        <v>70</v>
      </c>
      <c r="J22" s="3262" t="s">
        <v>3250</v>
      </c>
      <c r="K22" s="3262">
        <f>T7+T27+T53+T67</f>
        <v>30257.699999999997</v>
      </c>
      <c r="M22" s="3262">
        <v>1.17</v>
      </c>
      <c r="N22" s="3263" t="s">
        <v>3566</v>
      </c>
      <c r="O22" s="3264" t="s">
        <v>3593</v>
      </c>
      <c r="P22" s="3254" t="s">
        <v>3197</v>
      </c>
      <c r="Q22" s="3255">
        <v>1928.9</v>
      </c>
      <c r="R22" s="3280">
        <v>1928.9</v>
      </c>
      <c r="S22" s="3254" t="s">
        <v>3175</v>
      </c>
      <c r="T22" s="3255" t="s">
        <v>70</v>
      </c>
      <c r="U22" s="3255" t="s">
        <v>70</v>
      </c>
      <c r="V22" s="3273">
        <f t="shared" ca="1" si="7"/>
        <v>1476</v>
      </c>
      <c r="W22" s="3273">
        <v>1408</v>
      </c>
      <c r="AJ22" s="3283">
        <f t="shared" ca="1" si="0"/>
        <v>1451.9</v>
      </c>
      <c r="AK22" s="3284">
        <f t="shared" ca="1" si="1"/>
        <v>7526.7830369640724</v>
      </c>
      <c r="AL22" s="3262">
        <f t="shared" ca="1" si="2"/>
        <v>745</v>
      </c>
      <c r="AM22" s="3262">
        <f t="shared" ca="1" si="3"/>
        <v>3862</v>
      </c>
      <c r="AN22" s="3262">
        <f t="shared" ca="1" si="5"/>
        <v>706.9</v>
      </c>
      <c r="AO22" s="3278">
        <f t="shared" ca="1" si="8"/>
        <v>3664.7830369640728</v>
      </c>
      <c r="AP22" s="3262">
        <f t="shared" ca="1" si="6"/>
        <v>706.9</v>
      </c>
    </row>
    <row r="23" spans="1:44" ht="14.25">
      <c r="A23" s="3263" t="s">
        <v>3567</v>
      </c>
      <c r="B23" s="3264" t="s">
        <v>3594</v>
      </c>
      <c r="C23" s="3254" t="s">
        <v>3198</v>
      </c>
      <c r="D23" s="3255">
        <v>2056.79</v>
      </c>
      <c r="E23" s="3255">
        <v>2056.79</v>
      </c>
      <c r="F23" s="3254" t="s">
        <v>3175</v>
      </c>
      <c r="G23" s="3255" t="s">
        <v>70</v>
      </c>
      <c r="H23" s="3255" t="s">
        <v>70</v>
      </c>
      <c r="J23" s="3262" t="s">
        <v>3251</v>
      </c>
      <c r="K23" s="3262">
        <f>R31</f>
        <v>572.02</v>
      </c>
      <c r="N23" s="3263" t="s">
        <v>3567</v>
      </c>
      <c r="O23" s="3264" t="s">
        <v>3594</v>
      </c>
      <c r="P23" s="3254" t="s">
        <v>3198</v>
      </c>
      <c r="Q23" s="3255">
        <v>2056.79</v>
      </c>
      <c r="R23" s="3280">
        <v>2056.79</v>
      </c>
      <c r="S23" s="3254" t="s">
        <v>3175</v>
      </c>
      <c r="T23" s="3255" t="s">
        <v>70</v>
      </c>
      <c r="U23" s="3255" t="s">
        <v>70</v>
      </c>
      <c r="V23" s="3273">
        <f t="shared" ca="1" si="7"/>
        <v>1575</v>
      </c>
      <c r="W23" s="3273">
        <v>1501</v>
      </c>
      <c r="AJ23" s="3283">
        <f t="shared" ca="1" si="0"/>
        <v>1547.8</v>
      </c>
      <c r="AK23" s="3284">
        <f t="shared" ca="1" si="1"/>
        <v>7526.934193573481</v>
      </c>
      <c r="AL23" s="3262">
        <f t="shared" ca="1" si="2"/>
        <v>794</v>
      </c>
      <c r="AM23" s="3262">
        <f t="shared" ca="1" si="3"/>
        <v>3862</v>
      </c>
      <c r="AN23" s="3262">
        <f t="shared" ca="1" si="5"/>
        <v>753.8</v>
      </c>
      <c r="AO23" s="3278">
        <f t="shared" ca="1" si="8"/>
        <v>3664.934193573481</v>
      </c>
      <c r="AP23" s="3262">
        <f t="shared" ca="1" si="6"/>
        <v>753.8</v>
      </c>
    </row>
    <row r="24" spans="1:44" ht="14.25">
      <c r="A24" s="3263" t="s">
        <v>3568</v>
      </c>
      <c r="B24" s="3264" t="s">
        <v>3595</v>
      </c>
      <c r="C24" s="3254" t="s">
        <v>3199</v>
      </c>
      <c r="D24" s="3255">
        <v>2010.26</v>
      </c>
      <c r="E24" s="3255">
        <v>2010.26</v>
      </c>
      <c r="F24" s="3254" t="s">
        <v>3175</v>
      </c>
      <c r="G24" s="3255" t="s">
        <v>70</v>
      </c>
      <c r="H24" s="3255" t="s">
        <v>70</v>
      </c>
      <c r="J24" s="3262" t="s">
        <v>3252</v>
      </c>
      <c r="K24" s="3262">
        <f>T10+T29+T30+T54</f>
        <v>5959.96</v>
      </c>
      <c r="M24" s="3262">
        <v>1.7</v>
      </c>
      <c r="N24" s="3263" t="s">
        <v>3568</v>
      </c>
      <c r="O24" s="3264" t="s">
        <v>3595</v>
      </c>
      <c r="P24" s="3254" t="s">
        <v>3199</v>
      </c>
      <c r="Q24" s="3255">
        <v>2010.26</v>
      </c>
      <c r="R24" s="3280">
        <v>2010.26</v>
      </c>
      <c r="S24" s="3254" t="s">
        <v>3175</v>
      </c>
      <c r="T24" s="3255" t="s">
        <v>70</v>
      </c>
      <c r="U24" s="3255" t="s">
        <v>70</v>
      </c>
      <c r="V24" s="3273">
        <f t="shared" ca="1" si="7"/>
        <v>1538</v>
      </c>
      <c r="W24" s="3273">
        <v>1467</v>
      </c>
      <c r="AJ24" s="3283">
        <f t="shared" ca="1" si="0"/>
        <v>1512.7</v>
      </c>
      <c r="AK24" s="3284">
        <f t="shared" ca="1" si="1"/>
        <v>7526.7000885457601</v>
      </c>
      <c r="AL24" s="3262">
        <f t="shared" ca="1" si="2"/>
        <v>776</v>
      </c>
      <c r="AM24" s="3262">
        <f t="shared" ca="1" si="3"/>
        <v>3862</v>
      </c>
      <c r="AN24" s="3262">
        <f t="shared" ca="1" si="5"/>
        <v>736.7</v>
      </c>
      <c r="AO24" s="3278">
        <f t="shared" ca="1" si="8"/>
        <v>3664.7000885457601</v>
      </c>
      <c r="AP24" s="3262">
        <f t="shared" ca="1" si="6"/>
        <v>736.7</v>
      </c>
    </row>
    <row r="25" spans="1:44" ht="14.25">
      <c r="A25" s="3263" t="s">
        <v>3569</v>
      </c>
      <c r="B25" s="3264" t="s">
        <v>3596</v>
      </c>
      <c r="C25" s="3254" t="s">
        <v>3200</v>
      </c>
      <c r="D25" s="3255">
        <v>2056.79</v>
      </c>
      <c r="E25" s="3255">
        <v>2056.79</v>
      </c>
      <c r="F25" s="3254" t="s">
        <v>3175</v>
      </c>
      <c r="G25" s="3255" t="s">
        <v>70</v>
      </c>
      <c r="H25" s="3255" t="s">
        <v>70</v>
      </c>
      <c r="J25" s="3262" t="s">
        <v>3256</v>
      </c>
      <c r="K25" s="3262">
        <f>SUM(K20:K24)</f>
        <v>242531.24</v>
      </c>
      <c r="N25" s="3263" t="s">
        <v>3569</v>
      </c>
      <c r="O25" s="3264" t="s">
        <v>3596</v>
      </c>
      <c r="P25" s="3254" t="s">
        <v>3200</v>
      </c>
      <c r="Q25" s="3255">
        <v>2056.79</v>
      </c>
      <c r="R25" s="3280">
        <v>2056.79</v>
      </c>
      <c r="S25" s="3254" t="s">
        <v>3175</v>
      </c>
      <c r="T25" s="3255" t="s">
        <v>70</v>
      </c>
      <c r="U25" s="3255" t="s">
        <v>70</v>
      </c>
      <c r="V25" s="3273">
        <f t="shared" ca="1" si="7"/>
        <v>1575</v>
      </c>
      <c r="W25" s="3273">
        <v>1501</v>
      </c>
      <c r="AJ25" s="3283">
        <f t="shared" ca="1" si="0"/>
        <v>1547.8</v>
      </c>
      <c r="AK25" s="3284">
        <f t="shared" ca="1" si="1"/>
        <v>7526.934193573481</v>
      </c>
      <c r="AL25" s="3262">
        <f t="shared" ca="1" si="2"/>
        <v>794</v>
      </c>
      <c r="AM25" s="3262">
        <f t="shared" ca="1" si="3"/>
        <v>3862</v>
      </c>
      <c r="AN25" s="3262">
        <f t="shared" ca="1" si="5"/>
        <v>753.8</v>
      </c>
      <c r="AO25" s="3278">
        <f t="shared" ca="1" si="8"/>
        <v>3664.934193573481</v>
      </c>
      <c r="AP25" s="3262">
        <f t="shared" ca="1" si="6"/>
        <v>753.8</v>
      </c>
    </row>
    <row r="26" spans="1:44" ht="14.25">
      <c r="A26" s="3263" t="s">
        <v>3570</v>
      </c>
      <c r="B26" s="3264" t="s">
        <v>3597</v>
      </c>
      <c r="C26" s="3254" t="s">
        <v>3201</v>
      </c>
      <c r="D26" s="3255">
        <v>1928.9</v>
      </c>
      <c r="E26" s="3255">
        <v>1928.9</v>
      </c>
      <c r="F26" s="3254" t="s">
        <v>3175</v>
      </c>
      <c r="G26" s="3255" t="s">
        <v>70</v>
      </c>
      <c r="H26" s="3255" t="s">
        <v>70</v>
      </c>
      <c r="N26" s="3263" t="s">
        <v>3570</v>
      </c>
      <c r="O26" s="3264" t="s">
        <v>3597</v>
      </c>
      <c r="P26" s="3254" t="s">
        <v>3201</v>
      </c>
      <c r="Q26" s="3255">
        <v>1928.9</v>
      </c>
      <c r="R26" s="3280">
        <v>1928.9</v>
      </c>
      <c r="S26" s="3254" t="s">
        <v>3175</v>
      </c>
      <c r="T26" s="3255" t="s">
        <v>70</v>
      </c>
      <c r="U26" s="3255" t="s">
        <v>70</v>
      </c>
      <c r="V26" s="3273">
        <f t="shared" ca="1" si="7"/>
        <v>1476</v>
      </c>
      <c r="W26" s="3273">
        <v>1408</v>
      </c>
      <c r="AJ26" s="3283">
        <f t="shared" ca="1" si="0"/>
        <v>1451.9</v>
      </c>
      <c r="AK26" s="3284">
        <f t="shared" ca="1" si="1"/>
        <v>7526.7830369640724</v>
      </c>
      <c r="AL26" s="3262">
        <f t="shared" ca="1" si="2"/>
        <v>745</v>
      </c>
      <c r="AM26" s="3262">
        <f t="shared" ca="1" si="3"/>
        <v>3862</v>
      </c>
      <c r="AN26" s="3262">
        <f ca="1">AP26+AQ26+AR26</f>
        <v>706.9</v>
      </c>
      <c r="AO26" s="3278">
        <f t="shared" ca="1" si="8"/>
        <v>3664.7830369640728</v>
      </c>
      <c r="AP26" s="3262">
        <f t="shared" ca="1" si="6"/>
        <v>706.9</v>
      </c>
    </row>
    <row r="27" spans="1:44" ht="14.25">
      <c r="A27" s="3386" t="s">
        <v>3571</v>
      </c>
      <c r="B27" s="3382" t="s">
        <v>3578</v>
      </c>
      <c r="C27" s="3382" t="s">
        <v>3202</v>
      </c>
      <c r="D27" s="3383">
        <v>15670.04</v>
      </c>
      <c r="E27" s="3255" t="s">
        <v>70</v>
      </c>
      <c r="F27" s="3255" t="s">
        <v>70</v>
      </c>
      <c r="G27" s="3255">
        <v>7224.48</v>
      </c>
      <c r="H27" s="3254" t="s">
        <v>3177</v>
      </c>
      <c r="N27" s="3386" t="s">
        <v>3571</v>
      </c>
      <c r="O27" s="3382" t="s">
        <v>3578</v>
      </c>
      <c r="P27" s="3382" t="s">
        <v>3202</v>
      </c>
      <c r="Q27" s="3383">
        <v>15670.04</v>
      </c>
      <c r="R27" s="3280" t="s">
        <v>70</v>
      </c>
      <c r="S27" s="3255" t="s">
        <v>70</v>
      </c>
      <c r="T27" s="3255">
        <v>7224.48</v>
      </c>
      <c r="U27" s="3254" t="s">
        <v>3177</v>
      </c>
      <c r="V27" s="3273">
        <f ca="1">ROUND(T27*$AB$7/10000,0)+ROUND(T27*$Z$9/10000,0)</f>
        <v>3513</v>
      </c>
      <c r="W27" s="3273">
        <v>3755</v>
      </c>
      <c r="AJ27" s="3283">
        <f t="shared" ca="1" si="0"/>
        <v>8316.5</v>
      </c>
      <c r="AK27" s="3284">
        <f t="shared" ca="1" si="1"/>
        <v>5307.1143711183886</v>
      </c>
      <c r="AL27" s="3262">
        <f t="shared" ca="1" si="2"/>
        <v>6052</v>
      </c>
      <c r="AM27" s="3262">
        <f t="shared" ca="1" si="3"/>
        <v>3862</v>
      </c>
      <c r="AN27" s="3262">
        <f ca="1">SUM(AP27:AR29)</f>
        <v>2264.5</v>
      </c>
      <c r="AO27" s="3278">
        <f t="shared" ca="1" si="8"/>
        <v>1445.1143711183888</v>
      </c>
      <c r="AR27" s="3262">
        <f ca="1">ROUND($AR$4*T27/$AR$2,1)</f>
        <v>794.8</v>
      </c>
    </row>
    <row r="28" spans="1:44" ht="14.25">
      <c r="A28" s="3386"/>
      <c r="B28" s="3382"/>
      <c r="C28" s="3382"/>
      <c r="D28" s="3383"/>
      <c r="E28" s="3255" t="s">
        <v>70</v>
      </c>
      <c r="F28" s="3255" t="s">
        <v>70</v>
      </c>
      <c r="G28" s="3255">
        <v>7611.54</v>
      </c>
      <c r="H28" s="3254" t="s">
        <v>3179</v>
      </c>
      <c r="N28" s="3386"/>
      <c r="O28" s="3382"/>
      <c r="P28" s="3382"/>
      <c r="Q28" s="3383"/>
      <c r="R28" s="3280" t="s">
        <v>70</v>
      </c>
      <c r="S28" s="3255" t="s">
        <v>70</v>
      </c>
      <c r="T28" s="3255">
        <v>7611.54</v>
      </c>
      <c r="U28" s="3254" t="s">
        <v>3179</v>
      </c>
      <c r="V28" s="3273">
        <f ca="1">ROUND(T28*$AA$7/10000,0)+ROUND(T28*$Z$9/10000,0)</f>
        <v>3756</v>
      </c>
      <c r="W28" s="3273">
        <v>3977</v>
      </c>
      <c r="AK28" s="3284"/>
      <c r="AM28" s="3262">
        <f t="shared" ca="1" si="3"/>
        <v>3862</v>
      </c>
      <c r="AO28" s="3278"/>
      <c r="AQ28" s="3262">
        <f ca="1">ROUND($AQ$4*T28/$AQ$2,1)</f>
        <v>1469.7</v>
      </c>
    </row>
    <row r="29" spans="1:44" ht="14.25">
      <c r="A29" s="3386"/>
      <c r="B29" s="3382"/>
      <c r="C29" s="3382"/>
      <c r="D29" s="3383"/>
      <c r="E29" s="3255" t="s">
        <v>70</v>
      </c>
      <c r="F29" s="3255" t="s">
        <v>70</v>
      </c>
      <c r="G29" s="3255">
        <v>834.02</v>
      </c>
      <c r="H29" s="3254" t="s">
        <v>3180</v>
      </c>
      <c r="N29" s="3386"/>
      <c r="O29" s="3382"/>
      <c r="P29" s="3382"/>
      <c r="Q29" s="3383"/>
      <c r="R29" s="3280" t="s">
        <v>70</v>
      </c>
      <c r="S29" s="3255" t="s">
        <v>70</v>
      </c>
      <c r="T29" s="3255">
        <v>834.02</v>
      </c>
      <c r="U29" s="3254" t="s">
        <v>3180</v>
      </c>
      <c r="V29" s="3273">
        <f ca="1">ROUND(T29*$Z$9/10000,0)</f>
        <v>400</v>
      </c>
      <c r="W29" s="3273">
        <v>427</v>
      </c>
      <c r="X29" s="3274">
        <f ca="1">V27+V28+V29</f>
        <v>7669</v>
      </c>
      <c r="Y29" s="3262">
        <f>W27+W28+W29</f>
        <v>8159</v>
      </c>
      <c r="Z29" s="3262">
        <f ca="1">Y29/X29-1</f>
        <v>6.3893597600730212E-2</v>
      </c>
      <c r="AK29" s="3284"/>
      <c r="AM29" s="3262">
        <f t="shared" ca="1" si="3"/>
        <v>3862</v>
      </c>
      <c r="AO29" s="3278"/>
    </row>
    <row r="30" spans="1:44" ht="14.25">
      <c r="A30" s="3386" t="s">
        <v>3555</v>
      </c>
      <c r="B30" s="3382" t="s">
        <v>3598</v>
      </c>
      <c r="C30" s="3382" t="s">
        <v>3203</v>
      </c>
      <c r="D30" s="3383">
        <v>30777.32</v>
      </c>
      <c r="E30" s="3255">
        <v>29441.65</v>
      </c>
      <c r="F30" s="3254" t="s">
        <v>3175</v>
      </c>
      <c r="G30" s="3255">
        <v>763.65</v>
      </c>
      <c r="H30" s="3254" t="s">
        <v>3181</v>
      </c>
      <c r="N30" s="3386" t="s">
        <v>3555</v>
      </c>
      <c r="O30" s="3382" t="s">
        <v>3598</v>
      </c>
      <c r="P30" s="3382" t="s">
        <v>3203</v>
      </c>
      <c r="Q30" s="3383">
        <v>30777.32</v>
      </c>
      <c r="R30" s="3280">
        <v>29441.65</v>
      </c>
      <c r="S30" s="3254" t="s">
        <v>3175</v>
      </c>
      <c r="T30" s="3255">
        <v>763.65</v>
      </c>
      <c r="U30" s="3254" t="s">
        <v>3181</v>
      </c>
      <c r="V30" s="3273">
        <f ca="1">ROUND(R30*$Z$7/10000+R30*$Z$9/10000,0)</f>
        <v>22535</v>
      </c>
      <c r="W30" s="3273">
        <v>21489</v>
      </c>
      <c r="AJ30" s="3283">
        <f t="shared" ca="1" si="0"/>
        <v>22676.1</v>
      </c>
      <c r="AK30" s="3284">
        <f t="shared" ca="1" si="1"/>
        <v>7367.8608091932638</v>
      </c>
      <c r="AL30" s="3262">
        <f t="shared" ca="1" si="2"/>
        <v>11886</v>
      </c>
      <c r="AM30" s="3262">
        <f t="shared" ca="1" si="3"/>
        <v>3862</v>
      </c>
      <c r="AN30" s="3262">
        <f ca="1">SUM(AP30:AR31)</f>
        <v>10790.1</v>
      </c>
      <c r="AO30" s="3278">
        <f ca="1">AN30*10000/Q30</f>
        <v>3505.8608091932633</v>
      </c>
      <c r="AP30" s="3262">
        <f ca="1">ROUND($AP$4*R30/$AP$2,1)</f>
        <v>10790.1</v>
      </c>
    </row>
    <row r="31" spans="1:44" ht="14.25">
      <c r="A31" s="3386"/>
      <c r="B31" s="3382"/>
      <c r="C31" s="3382"/>
      <c r="D31" s="3383"/>
      <c r="E31" s="3255">
        <v>572.02</v>
      </c>
      <c r="F31" s="3254" t="s">
        <v>3181</v>
      </c>
      <c r="G31" s="3255" t="s">
        <v>70</v>
      </c>
      <c r="H31" s="3255" t="s">
        <v>70</v>
      </c>
      <c r="N31" s="3386"/>
      <c r="O31" s="3382"/>
      <c r="P31" s="3382"/>
      <c r="Q31" s="3383"/>
      <c r="R31" s="3280">
        <v>572.02</v>
      </c>
      <c r="S31" s="3254" t="s">
        <v>3181</v>
      </c>
      <c r="T31" s="3255" t="s">
        <v>70</v>
      </c>
      <c r="U31" s="3255" t="s">
        <v>70</v>
      </c>
      <c r="V31" s="3273">
        <f ca="1">ROUND((T30+R31)*$Z$9/10000,0)</f>
        <v>640</v>
      </c>
      <c r="W31" s="3273">
        <v>686</v>
      </c>
      <c r="X31" s="3274">
        <f ca="1">V30+V31</f>
        <v>23175</v>
      </c>
      <c r="Y31" s="3262">
        <f>W30+W31</f>
        <v>22175</v>
      </c>
      <c r="AK31" s="3284"/>
      <c r="AM31" s="3262">
        <f t="shared" ca="1" si="3"/>
        <v>3862</v>
      </c>
      <c r="AO31" s="3278"/>
    </row>
    <row r="32" spans="1:44" ht="14.25">
      <c r="A32" s="3263" t="s">
        <v>3530</v>
      </c>
      <c r="B32" s="3256" t="s">
        <v>3205</v>
      </c>
      <c r="C32" s="3257" t="s">
        <v>3206</v>
      </c>
      <c r="D32" s="3256">
        <v>7993.56</v>
      </c>
      <c r="E32" s="3256">
        <v>7993.56</v>
      </c>
      <c r="F32" s="3257" t="s">
        <v>3204</v>
      </c>
      <c r="G32" s="3256">
        <v>0</v>
      </c>
      <c r="H32" s="3256" t="s">
        <v>70</v>
      </c>
      <c r="N32" s="3263" t="s">
        <v>3530</v>
      </c>
      <c r="O32" s="3256" t="s">
        <v>3205</v>
      </c>
      <c r="P32" s="3257" t="s">
        <v>3206</v>
      </c>
      <c r="Q32" s="3256">
        <v>7993.56</v>
      </c>
      <c r="R32" s="3281">
        <v>7993.56</v>
      </c>
      <c r="S32" s="3257" t="s">
        <v>3204</v>
      </c>
      <c r="T32" s="3256">
        <v>0</v>
      </c>
      <c r="U32" s="3256" t="s">
        <v>70</v>
      </c>
      <c r="V32" s="3273">
        <f ca="1">ROUND(R32*$Z$7/10000,0)+ROUND(R32*$Z$9/10000,0)</f>
        <v>6119</v>
      </c>
      <c r="W32" s="3273"/>
      <c r="AJ32" s="3283">
        <f t="shared" ca="1" si="0"/>
        <v>6016.6</v>
      </c>
      <c r="AK32" s="3284">
        <f t="shared" ca="1" si="1"/>
        <v>7526.950284979408</v>
      </c>
      <c r="AL32" s="3262">
        <f t="shared" ca="1" si="2"/>
        <v>3087</v>
      </c>
      <c r="AM32" s="3262">
        <f t="shared" ca="1" si="3"/>
        <v>3862</v>
      </c>
      <c r="AN32" s="3262">
        <f t="shared" ref="AN32:AN52" ca="1" si="9">AP32+AQ32+AR32</f>
        <v>2929.6</v>
      </c>
      <c r="AO32" s="3278">
        <f ca="1">AN32*10000/Q32</f>
        <v>3664.950284979408</v>
      </c>
      <c r="AP32" s="3262">
        <f t="shared" ref="AP32:AP52" ca="1" si="10">ROUND($AP$4*R32/$AP$2,1)</f>
        <v>2929.6</v>
      </c>
    </row>
    <row r="33" spans="1:43" ht="14.25">
      <c r="A33" s="3263" t="s">
        <v>3531</v>
      </c>
      <c r="B33" s="3256" t="s">
        <v>3207</v>
      </c>
      <c r="C33" s="3257" t="s">
        <v>3208</v>
      </c>
      <c r="D33" s="3256">
        <v>4717.6899999999996</v>
      </c>
      <c r="E33" s="3256">
        <v>4717.6899999999996</v>
      </c>
      <c r="F33" s="3257" t="s">
        <v>3179</v>
      </c>
      <c r="G33" s="3256">
        <v>0</v>
      </c>
      <c r="H33" s="3257" t="s">
        <v>3179</v>
      </c>
      <c r="N33" s="3263" t="s">
        <v>3531</v>
      </c>
      <c r="O33" s="3256" t="s">
        <v>3207</v>
      </c>
      <c r="P33" s="3257" t="s">
        <v>3208</v>
      </c>
      <c r="Q33" s="3256">
        <v>4717.6899999999996</v>
      </c>
      <c r="R33" s="3281">
        <v>4717.6899999999996</v>
      </c>
      <c r="S33" s="3257" t="s">
        <v>3179</v>
      </c>
      <c r="T33" s="3256">
        <v>0</v>
      </c>
      <c r="U33" s="3257" t="s">
        <v>3179</v>
      </c>
      <c r="V33" s="3273">
        <f ca="1">ROUND(R33*$Z$7/10000,0)+ROUND(R33*$Z$9/10000,0)</f>
        <v>3611</v>
      </c>
      <c r="W33" s="3273"/>
      <c r="AJ33" s="3283">
        <f t="shared" ca="1" si="0"/>
        <v>3551</v>
      </c>
      <c r="AK33" s="3284">
        <f t="shared" ca="1" si="1"/>
        <v>7526.9292344346495</v>
      </c>
      <c r="AL33" s="3262">
        <f t="shared" ca="1" si="2"/>
        <v>1822</v>
      </c>
      <c r="AM33" s="3262">
        <f t="shared" ca="1" si="3"/>
        <v>3862</v>
      </c>
      <c r="AN33" s="3262">
        <f t="shared" ca="1" si="9"/>
        <v>1729</v>
      </c>
      <c r="AO33" s="3278">
        <f t="shared" ref="AO33:AO52" ca="1" si="11">AN33*10000/Q33</f>
        <v>3664.9292344346495</v>
      </c>
      <c r="AP33" s="3262">
        <f t="shared" ca="1" si="10"/>
        <v>1729</v>
      </c>
    </row>
    <row r="34" spans="1:43" ht="14.25">
      <c r="A34" s="3263" t="s">
        <v>3533</v>
      </c>
      <c r="B34" s="3256" t="s">
        <v>3209</v>
      </c>
      <c r="C34" s="3257" t="s">
        <v>3210</v>
      </c>
      <c r="D34" s="3256">
        <v>4840.3</v>
      </c>
      <c r="E34" s="3256">
        <v>4242.57</v>
      </c>
      <c r="F34" s="3257" t="s">
        <v>3179</v>
      </c>
      <c r="G34" s="3256">
        <v>597.73</v>
      </c>
      <c r="H34" s="3257" t="s">
        <v>3179</v>
      </c>
      <c r="N34" s="3263" t="s">
        <v>3533</v>
      </c>
      <c r="O34" s="3256" t="s">
        <v>3209</v>
      </c>
      <c r="P34" s="3257" t="s">
        <v>3210</v>
      </c>
      <c r="Q34" s="3256">
        <v>4840.3</v>
      </c>
      <c r="R34" s="3281">
        <v>4242.57</v>
      </c>
      <c r="S34" s="3257" t="s">
        <v>3179</v>
      </c>
      <c r="T34" s="3256">
        <v>597.73</v>
      </c>
      <c r="U34" s="3257" t="s">
        <v>3179</v>
      </c>
      <c r="V34" s="3273">
        <f ca="1">ROUND(R34*$Z$7/10000,0)+ROUND(T34*$AA$7/10000,0)+ROUND(R34*$Z$9/10000,0)+ROUND(T34*$Z$9/10000,0)</f>
        <v>3542</v>
      </c>
      <c r="W34" s="3273"/>
      <c r="AJ34" s="3283">
        <f t="shared" ca="1" si="0"/>
        <v>3539.3</v>
      </c>
      <c r="AK34" s="3284">
        <f t="shared" ca="1" si="1"/>
        <v>7312.8191641013991</v>
      </c>
      <c r="AL34" s="3262">
        <f t="shared" ca="1" si="2"/>
        <v>1869</v>
      </c>
      <c r="AM34" s="3262">
        <f t="shared" ca="1" si="3"/>
        <v>3862</v>
      </c>
      <c r="AN34" s="3262">
        <f t="shared" ca="1" si="9"/>
        <v>1670.3000000000002</v>
      </c>
      <c r="AO34" s="3278">
        <f t="shared" ca="1" si="11"/>
        <v>3450.8191641013991</v>
      </c>
      <c r="AP34" s="3262">
        <f t="shared" ca="1" si="10"/>
        <v>1554.9</v>
      </c>
      <c r="AQ34" s="3262">
        <f t="shared" ref="AQ34:AQ52" ca="1" si="12">ROUND($AQ$4*T34/$AQ$2,1)</f>
        <v>115.4</v>
      </c>
    </row>
    <row r="35" spans="1:43" ht="14.25">
      <c r="A35" s="3263" t="s">
        <v>3534</v>
      </c>
      <c r="B35" s="3256" t="s">
        <v>3211</v>
      </c>
      <c r="C35" s="3257" t="s">
        <v>3212</v>
      </c>
      <c r="D35" s="3256">
        <v>5340.98</v>
      </c>
      <c r="E35" s="3256">
        <v>4733.1400000000003</v>
      </c>
      <c r="F35" s="3257" t="s">
        <v>3179</v>
      </c>
      <c r="G35" s="3256">
        <v>607.84</v>
      </c>
      <c r="H35" s="3257" t="s">
        <v>3179</v>
      </c>
      <c r="N35" s="3263" t="s">
        <v>3534</v>
      </c>
      <c r="O35" s="3256" t="s">
        <v>3211</v>
      </c>
      <c r="P35" s="3257" t="s">
        <v>3212</v>
      </c>
      <c r="Q35" s="3256">
        <v>5340.98</v>
      </c>
      <c r="R35" s="3281">
        <v>4733.1400000000003</v>
      </c>
      <c r="S35" s="3257" t="s">
        <v>3179</v>
      </c>
      <c r="T35" s="3256">
        <v>607.84</v>
      </c>
      <c r="U35" s="3257" t="s">
        <v>3179</v>
      </c>
      <c r="V35" s="3273">
        <f t="shared" ref="V35:V52" ca="1" si="13">ROUND(R35*$Z$7/10000,0)+ROUND(T35*$AA$7/10000,0)+ROUND(R35*$Z$9/10000,0)+ROUND(T35*$Z$9/10000,0)</f>
        <v>3923</v>
      </c>
      <c r="W35" s="3273"/>
      <c r="AJ35" s="3283">
        <f t="shared" ca="1" si="0"/>
        <v>3915.1000000000004</v>
      </c>
      <c r="AK35" s="3284">
        <f t="shared" ca="1" si="1"/>
        <v>7329.7156626686492</v>
      </c>
      <c r="AL35" s="3262">
        <f t="shared" ca="1" si="2"/>
        <v>2063</v>
      </c>
      <c r="AM35" s="3262">
        <f t="shared" ca="1" si="3"/>
        <v>3862</v>
      </c>
      <c r="AN35" s="3262">
        <f t="shared" ca="1" si="9"/>
        <v>1852.1000000000001</v>
      </c>
      <c r="AO35" s="3278">
        <f t="shared" ca="1" si="11"/>
        <v>3467.7156626686492</v>
      </c>
      <c r="AP35" s="3262">
        <f t="shared" ca="1" si="10"/>
        <v>1734.7</v>
      </c>
      <c r="AQ35" s="3262">
        <f t="shared" ca="1" si="12"/>
        <v>117.4</v>
      </c>
    </row>
    <row r="36" spans="1:43" ht="14.25">
      <c r="A36" s="3265" t="s">
        <v>3535</v>
      </c>
      <c r="B36" s="3260" t="s">
        <v>3601</v>
      </c>
      <c r="C36" s="3261" t="s">
        <v>3602</v>
      </c>
      <c r="D36" s="3260">
        <v>4948.1099999999997</v>
      </c>
      <c r="E36" s="3260">
        <v>4248.6000000000004</v>
      </c>
      <c r="F36" s="3261" t="s">
        <v>3179</v>
      </c>
      <c r="G36" s="3260">
        <v>699.51</v>
      </c>
      <c r="H36" s="3261" t="s">
        <v>3179</v>
      </c>
      <c r="N36" s="3265" t="s">
        <v>3535</v>
      </c>
      <c r="O36" s="3260" t="s">
        <v>3601</v>
      </c>
      <c r="P36" s="3261" t="s">
        <v>3602</v>
      </c>
      <c r="Q36" s="3260">
        <v>4948.1099999999997</v>
      </c>
      <c r="R36" s="3282">
        <v>4248.6000000000004</v>
      </c>
      <c r="S36" s="3261" t="s">
        <v>3179</v>
      </c>
      <c r="T36" s="3260">
        <v>699.51</v>
      </c>
      <c r="U36" s="3261" t="s">
        <v>3179</v>
      </c>
      <c r="V36" s="3273">
        <f t="shared" ca="1" si="13"/>
        <v>3597</v>
      </c>
      <c r="W36" s="3273"/>
      <c r="AJ36" s="3283">
        <f t="shared" ca="1" si="0"/>
        <v>3603.2</v>
      </c>
      <c r="AK36" s="3284">
        <f t="shared" ca="1" si="1"/>
        <v>7281.8916353920995</v>
      </c>
      <c r="AL36" s="3262">
        <f t="shared" ca="1" si="2"/>
        <v>1911</v>
      </c>
      <c r="AM36" s="3262">
        <f t="shared" ca="1" si="3"/>
        <v>3862</v>
      </c>
      <c r="AN36" s="3262">
        <f t="shared" ca="1" si="9"/>
        <v>1692.1999999999998</v>
      </c>
      <c r="AO36" s="3278">
        <f t="shared" ca="1" si="11"/>
        <v>3419.8916353920995</v>
      </c>
      <c r="AP36" s="3262">
        <f t="shared" ca="1" si="10"/>
        <v>1557.1</v>
      </c>
      <c r="AQ36" s="3262">
        <f t="shared" ca="1" si="12"/>
        <v>135.1</v>
      </c>
    </row>
    <row r="37" spans="1:43" s="3266" customFormat="1" ht="14.25">
      <c r="A37" s="3265" t="s">
        <v>3536</v>
      </c>
      <c r="B37" s="3260" t="s">
        <v>3637</v>
      </c>
      <c r="C37" s="3261" t="s">
        <v>3603</v>
      </c>
      <c r="D37" s="3260">
        <v>3183.86</v>
      </c>
      <c r="E37" s="3260">
        <v>2478.65</v>
      </c>
      <c r="F37" s="3261" t="s">
        <v>3179</v>
      </c>
      <c r="G37" s="3260">
        <v>705.21</v>
      </c>
      <c r="H37" s="3261" t="s">
        <v>3179</v>
      </c>
      <c r="N37" s="3265" t="s">
        <v>3536</v>
      </c>
      <c r="O37" s="3260" t="s">
        <v>3637</v>
      </c>
      <c r="P37" s="3261" t="s">
        <v>3603</v>
      </c>
      <c r="Q37" s="3260">
        <v>3183.86</v>
      </c>
      <c r="R37" s="3282">
        <v>2478.65</v>
      </c>
      <c r="S37" s="3261" t="s">
        <v>3179</v>
      </c>
      <c r="T37" s="3260">
        <v>705.21</v>
      </c>
      <c r="U37" s="3261" t="s">
        <v>3179</v>
      </c>
      <c r="V37" s="3273">
        <f t="shared" ca="1" si="13"/>
        <v>2245</v>
      </c>
      <c r="W37" s="3273"/>
      <c r="AJ37" s="3283">
        <f t="shared" ca="1" si="0"/>
        <v>2274.6</v>
      </c>
      <c r="AK37" s="3284">
        <f t="shared" ca="1" si="1"/>
        <v>7142.9231561689267</v>
      </c>
      <c r="AL37" s="3262">
        <f t="shared" ca="1" si="2"/>
        <v>1230</v>
      </c>
      <c r="AM37" s="3262">
        <f t="shared" ca="1" si="3"/>
        <v>3862</v>
      </c>
      <c r="AN37" s="3262">
        <f t="shared" ca="1" si="9"/>
        <v>1044.5999999999999</v>
      </c>
      <c r="AO37" s="3278">
        <f t="shared" ca="1" si="11"/>
        <v>3280.9231561689271</v>
      </c>
      <c r="AP37" s="3262">
        <f t="shared" ca="1" si="10"/>
        <v>908.4</v>
      </c>
      <c r="AQ37" s="3262">
        <f t="shared" ca="1" si="12"/>
        <v>136.19999999999999</v>
      </c>
    </row>
    <row r="38" spans="1:43" ht="14.25">
      <c r="A38" s="3265" t="s">
        <v>3537</v>
      </c>
      <c r="B38" s="3260" t="s">
        <v>3604</v>
      </c>
      <c r="C38" s="3261" t="s">
        <v>3605</v>
      </c>
      <c r="D38" s="3260">
        <v>3116.17</v>
      </c>
      <c r="E38" s="3260">
        <v>2448.34</v>
      </c>
      <c r="F38" s="3261" t="s">
        <v>3179</v>
      </c>
      <c r="G38" s="3260">
        <v>667.83</v>
      </c>
      <c r="H38" s="3261" t="s">
        <v>3179</v>
      </c>
      <c r="N38" s="3265" t="s">
        <v>3537</v>
      </c>
      <c r="O38" s="3260" t="s">
        <v>3604</v>
      </c>
      <c r="P38" s="3261" t="s">
        <v>3605</v>
      </c>
      <c r="Q38" s="3260">
        <v>3116.17</v>
      </c>
      <c r="R38" s="3282">
        <v>2448.34</v>
      </c>
      <c r="S38" s="3261" t="s">
        <v>3179</v>
      </c>
      <c r="T38" s="3260">
        <v>667.83</v>
      </c>
      <c r="U38" s="3261" t="s">
        <v>3179</v>
      </c>
      <c r="V38" s="3273">
        <f t="shared" ca="1" si="13"/>
        <v>2204</v>
      </c>
      <c r="W38" s="3273"/>
      <c r="AJ38" s="3283">
        <f t="shared" ca="1" si="0"/>
        <v>2229.3000000000002</v>
      </c>
      <c r="AK38" s="3284">
        <f t="shared" ca="1" si="1"/>
        <v>7155.4660175792724</v>
      </c>
      <c r="AL38" s="3262">
        <f t="shared" ca="1" si="2"/>
        <v>1203</v>
      </c>
      <c r="AM38" s="3262">
        <f t="shared" ca="1" si="3"/>
        <v>3862</v>
      </c>
      <c r="AN38" s="3262">
        <f t="shared" ca="1" si="9"/>
        <v>1026.3</v>
      </c>
      <c r="AO38" s="3278">
        <f t="shared" ca="1" si="11"/>
        <v>3293.4660175792719</v>
      </c>
      <c r="AP38" s="3262">
        <f t="shared" ca="1" si="10"/>
        <v>897.3</v>
      </c>
      <c r="AQ38" s="3262">
        <f t="shared" ca="1" si="12"/>
        <v>129</v>
      </c>
    </row>
    <row r="39" spans="1:43" ht="14.25">
      <c r="A39" s="3265" t="s">
        <v>3538</v>
      </c>
      <c r="B39" s="3260" t="s">
        <v>3606</v>
      </c>
      <c r="C39" s="3261" t="s">
        <v>3607</v>
      </c>
      <c r="D39" s="3260">
        <v>3174.85</v>
      </c>
      <c r="E39" s="3260">
        <v>2478.65</v>
      </c>
      <c r="F39" s="3261" t="s">
        <v>3179</v>
      </c>
      <c r="G39" s="3260">
        <v>696.2</v>
      </c>
      <c r="H39" s="3261" t="s">
        <v>3179</v>
      </c>
      <c r="N39" s="3265" t="s">
        <v>3538</v>
      </c>
      <c r="O39" s="3260" t="s">
        <v>3606</v>
      </c>
      <c r="P39" s="3261" t="s">
        <v>3607</v>
      </c>
      <c r="Q39" s="3260">
        <v>3174.85</v>
      </c>
      <c r="R39" s="3282">
        <v>2478.65</v>
      </c>
      <c r="S39" s="3261" t="s">
        <v>3179</v>
      </c>
      <c r="T39" s="3260">
        <v>696.2</v>
      </c>
      <c r="U39" s="3261" t="s">
        <v>3179</v>
      </c>
      <c r="V39" s="3273">
        <f t="shared" ca="1" si="13"/>
        <v>2241</v>
      </c>
      <c r="W39" s="3273"/>
      <c r="AJ39" s="3283">
        <f t="shared" ca="1" si="0"/>
        <v>2268.8000000000002</v>
      </c>
      <c r="AK39" s="3284">
        <f t="shared" ca="1" si="1"/>
        <v>7146.5646251003982</v>
      </c>
      <c r="AL39" s="3262">
        <f t="shared" ca="1" si="2"/>
        <v>1226</v>
      </c>
      <c r="AM39" s="3262">
        <f t="shared" ca="1" si="3"/>
        <v>3862</v>
      </c>
      <c r="AN39" s="3262">
        <f t="shared" ca="1" si="9"/>
        <v>1042.8</v>
      </c>
      <c r="AO39" s="3278">
        <f t="shared" ca="1" si="11"/>
        <v>3284.5646251003986</v>
      </c>
      <c r="AP39" s="3262">
        <f t="shared" ca="1" si="10"/>
        <v>908.4</v>
      </c>
      <c r="AQ39" s="3262">
        <f t="shared" ca="1" si="12"/>
        <v>134.4</v>
      </c>
    </row>
    <row r="40" spans="1:43" ht="14.25">
      <c r="A40" s="3265" t="s">
        <v>3539</v>
      </c>
      <c r="B40" s="3260" t="s">
        <v>3608</v>
      </c>
      <c r="C40" s="3261" t="s">
        <v>3609</v>
      </c>
      <c r="D40" s="3260">
        <v>3066.13</v>
      </c>
      <c r="E40" s="3260">
        <v>2448.34</v>
      </c>
      <c r="F40" s="3261" t="s">
        <v>3179</v>
      </c>
      <c r="G40" s="3260">
        <v>617.79</v>
      </c>
      <c r="H40" s="3261" t="s">
        <v>3179</v>
      </c>
      <c r="N40" s="3265" t="s">
        <v>3539</v>
      </c>
      <c r="O40" s="3260" t="s">
        <v>3608</v>
      </c>
      <c r="P40" s="3261" t="s">
        <v>3609</v>
      </c>
      <c r="Q40" s="3260">
        <v>3066.13</v>
      </c>
      <c r="R40" s="3282">
        <v>2448.34</v>
      </c>
      <c r="S40" s="3261" t="s">
        <v>3179</v>
      </c>
      <c r="T40" s="3260">
        <v>617.79</v>
      </c>
      <c r="U40" s="3261" t="s">
        <v>3179</v>
      </c>
      <c r="V40" s="3273">
        <f t="shared" ca="1" si="13"/>
        <v>2179</v>
      </c>
      <c r="W40" s="3273"/>
      <c r="AJ40" s="3283">
        <f t="shared" ca="1" si="0"/>
        <v>2200.6</v>
      </c>
      <c r="AK40" s="3284">
        <f t="shared" ca="1" si="1"/>
        <v>7177.5802265396442</v>
      </c>
      <c r="AL40" s="3262">
        <f t="shared" ca="1" si="2"/>
        <v>1184</v>
      </c>
      <c r="AM40" s="3262">
        <f t="shared" ca="1" si="3"/>
        <v>3862</v>
      </c>
      <c r="AN40" s="3262">
        <f t="shared" ca="1" si="9"/>
        <v>1016.5999999999999</v>
      </c>
      <c r="AO40" s="3278">
        <f t="shared" ca="1" si="11"/>
        <v>3315.5802265396442</v>
      </c>
      <c r="AP40" s="3262">
        <f t="shared" ca="1" si="10"/>
        <v>897.3</v>
      </c>
      <c r="AQ40" s="3262">
        <f t="shared" ca="1" si="12"/>
        <v>119.3</v>
      </c>
    </row>
    <row r="41" spans="1:43" ht="14.25">
      <c r="A41" s="3265" t="s">
        <v>3540</v>
      </c>
      <c r="B41" s="3260" t="s">
        <v>3610</v>
      </c>
      <c r="C41" s="3261" t="s">
        <v>3611</v>
      </c>
      <c r="D41" s="3260">
        <v>2961.87</v>
      </c>
      <c r="E41" s="3260">
        <v>2478.65</v>
      </c>
      <c r="F41" s="3261" t="s">
        <v>3179</v>
      </c>
      <c r="G41" s="3260">
        <v>483.22</v>
      </c>
      <c r="H41" s="3261" t="s">
        <v>3179</v>
      </c>
      <c r="N41" s="3265" t="s">
        <v>3540</v>
      </c>
      <c r="O41" s="3260" t="s">
        <v>3610</v>
      </c>
      <c r="P41" s="3261" t="s">
        <v>3611</v>
      </c>
      <c r="Q41" s="3260">
        <v>2961.87</v>
      </c>
      <c r="R41" s="3282">
        <v>2478.65</v>
      </c>
      <c r="S41" s="3261" t="s">
        <v>3179</v>
      </c>
      <c r="T41" s="3260">
        <v>483.22</v>
      </c>
      <c r="U41" s="3261" t="s">
        <v>3179</v>
      </c>
      <c r="V41" s="3273">
        <f t="shared" ca="1" si="13"/>
        <v>2136</v>
      </c>
      <c r="W41" s="3273"/>
      <c r="AJ41" s="3283">
        <f t="shared" ca="1" si="0"/>
        <v>2145.6999999999998</v>
      </c>
      <c r="AK41" s="3284">
        <f t="shared" ca="1" si="1"/>
        <v>7243.9850297278408</v>
      </c>
      <c r="AL41" s="3262">
        <f t="shared" ca="1" si="2"/>
        <v>1144</v>
      </c>
      <c r="AM41" s="3262">
        <f t="shared" ca="1" si="3"/>
        <v>3862</v>
      </c>
      <c r="AN41" s="3262">
        <f t="shared" ca="1" si="9"/>
        <v>1001.6999999999999</v>
      </c>
      <c r="AO41" s="3278">
        <f t="shared" ca="1" si="11"/>
        <v>3381.9850297278408</v>
      </c>
      <c r="AP41" s="3262">
        <f t="shared" ca="1" si="10"/>
        <v>908.4</v>
      </c>
      <c r="AQ41" s="3262">
        <f t="shared" ca="1" si="12"/>
        <v>93.3</v>
      </c>
    </row>
    <row r="42" spans="1:43" ht="14.25">
      <c r="A42" s="3265" t="s">
        <v>3541</v>
      </c>
      <c r="B42" s="3260" t="s">
        <v>3612</v>
      </c>
      <c r="C42" s="3261" t="s">
        <v>3613</v>
      </c>
      <c r="D42" s="3260">
        <v>5232.26</v>
      </c>
      <c r="E42" s="3260">
        <v>4632.58</v>
      </c>
      <c r="F42" s="3261" t="s">
        <v>3179</v>
      </c>
      <c r="G42" s="3260">
        <v>599.67999999999995</v>
      </c>
      <c r="H42" s="3261" t="s">
        <v>3179</v>
      </c>
      <c r="N42" s="3265" t="s">
        <v>3541</v>
      </c>
      <c r="O42" s="3260" t="s">
        <v>3612</v>
      </c>
      <c r="P42" s="3261" t="s">
        <v>3613</v>
      </c>
      <c r="Q42" s="3260">
        <v>5232.26</v>
      </c>
      <c r="R42" s="3282">
        <v>4632.58</v>
      </c>
      <c r="S42" s="3261" t="s">
        <v>3179</v>
      </c>
      <c r="T42" s="3260">
        <v>599.67999999999995</v>
      </c>
      <c r="U42" s="3261" t="s">
        <v>3179</v>
      </c>
      <c r="V42" s="3273">
        <f t="shared" ca="1" si="13"/>
        <v>3842</v>
      </c>
      <c r="W42" s="3273"/>
      <c r="AJ42" s="3283">
        <f t="shared" ca="1" si="0"/>
        <v>3834.6</v>
      </c>
      <c r="AK42" s="3284">
        <f t="shared" ca="1" si="1"/>
        <v>7328.1886068352869</v>
      </c>
      <c r="AL42" s="3262">
        <f t="shared" ca="1" si="2"/>
        <v>2021</v>
      </c>
      <c r="AM42" s="3262">
        <f t="shared" ca="1" si="3"/>
        <v>3862</v>
      </c>
      <c r="AN42" s="3262">
        <f t="shared" ca="1" si="9"/>
        <v>1813.6</v>
      </c>
      <c r="AO42" s="3278">
        <f t="shared" ca="1" si="11"/>
        <v>3466.1886068352869</v>
      </c>
      <c r="AP42" s="3262">
        <f t="shared" ca="1" si="10"/>
        <v>1697.8</v>
      </c>
      <c r="AQ42" s="3262">
        <f t="shared" ca="1" si="12"/>
        <v>115.8</v>
      </c>
    </row>
    <row r="43" spans="1:43" ht="14.25">
      <c r="A43" s="3265" t="s">
        <v>3542</v>
      </c>
      <c r="B43" s="3260" t="s">
        <v>3614</v>
      </c>
      <c r="C43" s="3261" t="s">
        <v>3615</v>
      </c>
      <c r="D43" s="3260">
        <v>2973.32</v>
      </c>
      <c r="E43" s="3260">
        <v>2478.65</v>
      </c>
      <c r="F43" s="3261" t="s">
        <v>3179</v>
      </c>
      <c r="G43" s="3260">
        <v>494.67</v>
      </c>
      <c r="H43" s="3261" t="s">
        <v>3179</v>
      </c>
      <c r="N43" s="3265" t="s">
        <v>3542</v>
      </c>
      <c r="O43" s="3260" t="s">
        <v>3614</v>
      </c>
      <c r="P43" s="3261" t="s">
        <v>3615</v>
      </c>
      <c r="Q43" s="3260">
        <v>2973.32</v>
      </c>
      <c r="R43" s="3282">
        <v>2478.65</v>
      </c>
      <c r="S43" s="3261" t="s">
        <v>3179</v>
      </c>
      <c r="T43" s="3260">
        <v>494.67</v>
      </c>
      <c r="U43" s="3261" t="s">
        <v>3179</v>
      </c>
      <c r="V43" s="3273">
        <f t="shared" ca="1" si="13"/>
        <v>2141</v>
      </c>
      <c r="W43" s="3273"/>
      <c r="AJ43" s="3283">
        <f t="shared" ca="1" si="0"/>
        <v>2151.9</v>
      </c>
      <c r="AK43" s="3284">
        <f t="shared" ca="1" si="1"/>
        <v>7238.3604321095609</v>
      </c>
      <c r="AL43" s="3262">
        <f t="shared" ca="1" si="2"/>
        <v>1148</v>
      </c>
      <c r="AM43" s="3262">
        <f t="shared" ca="1" si="3"/>
        <v>3862</v>
      </c>
      <c r="AN43" s="3262">
        <f t="shared" ca="1" si="9"/>
        <v>1003.9</v>
      </c>
      <c r="AO43" s="3278">
        <f t="shared" ca="1" si="11"/>
        <v>3376.3604321095609</v>
      </c>
      <c r="AP43" s="3262">
        <f t="shared" ca="1" si="10"/>
        <v>908.4</v>
      </c>
      <c r="AQ43" s="3262">
        <f t="shared" ca="1" si="12"/>
        <v>95.5</v>
      </c>
    </row>
    <row r="44" spans="1:43" ht="14.25">
      <c r="A44" s="3265" t="s">
        <v>3543</v>
      </c>
      <c r="B44" s="3260" t="s">
        <v>3616</v>
      </c>
      <c r="C44" s="3261" t="s">
        <v>3617</v>
      </c>
      <c r="D44" s="3260">
        <v>3090.4</v>
      </c>
      <c r="E44" s="3260">
        <v>2478.65</v>
      </c>
      <c r="F44" s="3261" t="s">
        <v>3179</v>
      </c>
      <c r="G44" s="3260">
        <v>611.75</v>
      </c>
      <c r="H44" s="3261" t="s">
        <v>3179</v>
      </c>
      <c r="N44" s="3265" t="s">
        <v>3543</v>
      </c>
      <c r="O44" s="3260" t="s">
        <v>3616</v>
      </c>
      <c r="P44" s="3261" t="s">
        <v>3617</v>
      </c>
      <c r="Q44" s="3260">
        <v>3090.4</v>
      </c>
      <c r="R44" s="3282">
        <v>2478.65</v>
      </c>
      <c r="S44" s="3261" t="s">
        <v>3179</v>
      </c>
      <c r="T44" s="3260">
        <v>611.75</v>
      </c>
      <c r="U44" s="3261" t="s">
        <v>3179</v>
      </c>
      <c r="V44" s="3273">
        <f t="shared" ca="1" si="13"/>
        <v>2199</v>
      </c>
      <c r="W44" s="3273"/>
      <c r="AJ44" s="3283">
        <f t="shared" ca="1" si="0"/>
        <v>2220.5</v>
      </c>
      <c r="AK44" s="3284">
        <f t="shared" ca="1" si="1"/>
        <v>7183.576494952109</v>
      </c>
      <c r="AL44" s="3262">
        <f t="shared" ca="1" si="2"/>
        <v>1194</v>
      </c>
      <c r="AM44" s="3262">
        <f t="shared" ca="1" si="3"/>
        <v>3862</v>
      </c>
      <c r="AN44" s="3262">
        <f t="shared" ca="1" si="9"/>
        <v>1026.5</v>
      </c>
      <c r="AO44" s="3278">
        <f t="shared" ca="1" si="11"/>
        <v>3321.5764949521094</v>
      </c>
      <c r="AP44" s="3262">
        <f t="shared" ca="1" si="10"/>
        <v>908.4</v>
      </c>
      <c r="AQ44" s="3262">
        <f t="shared" ca="1" si="12"/>
        <v>118.1</v>
      </c>
    </row>
    <row r="45" spans="1:43" ht="14.25">
      <c r="A45" s="3265" t="s">
        <v>3544</v>
      </c>
      <c r="B45" s="3260" t="s">
        <v>3618</v>
      </c>
      <c r="C45" s="3261" t="s">
        <v>3619</v>
      </c>
      <c r="D45" s="3260">
        <v>3054.31</v>
      </c>
      <c r="E45" s="3260">
        <v>2448.34</v>
      </c>
      <c r="F45" s="3261" t="s">
        <v>3179</v>
      </c>
      <c r="G45" s="3260">
        <v>605.97</v>
      </c>
      <c r="H45" s="3261" t="s">
        <v>3179</v>
      </c>
      <c r="N45" s="3265" t="s">
        <v>3544</v>
      </c>
      <c r="O45" s="3260" t="s">
        <v>3618</v>
      </c>
      <c r="P45" s="3261" t="s">
        <v>3619</v>
      </c>
      <c r="Q45" s="3260">
        <v>3054.31</v>
      </c>
      <c r="R45" s="3282">
        <v>2448.34</v>
      </c>
      <c r="S45" s="3261" t="s">
        <v>3179</v>
      </c>
      <c r="T45" s="3260">
        <v>605.97</v>
      </c>
      <c r="U45" s="3261" t="s">
        <v>3179</v>
      </c>
      <c r="V45" s="3273">
        <f t="shared" ca="1" si="13"/>
        <v>2173</v>
      </c>
      <c r="W45" s="3273"/>
      <c r="AJ45" s="3283">
        <f t="shared" ca="1" si="0"/>
        <v>2194.3000000000002</v>
      </c>
      <c r="AK45" s="3284">
        <f t="shared" ca="1" si="1"/>
        <v>7182.8809845758951</v>
      </c>
      <c r="AL45" s="3262">
        <f t="shared" ca="1" si="2"/>
        <v>1180</v>
      </c>
      <c r="AM45" s="3262">
        <f t="shared" ca="1" si="3"/>
        <v>3862</v>
      </c>
      <c r="AN45" s="3262">
        <f t="shared" ca="1" si="9"/>
        <v>1014.3</v>
      </c>
      <c r="AO45" s="3278">
        <f t="shared" ca="1" si="11"/>
        <v>3320.8809845758947</v>
      </c>
      <c r="AP45" s="3262">
        <f t="shared" ca="1" si="10"/>
        <v>897.3</v>
      </c>
      <c r="AQ45" s="3262">
        <f t="shared" ca="1" si="12"/>
        <v>117</v>
      </c>
    </row>
    <row r="46" spans="1:43" ht="14.25">
      <c r="A46" s="3265" t="s">
        <v>3545</v>
      </c>
      <c r="B46" s="3260" t="s">
        <v>3620</v>
      </c>
      <c r="C46" s="3261" t="s">
        <v>3621</v>
      </c>
      <c r="D46" s="3260">
        <v>4939.6499999999996</v>
      </c>
      <c r="E46" s="3260">
        <v>4269.8100000000004</v>
      </c>
      <c r="F46" s="3261" t="s">
        <v>3179</v>
      </c>
      <c r="G46" s="3260">
        <v>669.84</v>
      </c>
      <c r="H46" s="3261" t="s">
        <v>3179</v>
      </c>
      <c r="N46" s="3265" t="s">
        <v>3545</v>
      </c>
      <c r="O46" s="3260" t="s">
        <v>3620</v>
      </c>
      <c r="P46" s="3261" t="s">
        <v>3621</v>
      </c>
      <c r="Q46" s="3260">
        <v>4939.6499999999996</v>
      </c>
      <c r="R46" s="3282">
        <v>4269.8100000000004</v>
      </c>
      <c r="S46" s="3261" t="s">
        <v>3179</v>
      </c>
      <c r="T46" s="3260">
        <v>669.84</v>
      </c>
      <c r="U46" s="3261" t="s">
        <v>3179</v>
      </c>
      <c r="V46" s="3273">
        <f t="shared" ca="1" si="13"/>
        <v>3599</v>
      </c>
      <c r="W46" s="3273"/>
      <c r="AJ46" s="3283">
        <f t="shared" ca="1" si="0"/>
        <v>3602.2</v>
      </c>
      <c r="AK46" s="3284">
        <f t="shared" ca="1" si="1"/>
        <v>7291.7976577287864</v>
      </c>
      <c r="AL46" s="3262">
        <f t="shared" ca="1" si="2"/>
        <v>1908</v>
      </c>
      <c r="AM46" s="3262">
        <f t="shared" ca="1" si="3"/>
        <v>3862</v>
      </c>
      <c r="AN46" s="3262">
        <f t="shared" ca="1" si="9"/>
        <v>1694.2</v>
      </c>
      <c r="AO46" s="3278">
        <f t="shared" ca="1" si="11"/>
        <v>3429.7976577287868</v>
      </c>
      <c r="AP46" s="3262">
        <f t="shared" ca="1" si="10"/>
        <v>1564.9</v>
      </c>
      <c r="AQ46" s="3262">
        <f t="shared" ca="1" si="12"/>
        <v>129.30000000000001</v>
      </c>
    </row>
    <row r="47" spans="1:43" s="3266" customFormat="1" ht="14.25">
      <c r="A47" s="3265" t="s">
        <v>3546</v>
      </c>
      <c r="B47" s="3260" t="s">
        <v>3638</v>
      </c>
      <c r="C47" s="3261" t="s">
        <v>3639</v>
      </c>
      <c r="D47" s="3260">
        <v>3035.85</v>
      </c>
      <c r="E47" s="3260">
        <v>2478.65</v>
      </c>
      <c r="F47" s="3261" t="s">
        <v>3179</v>
      </c>
      <c r="G47" s="3260">
        <v>557.20000000000005</v>
      </c>
      <c r="H47" s="3261" t="s">
        <v>3179</v>
      </c>
      <c r="N47" s="3265" t="s">
        <v>3546</v>
      </c>
      <c r="O47" s="3260" t="s">
        <v>3638</v>
      </c>
      <c r="P47" s="3261" t="s">
        <v>3639</v>
      </c>
      <c r="Q47" s="3260">
        <v>3035.85</v>
      </c>
      <c r="R47" s="3282">
        <v>2478.65</v>
      </c>
      <c r="S47" s="3261" t="s">
        <v>3179</v>
      </c>
      <c r="T47" s="3260">
        <v>557.20000000000005</v>
      </c>
      <c r="U47" s="3261" t="s">
        <v>3179</v>
      </c>
      <c r="V47" s="3273">
        <f t="shared" ca="1" si="13"/>
        <v>2172</v>
      </c>
      <c r="W47" s="3273"/>
      <c r="AJ47" s="3283">
        <f t="shared" ca="1" si="0"/>
        <v>2188</v>
      </c>
      <c r="AK47" s="3284">
        <f t="shared" ca="1" si="1"/>
        <v>7208.6739134015188</v>
      </c>
      <c r="AL47" s="3262">
        <f t="shared" ca="1" si="2"/>
        <v>1172</v>
      </c>
      <c r="AM47" s="3262">
        <f t="shared" ca="1" si="3"/>
        <v>3862</v>
      </c>
      <c r="AN47" s="3262">
        <f t="shared" ca="1" si="9"/>
        <v>1016</v>
      </c>
      <c r="AO47" s="3278">
        <f t="shared" ca="1" si="11"/>
        <v>3346.6739134015188</v>
      </c>
      <c r="AP47" s="3262">
        <f t="shared" ca="1" si="10"/>
        <v>908.4</v>
      </c>
      <c r="AQ47" s="3262">
        <f t="shared" ca="1" si="12"/>
        <v>107.6</v>
      </c>
    </row>
    <row r="48" spans="1:43" ht="14.25">
      <c r="A48" s="3265" t="s">
        <v>3547</v>
      </c>
      <c r="B48" s="3260" t="s">
        <v>3622</v>
      </c>
      <c r="C48" s="3261" t="s">
        <v>3623</v>
      </c>
      <c r="D48" s="3260">
        <v>2920.62</v>
      </c>
      <c r="E48" s="3260">
        <v>2448.34</v>
      </c>
      <c r="F48" s="3261" t="s">
        <v>3179</v>
      </c>
      <c r="G48" s="3260">
        <v>472.28</v>
      </c>
      <c r="H48" s="3261" t="s">
        <v>3179</v>
      </c>
      <c r="N48" s="3265" t="s">
        <v>3547</v>
      </c>
      <c r="O48" s="3260" t="s">
        <v>3622</v>
      </c>
      <c r="P48" s="3261" t="s">
        <v>3623</v>
      </c>
      <c r="Q48" s="3260">
        <v>2920.62</v>
      </c>
      <c r="R48" s="3282">
        <v>2448.34</v>
      </c>
      <c r="S48" s="3261" t="s">
        <v>3179</v>
      </c>
      <c r="T48" s="3260">
        <v>472.28</v>
      </c>
      <c r="U48" s="3261" t="s">
        <v>3179</v>
      </c>
      <c r="V48" s="3273">
        <f t="shared" ca="1" si="13"/>
        <v>2107</v>
      </c>
      <c r="W48" s="3273"/>
      <c r="AJ48" s="3283">
        <f t="shared" ca="1" si="0"/>
        <v>2116.5</v>
      </c>
      <c r="AK48" s="3284">
        <f t="shared" ca="1" si="1"/>
        <v>7246.5553341413815</v>
      </c>
      <c r="AL48" s="3262">
        <f t="shared" ca="1" si="2"/>
        <v>1128</v>
      </c>
      <c r="AM48" s="3262">
        <f t="shared" ca="1" si="3"/>
        <v>3862</v>
      </c>
      <c r="AN48" s="3262">
        <f t="shared" ca="1" si="9"/>
        <v>988.5</v>
      </c>
      <c r="AO48" s="3278">
        <f t="shared" ca="1" si="11"/>
        <v>3384.5553341413811</v>
      </c>
      <c r="AP48" s="3262">
        <f t="shared" ca="1" si="10"/>
        <v>897.3</v>
      </c>
      <c r="AQ48" s="3262">
        <f t="shared" ca="1" si="12"/>
        <v>91.2</v>
      </c>
    </row>
    <row r="49" spans="1:44" s="3266" customFormat="1" ht="14.25">
      <c r="A49" s="3265" t="s">
        <v>3548</v>
      </c>
      <c r="B49" s="3260" t="s">
        <v>3549</v>
      </c>
      <c r="C49" s="3261" t="s">
        <v>3624</v>
      </c>
      <c r="D49" s="3260">
        <v>3255.41</v>
      </c>
      <c r="E49" s="3260">
        <v>2478.65</v>
      </c>
      <c r="F49" s="3261" t="s">
        <v>3179</v>
      </c>
      <c r="G49" s="3260">
        <v>776.76</v>
      </c>
      <c r="H49" s="3261" t="s">
        <v>3179</v>
      </c>
      <c r="N49" s="3265" t="s">
        <v>3548</v>
      </c>
      <c r="O49" s="3260" t="s">
        <v>3549</v>
      </c>
      <c r="P49" s="3261" t="s">
        <v>3624</v>
      </c>
      <c r="Q49" s="3260">
        <v>3255.41</v>
      </c>
      <c r="R49" s="3282">
        <v>2478.65</v>
      </c>
      <c r="S49" s="3261" t="s">
        <v>3179</v>
      </c>
      <c r="T49" s="3260">
        <v>776.76</v>
      </c>
      <c r="U49" s="3261" t="s">
        <v>3179</v>
      </c>
      <c r="V49" s="3273">
        <f t="shared" ca="1" si="13"/>
        <v>2280</v>
      </c>
      <c r="W49" s="3273"/>
      <c r="AJ49" s="3283">
        <f t="shared" ca="1" si="0"/>
        <v>2315.4</v>
      </c>
      <c r="AK49" s="3284">
        <f t="shared" ca="1" si="1"/>
        <v>7113.2033814481129</v>
      </c>
      <c r="AL49" s="3262">
        <f t="shared" ca="1" si="2"/>
        <v>1257</v>
      </c>
      <c r="AM49" s="3262">
        <f t="shared" ca="1" si="3"/>
        <v>3862</v>
      </c>
      <c r="AN49" s="3262">
        <f t="shared" ca="1" si="9"/>
        <v>1058.4000000000001</v>
      </c>
      <c r="AO49" s="3278">
        <f t="shared" ca="1" si="11"/>
        <v>3251.2033814481129</v>
      </c>
      <c r="AP49" s="3262">
        <f t="shared" ca="1" si="10"/>
        <v>908.4</v>
      </c>
      <c r="AQ49" s="3262">
        <f t="shared" ca="1" si="12"/>
        <v>150</v>
      </c>
    </row>
    <row r="50" spans="1:44" s="3266" customFormat="1" ht="14.25">
      <c r="A50" s="3265" t="s">
        <v>3550</v>
      </c>
      <c r="B50" s="3260" t="s">
        <v>3625</v>
      </c>
      <c r="C50" s="3261" t="s">
        <v>3626</v>
      </c>
      <c r="D50" s="3260">
        <v>2995.3</v>
      </c>
      <c r="E50" s="3260">
        <v>2478.65</v>
      </c>
      <c r="F50" s="3261" t="s">
        <v>3179</v>
      </c>
      <c r="G50" s="3260">
        <v>516.65</v>
      </c>
      <c r="H50" s="3261" t="s">
        <v>3179</v>
      </c>
      <c r="N50" s="3265" t="s">
        <v>3550</v>
      </c>
      <c r="O50" s="3260" t="s">
        <v>3625</v>
      </c>
      <c r="P50" s="3261" t="s">
        <v>3626</v>
      </c>
      <c r="Q50" s="3260">
        <v>2995.3</v>
      </c>
      <c r="R50" s="3282">
        <v>2478.65</v>
      </c>
      <c r="S50" s="3261" t="s">
        <v>3179</v>
      </c>
      <c r="T50" s="3260">
        <v>516.65</v>
      </c>
      <c r="U50" s="3261" t="s">
        <v>3179</v>
      </c>
      <c r="V50" s="3273">
        <f t="shared" ca="1" si="13"/>
        <v>2152</v>
      </c>
      <c r="W50" s="3273"/>
      <c r="AJ50" s="3283">
        <f t="shared" ca="1" si="0"/>
        <v>2165.1999999999998</v>
      </c>
      <c r="AK50" s="3284">
        <f t="shared" ca="1" si="1"/>
        <v>7227.9399726237771</v>
      </c>
      <c r="AL50" s="3262">
        <f t="shared" ca="1" si="2"/>
        <v>1157</v>
      </c>
      <c r="AM50" s="3262">
        <f t="shared" ca="1" si="3"/>
        <v>3862</v>
      </c>
      <c r="AN50" s="3262">
        <f t="shared" ca="1" si="9"/>
        <v>1008.1999999999999</v>
      </c>
      <c r="AO50" s="3278">
        <f t="shared" ca="1" si="11"/>
        <v>3365.9399726237771</v>
      </c>
      <c r="AP50" s="3262">
        <f t="shared" ca="1" si="10"/>
        <v>908.4</v>
      </c>
      <c r="AQ50" s="3262">
        <f t="shared" ca="1" si="12"/>
        <v>99.8</v>
      </c>
    </row>
    <row r="51" spans="1:44" ht="14.25">
      <c r="A51" s="3265" t="s">
        <v>3551</v>
      </c>
      <c r="B51" s="3260" t="s">
        <v>3627</v>
      </c>
      <c r="C51" s="3261" t="s">
        <v>3628</v>
      </c>
      <c r="D51" s="3260">
        <v>3222.57</v>
      </c>
      <c r="E51" s="3260">
        <v>2478.65</v>
      </c>
      <c r="F51" s="3261" t="s">
        <v>3179</v>
      </c>
      <c r="G51" s="3260">
        <v>743.92</v>
      </c>
      <c r="H51" s="3261" t="s">
        <v>3179</v>
      </c>
      <c r="N51" s="3265" t="s">
        <v>3551</v>
      </c>
      <c r="O51" s="3260" t="s">
        <v>3627</v>
      </c>
      <c r="P51" s="3261" t="s">
        <v>3628</v>
      </c>
      <c r="Q51" s="3260">
        <v>3222.57</v>
      </c>
      <c r="R51" s="3282">
        <v>2478.65</v>
      </c>
      <c r="S51" s="3261" t="s">
        <v>3179</v>
      </c>
      <c r="T51" s="3260">
        <v>743.92</v>
      </c>
      <c r="U51" s="3261" t="s">
        <v>3179</v>
      </c>
      <c r="V51" s="3273">
        <f t="shared" ca="1" si="13"/>
        <v>2264</v>
      </c>
      <c r="W51" s="3273"/>
      <c r="AJ51" s="3283">
        <f t="shared" ca="1" si="0"/>
        <v>2297</v>
      </c>
      <c r="AK51" s="3284">
        <f t="shared" ca="1" si="1"/>
        <v>7126.4752480163352</v>
      </c>
      <c r="AL51" s="3262">
        <f t="shared" ca="1" si="2"/>
        <v>1245</v>
      </c>
      <c r="AM51" s="3262">
        <f t="shared" ca="1" si="3"/>
        <v>3862</v>
      </c>
      <c r="AN51" s="3262">
        <f t="shared" ca="1" si="9"/>
        <v>1052</v>
      </c>
      <c r="AO51" s="3278">
        <f t="shared" ca="1" si="11"/>
        <v>3264.4752480163347</v>
      </c>
      <c r="AP51" s="3262">
        <f t="shared" ca="1" si="10"/>
        <v>908.4</v>
      </c>
      <c r="AQ51" s="3262">
        <f t="shared" ca="1" si="12"/>
        <v>143.6</v>
      </c>
    </row>
    <row r="52" spans="1:44" ht="14.25">
      <c r="A52" s="3265" t="s">
        <v>3552</v>
      </c>
      <c r="B52" s="3260" t="s">
        <v>3629</v>
      </c>
      <c r="C52" s="3261" t="s">
        <v>3630</v>
      </c>
      <c r="D52" s="3260">
        <v>5273.65</v>
      </c>
      <c r="E52" s="3260">
        <v>4294.3999999999996</v>
      </c>
      <c r="F52" s="3261" t="s">
        <v>3179</v>
      </c>
      <c r="G52" s="3260">
        <v>979.25</v>
      </c>
      <c r="H52" s="3261" t="s">
        <v>3179</v>
      </c>
      <c r="N52" s="3265" t="s">
        <v>3552</v>
      </c>
      <c r="O52" s="3260" t="s">
        <v>3629</v>
      </c>
      <c r="P52" s="3261" t="s">
        <v>3630</v>
      </c>
      <c r="Q52" s="3260">
        <v>5273.65</v>
      </c>
      <c r="R52" s="3282">
        <v>4294.3999999999996</v>
      </c>
      <c r="S52" s="3261" t="s">
        <v>3179</v>
      </c>
      <c r="T52" s="3260">
        <v>979.25</v>
      </c>
      <c r="U52" s="3261" t="s">
        <v>3179</v>
      </c>
      <c r="V52" s="3273">
        <f t="shared" ca="1" si="13"/>
        <v>3770</v>
      </c>
      <c r="W52" s="3273"/>
      <c r="AJ52" s="3283">
        <f t="shared" ca="1" si="0"/>
        <v>3800</v>
      </c>
      <c r="AK52" s="3284">
        <f t="shared" ca="1" si="1"/>
        <v>7205.0356584149504</v>
      </c>
      <c r="AL52" s="3262">
        <f t="shared" ca="1" si="2"/>
        <v>2037</v>
      </c>
      <c r="AM52" s="3262">
        <f t="shared" ca="1" si="3"/>
        <v>3862</v>
      </c>
      <c r="AN52" s="3262">
        <f t="shared" ca="1" si="9"/>
        <v>1763</v>
      </c>
      <c r="AO52" s="3278">
        <f t="shared" ca="1" si="11"/>
        <v>3343.0356584149499</v>
      </c>
      <c r="AP52" s="3262">
        <f t="shared" ca="1" si="10"/>
        <v>1573.9</v>
      </c>
      <c r="AQ52" s="3262">
        <f t="shared" ca="1" si="12"/>
        <v>189.1</v>
      </c>
    </row>
    <row r="53" spans="1:44" ht="14.25">
      <c r="A53" s="3265" t="s">
        <v>3553</v>
      </c>
      <c r="B53" s="3260" t="s">
        <v>3640</v>
      </c>
      <c r="C53" s="3261" t="s">
        <v>3631</v>
      </c>
      <c r="D53" s="3260">
        <v>302.77</v>
      </c>
      <c r="E53" s="3260">
        <v>302.77</v>
      </c>
      <c r="F53" s="3261" t="s">
        <v>3527</v>
      </c>
      <c r="G53" s="3260" t="s">
        <v>3528</v>
      </c>
      <c r="H53" s="3261" t="s">
        <v>3528</v>
      </c>
      <c r="N53" s="3385" t="s">
        <v>3554</v>
      </c>
      <c r="O53" s="3387" t="s">
        <v>3213</v>
      </c>
      <c r="P53" s="3387" t="s">
        <v>3632</v>
      </c>
      <c r="Q53" s="3381">
        <v>11456.18</v>
      </c>
      <c r="R53" s="3282">
        <v>0</v>
      </c>
      <c r="S53" s="3260" t="s">
        <v>70</v>
      </c>
      <c r="T53" s="3260">
        <v>10296.879999999999</v>
      </c>
      <c r="U53" s="3261" t="s">
        <v>48</v>
      </c>
      <c r="V53" s="3273">
        <f ca="1">ROUND(T53*$AB$7/10000,0)+ROUND(T53*$Z$9/10000,0)</f>
        <v>5007</v>
      </c>
      <c r="W53" s="3273"/>
      <c r="AJ53" s="3283">
        <f t="shared" ca="1" si="0"/>
        <v>5556.9</v>
      </c>
      <c r="AK53" s="3284">
        <f t="shared" ca="1" si="1"/>
        <v>4850.8985682836683</v>
      </c>
      <c r="AL53" s="3262">
        <f t="shared" ca="1" si="2"/>
        <v>4424</v>
      </c>
      <c r="AM53" s="3262">
        <f t="shared" ca="1" si="3"/>
        <v>3862</v>
      </c>
      <c r="AN53" s="3262">
        <f ca="1">SUM(AP53:AR54)</f>
        <v>1132.9000000000001</v>
      </c>
      <c r="AO53" s="3278">
        <f ca="1">AN53*10000/Q53</f>
        <v>988.89856828366874</v>
      </c>
      <c r="AR53" s="3262">
        <f ca="1">ROUND($AR$4*T53/$AR$2,1)</f>
        <v>1132.9000000000001</v>
      </c>
    </row>
    <row r="54" spans="1:44" ht="14.25">
      <c r="A54" s="3385" t="s">
        <v>3554</v>
      </c>
      <c r="B54" s="3387" t="s">
        <v>3213</v>
      </c>
      <c r="C54" s="3387" t="s">
        <v>3632</v>
      </c>
      <c r="D54" s="3381">
        <v>11456.18</v>
      </c>
      <c r="E54" s="3260">
        <v>0</v>
      </c>
      <c r="F54" s="3260" t="s">
        <v>70</v>
      </c>
      <c r="G54" s="3260">
        <v>10296.879999999999</v>
      </c>
      <c r="H54" s="3261" t="s">
        <v>48</v>
      </c>
      <c r="N54" s="3385"/>
      <c r="O54" s="3387"/>
      <c r="P54" s="3387"/>
      <c r="Q54" s="3381"/>
      <c r="R54" s="3282">
        <v>0</v>
      </c>
      <c r="S54" s="3260" t="s">
        <v>70</v>
      </c>
      <c r="T54" s="3260">
        <v>1159.3</v>
      </c>
      <c r="U54" s="3261" t="s">
        <v>3214</v>
      </c>
      <c r="V54" s="3273">
        <f ca="1">ROUND(T54*$Z$9/10000,0)</f>
        <v>556</v>
      </c>
      <c r="W54" s="3273"/>
      <c r="X54" s="3262">
        <f ca="1">V54+V53</f>
        <v>5563</v>
      </c>
      <c r="AK54" s="3284"/>
      <c r="AM54" s="3262">
        <f t="shared" ca="1" si="3"/>
        <v>3862</v>
      </c>
      <c r="AO54" s="3278"/>
    </row>
    <row r="55" spans="1:44" ht="14.25">
      <c r="A55" s="3385"/>
      <c r="B55" s="3387"/>
      <c r="C55" s="3387"/>
      <c r="D55" s="3381"/>
      <c r="E55" s="3260">
        <v>0</v>
      </c>
      <c r="F55" s="3260" t="s">
        <v>70</v>
      </c>
      <c r="G55" s="3260">
        <v>1159.3</v>
      </c>
      <c r="H55" s="3261" t="s">
        <v>3214</v>
      </c>
      <c r="N55" s="3265" t="s">
        <v>3519</v>
      </c>
      <c r="O55" s="3260" t="s">
        <v>3633</v>
      </c>
      <c r="P55" s="3261" t="s">
        <v>3634</v>
      </c>
      <c r="Q55" s="3260">
        <v>3259.07</v>
      </c>
      <c r="R55" s="3282">
        <v>2478.65</v>
      </c>
      <c r="S55" s="3261" t="s">
        <v>3179</v>
      </c>
      <c r="T55" s="3260">
        <v>780.42</v>
      </c>
      <c r="U55" s="3261" t="s">
        <v>3179</v>
      </c>
      <c r="V55" s="3273">
        <f t="shared" ref="V55:V66" ca="1" si="14">ROUND(R55*$Z$7/10000,0)+ROUND(T55*$AA$7/10000,0)+ROUND(R55*$Z$9/10000,0)+ROUND(T55*$Z$9/10000,0)</f>
        <v>2282</v>
      </c>
      <c r="W55" s="3273"/>
      <c r="AJ55" s="3283">
        <f t="shared" ca="1" si="0"/>
        <v>2318.1</v>
      </c>
      <c r="AK55" s="3284">
        <f t="shared" ca="1" si="1"/>
        <v>7111.7000678107561</v>
      </c>
      <c r="AL55" s="3262">
        <f t="shared" ca="1" si="2"/>
        <v>1259</v>
      </c>
      <c r="AM55" s="3262">
        <f t="shared" ca="1" si="3"/>
        <v>3862</v>
      </c>
      <c r="AN55" s="3262">
        <f ca="1">AP55+AQ55+AR55</f>
        <v>1059.0999999999999</v>
      </c>
      <c r="AO55" s="3278">
        <f ca="1">AN55*10000/Q55</f>
        <v>3249.7000678107556</v>
      </c>
      <c r="AP55" s="3262">
        <f t="shared" ref="AP55:AP66" ca="1" si="15">ROUND($AP$4*R55/$AP$2,1)</f>
        <v>908.4</v>
      </c>
      <c r="AQ55" s="3262">
        <f t="shared" ref="AQ55:AQ66" ca="1" si="16">ROUND($AQ$4*T55/$AQ$2,1)</f>
        <v>150.69999999999999</v>
      </c>
    </row>
    <row r="56" spans="1:44" ht="14.25">
      <c r="A56" s="3265" t="s">
        <v>3519</v>
      </c>
      <c r="B56" s="3260" t="s">
        <v>3633</v>
      </c>
      <c r="C56" s="3261" t="s">
        <v>3634</v>
      </c>
      <c r="D56" s="3260">
        <v>3259.07</v>
      </c>
      <c r="E56" s="3260">
        <v>2478.65</v>
      </c>
      <c r="F56" s="3261" t="s">
        <v>3179</v>
      </c>
      <c r="G56" s="3260">
        <v>780.42</v>
      </c>
      <c r="H56" s="3261" t="s">
        <v>3179</v>
      </c>
      <c r="I56" s="3267"/>
      <c r="N56" s="3265" t="s">
        <v>3518</v>
      </c>
      <c r="O56" s="3260" t="s">
        <v>3635</v>
      </c>
      <c r="P56" s="3261" t="s">
        <v>3636</v>
      </c>
      <c r="Q56" s="3260">
        <v>3043.91</v>
      </c>
      <c r="R56" s="3282">
        <v>2448.34</v>
      </c>
      <c r="S56" s="3261" t="s">
        <v>3179</v>
      </c>
      <c r="T56" s="3260">
        <v>595.57000000000005</v>
      </c>
      <c r="U56" s="3261" t="s">
        <v>3179</v>
      </c>
      <c r="V56" s="3273">
        <f t="shared" ca="1" si="14"/>
        <v>2168</v>
      </c>
      <c r="W56" s="3273"/>
      <c r="AJ56" s="3283">
        <f t="shared" ca="1" si="0"/>
        <v>2188.3000000000002</v>
      </c>
      <c r="AK56" s="3284">
        <f t="shared" ca="1" si="1"/>
        <v>7187.6568032563382</v>
      </c>
      <c r="AL56" s="3262">
        <f t="shared" ca="1" si="2"/>
        <v>1176</v>
      </c>
      <c r="AM56" s="3262">
        <f t="shared" ca="1" si="3"/>
        <v>3862</v>
      </c>
      <c r="AN56" s="3262">
        <f t="shared" ref="AN56:AN67" ca="1" si="17">AP56+AQ56+AR56</f>
        <v>1012.3</v>
      </c>
      <c r="AO56" s="3278">
        <f t="shared" ref="AO56:AO67" ca="1" si="18">AN56*10000/Q56</f>
        <v>3325.6568032563382</v>
      </c>
      <c r="AP56" s="3262">
        <f t="shared" ca="1" si="15"/>
        <v>897.3</v>
      </c>
      <c r="AQ56" s="3262">
        <f t="shared" ca="1" si="16"/>
        <v>115</v>
      </c>
    </row>
    <row r="57" spans="1:44" ht="14.25">
      <c r="A57" s="3265" t="s">
        <v>3518</v>
      </c>
      <c r="B57" s="3260" t="s">
        <v>3635</v>
      </c>
      <c r="C57" s="3261" t="s">
        <v>3636</v>
      </c>
      <c r="D57" s="3260">
        <v>3043.91</v>
      </c>
      <c r="E57" s="3260">
        <v>2448.34</v>
      </c>
      <c r="F57" s="3261" t="s">
        <v>3179</v>
      </c>
      <c r="G57" s="3260">
        <v>595.57000000000005</v>
      </c>
      <c r="H57" s="3261" t="s">
        <v>3179</v>
      </c>
      <c r="N57" s="3263" t="s">
        <v>3517</v>
      </c>
      <c r="O57" s="3256" t="s">
        <v>3215</v>
      </c>
      <c r="P57" s="3257" t="s">
        <v>3216</v>
      </c>
      <c r="Q57" s="3256">
        <v>3357.42</v>
      </c>
      <c r="R57" s="3281">
        <v>2448.34</v>
      </c>
      <c r="S57" s="3257" t="s">
        <v>3179</v>
      </c>
      <c r="T57" s="3256">
        <v>909.08</v>
      </c>
      <c r="U57" s="3257" t="s">
        <v>3179</v>
      </c>
      <c r="V57" s="3273">
        <f t="shared" ca="1" si="14"/>
        <v>2323</v>
      </c>
      <c r="W57" s="3273"/>
      <c r="AJ57" s="3283">
        <f t="shared" ca="1" si="0"/>
        <v>2369.8000000000002</v>
      </c>
      <c r="AK57" s="3284">
        <f t="shared" ca="1" si="1"/>
        <v>7057.3106849902597</v>
      </c>
      <c r="AL57" s="3262">
        <f t="shared" ca="1" si="2"/>
        <v>1297</v>
      </c>
      <c r="AM57" s="3262">
        <f t="shared" ca="1" si="3"/>
        <v>3862</v>
      </c>
      <c r="AN57" s="3262">
        <f t="shared" ca="1" si="17"/>
        <v>1072.8</v>
      </c>
      <c r="AO57" s="3278">
        <f t="shared" ca="1" si="18"/>
        <v>3195.3106849902601</v>
      </c>
      <c r="AP57" s="3262">
        <f t="shared" ca="1" si="15"/>
        <v>897.3</v>
      </c>
      <c r="AQ57" s="3262">
        <f t="shared" ca="1" si="16"/>
        <v>175.5</v>
      </c>
    </row>
    <row r="58" spans="1:44" ht="14.25">
      <c r="A58" s="3263" t="s">
        <v>3517</v>
      </c>
      <c r="B58" s="3256" t="s">
        <v>3215</v>
      </c>
      <c r="C58" s="3257" t="s">
        <v>3216</v>
      </c>
      <c r="D58" s="3256">
        <v>3357.42</v>
      </c>
      <c r="E58" s="3256">
        <v>2448.34</v>
      </c>
      <c r="F58" s="3257" t="s">
        <v>3179</v>
      </c>
      <c r="G58" s="3256">
        <v>909.08</v>
      </c>
      <c r="H58" s="3257" t="s">
        <v>3179</v>
      </c>
      <c r="N58" s="3263" t="s">
        <v>3516</v>
      </c>
      <c r="O58" s="3256" t="s">
        <v>3217</v>
      </c>
      <c r="P58" s="3257" t="s">
        <v>3218</v>
      </c>
      <c r="Q58" s="3256">
        <v>3296.98</v>
      </c>
      <c r="R58" s="3281">
        <v>2478.65</v>
      </c>
      <c r="S58" s="3257" t="s">
        <v>3179</v>
      </c>
      <c r="T58" s="3256">
        <v>818.33</v>
      </c>
      <c r="U58" s="3257" t="s">
        <v>3179</v>
      </c>
      <c r="V58" s="3273">
        <f t="shared" ca="1" si="14"/>
        <v>2301</v>
      </c>
      <c r="W58" s="3273"/>
      <c r="AJ58" s="3283">
        <f t="shared" ca="1" si="0"/>
        <v>2339.4</v>
      </c>
      <c r="AK58" s="3284">
        <f t="shared" ca="1" si="1"/>
        <v>7096.4751863826896</v>
      </c>
      <c r="AL58" s="3262">
        <f t="shared" ca="1" si="2"/>
        <v>1273</v>
      </c>
      <c r="AM58" s="3262">
        <f t="shared" ca="1" si="3"/>
        <v>3862</v>
      </c>
      <c r="AN58" s="3262">
        <f t="shared" ca="1" si="17"/>
        <v>1066.4000000000001</v>
      </c>
      <c r="AO58" s="3278">
        <f t="shared" ca="1" si="18"/>
        <v>3234.4751863826896</v>
      </c>
      <c r="AP58" s="3262">
        <f t="shared" ca="1" si="15"/>
        <v>908.4</v>
      </c>
      <c r="AQ58" s="3262">
        <f t="shared" ca="1" si="16"/>
        <v>158</v>
      </c>
    </row>
    <row r="59" spans="1:44" ht="14.25">
      <c r="A59" s="3263" t="s">
        <v>3516</v>
      </c>
      <c r="B59" s="3256" t="s">
        <v>3217</v>
      </c>
      <c r="C59" s="3257" t="s">
        <v>3218</v>
      </c>
      <c r="D59" s="3256">
        <v>3296.98</v>
      </c>
      <c r="E59" s="3256">
        <v>2478.65</v>
      </c>
      <c r="F59" s="3257" t="s">
        <v>3179</v>
      </c>
      <c r="G59" s="3256">
        <v>818.33</v>
      </c>
      <c r="H59" s="3257" t="s">
        <v>3179</v>
      </c>
      <c r="N59" s="3263" t="s">
        <v>3515</v>
      </c>
      <c r="O59" s="3256" t="s">
        <v>3219</v>
      </c>
      <c r="P59" s="3257" t="s">
        <v>3220</v>
      </c>
      <c r="Q59" s="3256">
        <v>3195.49</v>
      </c>
      <c r="R59" s="3281">
        <v>2478.65</v>
      </c>
      <c r="S59" s="3257" t="s">
        <v>3179</v>
      </c>
      <c r="T59" s="3256">
        <v>716.84</v>
      </c>
      <c r="U59" s="3257" t="s">
        <v>3179</v>
      </c>
      <c r="V59" s="3273">
        <f t="shared" ca="1" si="14"/>
        <v>2251</v>
      </c>
      <c r="W59" s="3273"/>
      <c r="AJ59" s="3283">
        <f t="shared" ca="1" si="0"/>
        <v>2280.8000000000002</v>
      </c>
      <c r="AK59" s="3284">
        <f t="shared" ca="1" si="1"/>
        <v>7137.8669249473478</v>
      </c>
      <c r="AL59" s="3262">
        <f t="shared" ca="1" si="2"/>
        <v>1234</v>
      </c>
      <c r="AM59" s="3262">
        <f t="shared" ca="1" si="3"/>
        <v>3862</v>
      </c>
      <c r="AN59" s="3262">
        <f t="shared" ca="1" si="17"/>
        <v>1046.8</v>
      </c>
      <c r="AO59" s="3278">
        <f t="shared" ca="1" si="18"/>
        <v>3275.8669249473478</v>
      </c>
      <c r="AP59" s="3262">
        <f t="shared" ca="1" si="15"/>
        <v>908.4</v>
      </c>
      <c r="AQ59" s="3262">
        <f t="shared" ca="1" si="16"/>
        <v>138.4</v>
      </c>
    </row>
    <row r="60" spans="1:44" ht="14.25">
      <c r="A60" s="3263" t="s">
        <v>3515</v>
      </c>
      <c r="B60" s="3256" t="s">
        <v>3219</v>
      </c>
      <c r="C60" s="3257" t="s">
        <v>3220</v>
      </c>
      <c r="D60" s="3256">
        <v>3195.49</v>
      </c>
      <c r="E60" s="3256">
        <v>2478.65</v>
      </c>
      <c r="F60" s="3257" t="s">
        <v>3179</v>
      </c>
      <c r="G60" s="3256">
        <v>716.84</v>
      </c>
      <c r="H60" s="3257" t="s">
        <v>3179</v>
      </c>
      <c r="N60" s="3263" t="s">
        <v>3514</v>
      </c>
      <c r="O60" s="3256" t="s">
        <v>3221</v>
      </c>
      <c r="P60" s="3257" t="s">
        <v>3222</v>
      </c>
      <c r="Q60" s="3256">
        <v>3034.61</v>
      </c>
      <c r="R60" s="3281">
        <v>2478.65</v>
      </c>
      <c r="S60" s="3257" t="s">
        <v>3179</v>
      </c>
      <c r="T60" s="3256">
        <v>555.96</v>
      </c>
      <c r="U60" s="3257" t="s">
        <v>3179</v>
      </c>
      <c r="V60" s="3273">
        <f t="shared" ca="1" si="14"/>
        <v>2171</v>
      </c>
      <c r="W60" s="3273"/>
      <c r="AJ60" s="3283">
        <f t="shared" ca="1" si="0"/>
        <v>2187.8000000000002</v>
      </c>
      <c r="AK60" s="3284">
        <f t="shared" ca="1" si="1"/>
        <v>7209.3823654439948</v>
      </c>
      <c r="AL60" s="3262">
        <f t="shared" ca="1" si="2"/>
        <v>1172</v>
      </c>
      <c r="AM60" s="3262">
        <f t="shared" ca="1" si="3"/>
        <v>3862</v>
      </c>
      <c r="AN60" s="3262">
        <f t="shared" ca="1" si="17"/>
        <v>1015.8</v>
      </c>
      <c r="AO60" s="3278">
        <f t="shared" ca="1" si="18"/>
        <v>3347.3823654439943</v>
      </c>
      <c r="AP60" s="3262">
        <f t="shared" ca="1" si="15"/>
        <v>908.4</v>
      </c>
      <c r="AQ60" s="3262">
        <f t="shared" ca="1" si="16"/>
        <v>107.4</v>
      </c>
    </row>
    <row r="61" spans="1:44" ht="14.25">
      <c r="A61" s="3263" t="s">
        <v>3514</v>
      </c>
      <c r="B61" s="3256" t="s">
        <v>3221</v>
      </c>
      <c r="C61" s="3257" t="s">
        <v>3222</v>
      </c>
      <c r="D61" s="3256">
        <v>3034.61</v>
      </c>
      <c r="E61" s="3256">
        <v>2478.65</v>
      </c>
      <c r="F61" s="3257" t="s">
        <v>3179</v>
      </c>
      <c r="G61" s="3256">
        <v>555.96</v>
      </c>
      <c r="H61" s="3257" t="s">
        <v>3179</v>
      </c>
      <c r="N61" s="3263" t="s">
        <v>3513</v>
      </c>
      <c r="O61" s="3256" t="s">
        <v>3223</v>
      </c>
      <c r="P61" s="3257" t="s">
        <v>3224</v>
      </c>
      <c r="Q61" s="3256">
        <v>3091.86</v>
      </c>
      <c r="R61" s="3281">
        <v>2448.34</v>
      </c>
      <c r="S61" s="3257" t="s">
        <v>3179</v>
      </c>
      <c r="T61" s="3256">
        <v>643.52</v>
      </c>
      <c r="U61" s="3257" t="s">
        <v>3179</v>
      </c>
      <c r="V61" s="3273">
        <f t="shared" ca="1" si="14"/>
        <v>2191</v>
      </c>
      <c r="W61" s="3273"/>
      <c r="AJ61" s="3283">
        <f t="shared" ca="1" si="0"/>
        <v>2215.6</v>
      </c>
      <c r="AK61" s="3284">
        <f t="shared" ca="1" si="1"/>
        <v>7166.1599554960449</v>
      </c>
      <c r="AL61" s="3262">
        <f t="shared" ca="1" si="2"/>
        <v>1194</v>
      </c>
      <c r="AM61" s="3262">
        <f t="shared" ca="1" si="3"/>
        <v>3862</v>
      </c>
      <c r="AN61" s="3262">
        <f t="shared" ca="1" si="17"/>
        <v>1021.5999999999999</v>
      </c>
      <c r="AO61" s="3278">
        <f t="shared" ca="1" si="18"/>
        <v>3304.1599554960444</v>
      </c>
      <c r="AP61" s="3262">
        <f t="shared" ca="1" si="15"/>
        <v>897.3</v>
      </c>
      <c r="AQ61" s="3262">
        <f t="shared" ca="1" si="16"/>
        <v>124.3</v>
      </c>
    </row>
    <row r="62" spans="1:44" ht="14.25">
      <c r="A62" s="3263" t="s">
        <v>3513</v>
      </c>
      <c r="B62" s="3256" t="s">
        <v>3223</v>
      </c>
      <c r="C62" s="3257" t="s">
        <v>3224</v>
      </c>
      <c r="D62" s="3256">
        <v>3091.86</v>
      </c>
      <c r="E62" s="3256">
        <v>2448.34</v>
      </c>
      <c r="F62" s="3257" t="s">
        <v>3179</v>
      </c>
      <c r="G62" s="3256">
        <v>643.52</v>
      </c>
      <c r="H62" s="3257" t="s">
        <v>3179</v>
      </c>
      <c r="N62" s="3263" t="s">
        <v>3512</v>
      </c>
      <c r="O62" s="3256" t="s">
        <v>3225</v>
      </c>
      <c r="P62" s="3257" t="s">
        <v>3226</v>
      </c>
      <c r="Q62" s="3256">
        <v>3094.72</v>
      </c>
      <c r="R62" s="3281">
        <v>2448.34</v>
      </c>
      <c r="S62" s="3257" t="s">
        <v>3179</v>
      </c>
      <c r="T62" s="3256">
        <v>646.38</v>
      </c>
      <c r="U62" s="3257" t="s">
        <v>3179</v>
      </c>
      <c r="V62" s="3273">
        <f t="shared" ca="1" si="14"/>
        <v>2193</v>
      </c>
      <c r="W62" s="3273"/>
      <c r="AJ62" s="3283">
        <f t="shared" ca="1" si="0"/>
        <v>2217.1</v>
      </c>
      <c r="AK62" s="3284">
        <f t="shared" ca="1" si="1"/>
        <v>7164.7220556302345</v>
      </c>
      <c r="AL62" s="3262">
        <f t="shared" ca="1" si="2"/>
        <v>1195</v>
      </c>
      <c r="AM62" s="3262">
        <f t="shared" ca="1" si="3"/>
        <v>3862</v>
      </c>
      <c r="AN62" s="3262">
        <f t="shared" ca="1" si="17"/>
        <v>1022.0999999999999</v>
      </c>
      <c r="AO62" s="3278">
        <f t="shared" ca="1" si="18"/>
        <v>3302.722055630235</v>
      </c>
      <c r="AP62" s="3262">
        <f t="shared" ca="1" si="15"/>
        <v>897.3</v>
      </c>
      <c r="AQ62" s="3262">
        <f t="shared" ca="1" si="16"/>
        <v>124.8</v>
      </c>
    </row>
    <row r="63" spans="1:44" ht="14.25">
      <c r="A63" s="3263" t="s">
        <v>3512</v>
      </c>
      <c r="B63" s="3256" t="s">
        <v>3225</v>
      </c>
      <c r="C63" s="3257" t="s">
        <v>3226</v>
      </c>
      <c r="D63" s="3256">
        <v>3094.72</v>
      </c>
      <c r="E63" s="3256">
        <v>2448.34</v>
      </c>
      <c r="F63" s="3257" t="s">
        <v>3179</v>
      </c>
      <c r="G63" s="3256">
        <v>646.38</v>
      </c>
      <c r="H63" s="3257" t="s">
        <v>3179</v>
      </c>
      <c r="N63" s="3263" t="s">
        <v>3520</v>
      </c>
      <c r="O63" s="3256" t="s">
        <v>3227</v>
      </c>
      <c r="P63" s="3257" t="s">
        <v>3228</v>
      </c>
      <c r="Q63" s="3256">
        <v>3038.41</v>
      </c>
      <c r="R63" s="3281">
        <v>2448.34</v>
      </c>
      <c r="S63" s="3257" t="s">
        <v>3179</v>
      </c>
      <c r="T63" s="3256">
        <v>590.07000000000005</v>
      </c>
      <c r="U63" s="3257" t="s">
        <v>3179</v>
      </c>
      <c r="V63" s="3273">
        <f t="shared" ca="1" si="14"/>
        <v>2165</v>
      </c>
      <c r="W63" s="3273"/>
      <c r="AJ63" s="3283">
        <f t="shared" ca="1" si="0"/>
        <v>2184.1999999999998</v>
      </c>
      <c r="AK63" s="3284">
        <f t="shared" ca="1" si="1"/>
        <v>7190.0564505777693</v>
      </c>
      <c r="AL63" s="3262">
        <f t="shared" ca="1" si="2"/>
        <v>1173</v>
      </c>
      <c r="AM63" s="3262">
        <f t="shared" ca="1" si="3"/>
        <v>3862</v>
      </c>
      <c r="AN63" s="3262">
        <f t="shared" ca="1" si="17"/>
        <v>1011.1999999999999</v>
      </c>
      <c r="AO63" s="3278">
        <f t="shared" ca="1" si="18"/>
        <v>3328.0564505777693</v>
      </c>
      <c r="AP63" s="3262">
        <f t="shared" ca="1" si="15"/>
        <v>897.3</v>
      </c>
      <c r="AQ63" s="3262">
        <f t="shared" ca="1" si="16"/>
        <v>113.9</v>
      </c>
    </row>
    <row r="64" spans="1:44" ht="14.25">
      <c r="A64" s="3263" t="s">
        <v>3520</v>
      </c>
      <c r="B64" s="3256" t="s">
        <v>3227</v>
      </c>
      <c r="C64" s="3257" t="s">
        <v>3228</v>
      </c>
      <c r="D64" s="3256">
        <v>3038.41</v>
      </c>
      <c r="E64" s="3256">
        <v>2448.34</v>
      </c>
      <c r="F64" s="3257" t="s">
        <v>3179</v>
      </c>
      <c r="G64" s="3256">
        <v>590.07000000000005</v>
      </c>
      <c r="H64" s="3257" t="s">
        <v>3179</v>
      </c>
      <c r="N64" s="3263" t="s">
        <v>3521</v>
      </c>
      <c r="O64" s="3256" t="s">
        <v>3229</v>
      </c>
      <c r="P64" s="3257" t="s">
        <v>3230</v>
      </c>
      <c r="Q64" s="3256">
        <v>2982.1</v>
      </c>
      <c r="R64" s="3281">
        <v>2478.65</v>
      </c>
      <c r="S64" s="3257" t="s">
        <v>3179</v>
      </c>
      <c r="T64" s="3256">
        <v>503.45</v>
      </c>
      <c r="U64" s="3257" t="s">
        <v>3179</v>
      </c>
      <c r="V64" s="3273">
        <f t="shared" ca="1" si="14"/>
        <v>2145</v>
      </c>
      <c r="W64" s="3273"/>
      <c r="AJ64" s="3283">
        <f t="shared" ca="1" si="0"/>
        <v>2157.6</v>
      </c>
      <c r="AK64" s="3284">
        <f t="shared" ca="1" si="1"/>
        <v>7234.1203178967844</v>
      </c>
      <c r="AL64" s="3262">
        <f t="shared" ca="1" si="2"/>
        <v>1152</v>
      </c>
      <c r="AM64" s="3262">
        <f t="shared" ca="1" si="3"/>
        <v>3862</v>
      </c>
      <c r="AN64" s="3262">
        <f t="shared" ca="1" si="17"/>
        <v>1005.6</v>
      </c>
      <c r="AO64" s="3278">
        <f t="shared" ca="1" si="18"/>
        <v>3372.1203178967844</v>
      </c>
      <c r="AP64" s="3262">
        <f t="shared" ca="1" si="15"/>
        <v>908.4</v>
      </c>
      <c r="AQ64" s="3262">
        <f t="shared" ca="1" si="16"/>
        <v>97.2</v>
      </c>
    </row>
    <row r="65" spans="1:44" ht="14.25">
      <c r="A65" s="3263" t="s">
        <v>3521</v>
      </c>
      <c r="B65" s="3256" t="s">
        <v>3229</v>
      </c>
      <c r="C65" s="3257" t="s">
        <v>3230</v>
      </c>
      <c r="D65" s="3256">
        <v>2982.1</v>
      </c>
      <c r="E65" s="3256">
        <v>2478.65</v>
      </c>
      <c r="F65" s="3257" t="s">
        <v>3179</v>
      </c>
      <c r="G65" s="3256">
        <v>503.45</v>
      </c>
      <c r="H65" s="3257" t="s">
        <v>3179</v>
      </c>
      <c r="N65" s="3263" t="s">
        <v>3522</v>
      </c>
      <c r="O65" s="3256" t="s">
        <v>3231</v>
      </c>
      <c r="P65" s="3257" t="s">
        <v>3232</v>
      </c>
      <c r="Q65" s="3256">
        <v>3110.37</v>
      </c>
      <c r="R65" s="3281">
        <v>2478.65</v>
      </c>
      <c r="S65" s="3257" t="s">
        <v>3179</v>
      </c>
      <c r="T65" s="3256">
        <v>631.72</v>
      </c>
      <c r="U65" s="3257" t="s">
        <v>3179</v>
      </c>
      <c r="V65" s="3273">
        <f t="shared" ca="1" si="14"/>
        <v>2209</v>
      </c>
      <c r="W65" s="3273"/>
      <c r="AJ65" s="3283">
        <f t="shared" ca="1" si="0"/>
        <v>2231.4</v>
      </c>
      <c r="AK65" s="3284">
        <f t="shared" ca="1" si="1"/>
        <v>7174.7891537019714</v>
      </c>
      <c r="AL65" s="3262">
        <f t="shared" ca="1" si="2"/>
        <v>1201</v>
      </c>
      <c r="AM65" s="3262">
        <f t="shared" ca="1" si="3"/>
        <v>3862</v>
      </c>
      <c r="AN65" s="3262">
        <f t="shared" ca="1" si="17"/>
        <v>1030.4000000000001</v>
      </c>
      <c r="AO65" s="3278">
        <f t="shared" ca="1" si="18"/>
        <v>3312.7891537019714</v>
      </c>
      <c r="AP65" s="3262">
        <f t="shared" ca="1" si="15"/>
        <v>908.4</v>
      </c>
      <c r="AQ65" s="3262">
        <f t="shared" ca="1" si="16"/>
        <v>122</v>
      </c>
    </row>
    <row r="66" spans="1:44" ht="14.25">
      <c r="A66" s="3263" t="s">
        <v>3522</v>
      </c>
      <c r="B66" s="3256" t="s">
        <v>3231</v>
      </c>
      <c r="C66" s="3257" t="s">
        <v>3232</v>
      </c>
      <c r="D66" s="3256">
        <v>3110.37</v>
      </c>
      <c r="E66" s="3256">
        <v>2478.65</v>
      </c>
      <c r="F66" s="3257" t="s">
        <v>3179</v>
      </c>
      <c r="G66" s="3256">
        <v>631.72</v>
      </c>
      <c r="H66" s="3257" t="s">
        <v>3179</v>
      </c>
      <c r="N66" s="3263" t="s">
        <v>3523</v>
      </c>
      <c r="O66" s="3256" t="s">
        <v>3233</v>
      </c>
      <c r="P66" s="3257" t="s">
        <v>3234</v>
      </c>
      <c r="Q66" s="3256">
        <v>3053.5</v>
      </c>
      <c r="R66" s="3281">
        <v>2448.34</v>
      </c>
      <c r="S66" s="3257" t="s">
        <v>3179</v>
      </c>
      <c r="T66" s="3256">
        <v>605.16</v>
      </c>
      <c r="U66" s="3257" t="s">
        <v>3179</v>
      </c>
      <c r="V66" s="3273">
        <f t="shared" ca="1" si="14"/>
        <v>2173</v>
      </c>
      <c r="W66" s="3273"/>
      <c r="AJ66" s="3283">
        <f t="shared" ca="1" si="0"/>
        <v>2193.1999999999998</v>
      </c>
      <c r="AK66" s="3284">
        <f t="shared" ca="1" si="1"/>
        <v>7183.4344195185859</v>
      </c>
      <c r="AL66" s="3262">
        <f t="shared" ca="1" si="2"/>
        <v>1179</v>
      </c>
      <c r="AM66" s="3262">
        <f t="shared" ca="1" si="3"/>
        <v>3862</v>
      </c>
      <c r="AN66" s="3262">
        <f t="shared" ca="1" si="17"/>
        <v>1014.1999999999999</v>
      </c>
      <c r="AO66" s="3278">
        <f t="shared" ca="1" si="18"/>
        <v>3321.4344195185854</v>
      </c>
      <c r="AP66" s="3262">
        <f t="shared" ca="1" si="15"/>
        <v>897.3</v>
      </c>
      <c r="AQ66" s="3262">
        <f t="shared" ca="1" si="16"/>
        <v>116.9</v>
      </c>
    </row>
    <row r="67" spans="1:44" ht="14.25">
      <c r="A67" s="3263" t="s">
        <v>3523</v>
      </c>
      <c r="B67" s="3256" t="s">
        <v>3233</v>
      </c>
      <c r="C67" s="3257" t="s">
        <v>3234</v>
      </c>
      <c r="D67" s="3256">
        <v>3053.5</v>
      </c>
      <c r="E67" s="3256">
        <v>2448.34</v>
      </c>
      <c r="F67" s="3257" t="s">
        <v>3179</v>
      </c>
      <c r="G67" s="3256">
        <v>605.16</v>
      </c>
      <c r="H67" s="3257" t="s">
        <v>3179</v>
      </c>
      <c r="N67" s="3263" t="s">
        <v>3529</v>
      </c>
      <c r="O67" s="3257" t="s">
        <v>3235</v>
      </c>
      <c r="P67" s="3257" t="s">
        <v>3236</v>
      </c>
      <c r="Q67" s="3256">
        <v>7411.07</v>
      </c>
      <c r="R67" s="3281">
        <v>0</v>
      </c>
      <c r="S67" s="3256" t="s">
        <v>70</v>
      </c>
      <c r="T67" s="3256">
        <v>7411.07</v>
      </c>
      <c r="U67" s="3257" t="s">
        <v>3676</v>
      </c>
      <c r="V67" s="3273">
        <f ca="1">W68-SUM(V5:V66)</f>
        <v>3613</v>
      </c>
      <c r="W67" s="3287" t="s">
        <v>3675</v>
      </c>
      <c r="AJ67" s="3283">
        <f t="shared" ca="1" si="0"/>
        <v>3677.4</v>
      </c>
      <c r="AK67" s="3284">
        <f t="shared" ca="1" si="1"/>
        <v>4962.2459833735211</v>
      </c>
      <c r="AL67" s="3262">
        <f t="shared" ca="1" si="2"/>
        <v>2862</v>
      </c>
      <c r="AM67" s="3262">
        <f t="shared" ca="1" si="3"/>
        <v>3862</v>
      </c>
      <c r="AN67" s="3262">
        <f t="shared" ca="1" si="17"/>
        <v>815.4</v>
      </c>
      <c r="AO67" s="3278">
        <f t="shared" ca="1" si="18"/>
        <v>1100.2459833735211</v>
      </c>
      <c r="AR67" s="3262">
        <f ca="1">ROUND($AR$4*T67/$AR$2,1)</f>
        <v>815.4</v>
      </c>
    </row>
    <row r="68" spans="1:44" ht="14.25">
      <c r="A68" s="3268" t="s">
        <v>3525</v>
      </c>
      <c r="B68" s="3258" t="s">
        <v>3599</v>
      </c>
      <c r="C68" s="3259" t="s">
        <v>3600</v>
      </c>
      <c r="D68" s="3258">
        <v>3012.8</v>
      </c>
      <c r="E68" s="3258">
        <v>2448.34</v>
      </c>
      <c r="F68" s="3259" t="s">
        <v>3179</v>
      </c>
      <c r="G68" s="3258">
        <v>564.46</v>
      </c>
      <c r="H68" s="3259" t="s">
        <v>3179</v>
      </c>
      <c r="N68" s="3384" t="s">
        <v>3182</v>
      </c>
      <c r="O68" s="3384"/>
      <c r="P68" s="3256" t="s">
        <v>70</v>
      </c>
      <c r="Q68" s="3256">
        <f>SUM(Q5:Q67)</f>
        <v>242531.24000000002</v>
      </c>
      <c r="R68" s="3281">
        <f>SUM(R5:R67)</f>
        <v>176534.72999999989</v>
      </c>
      <c r="S68" s="3256" t="s">
        <v>70</v>
      </c>
      <c r="T68" s="3256">
        <f>SUM(T5:T67)</f>
        <v>65996.509999999995</v>
      </c>
      <c r="U68" s="3256" t="s">
        <v>70</v>
      </c>
      <c r="V68" s="3256">
        <f ca="1">SUM(V5:V67)</f>
        <v>167234</v>
      </c>
      <c r="W68" s="3276">
        <f ca="1">结果表!G19</f>
        <v>167234</v>
      </c>
      <c r="AK68" s="3284"/>
    </row>
    <row r="69" spans="1:44" ht="14.25">
      <c r="A69" s="3263" t="s">
        <v>3524</v>
      </c>
      <c r="B69" s="3256" t="s">
        <v>3641</v>
      </c>
      <c r="C69" s="3257" t="s">
        <v>3526</v>
      </c>
      <c r="D69" s="3256">
        <v>285.61</v>
      </c>
      <c r="E69" s="3256">
        <v>285.61</v>
      </c>
      <c r="F69" s="3257" t="s">
        <v>3527</v>
      </c>
      <c r="G69" s="3256" t="s">
        <v>3528</v>
      </c>
      <c r="H69" s="3257" t="s">
        <v>3528</v>
      </c>
      <c r="W69" s="3262">
        <f ca="1">V68-W68</f>
        <v>0</v>
      </c>
    </row>
    <row r="70" spans="1:44" ht="14.25">
      <c r="A70" s="3263" t="s">
        <v>3529</v>
      </c>
      <c r="B70" s="3257" t="s">
        <v>3235</v>
      </c>
      <c r="C70" s="3257" t="s">
        <v>3236</v>
      </c>
      <c r="D70" s="3256">
        <v>7411.07</v>
      </c>
      <c r="E70" s="3256">
        <v>0</v>
      </c>
      <c r="F70" s="3256" t="s">
        <v>70</v>
      </c>
      <c r="G70" s="3256">
        <v>7411.07</v>
      </c>
      <c r="H70" s="3257" t="s">
        <v>48</v>
      </c>
    </row>
    <row r="71" spans="1:44" ht="14.25" customHeight="1">
      <c r="A71" s="3384" t="s">
        <v>3182</v>
      </c>
      <c r="B71" s="3384"/>
      <c r="C71" s="3256" t="s">
        <v>70</v>
      </c>
      <c r="D71" s="3256">
        <f>SUM(D5:D70)</f>
        <v>246132.41999999998</v>
      </c>
      <c r="E71" s="3256">
        <f>SUM(E5:E70)</f>
        <v>179571.44999999987</v>
      </c>
      <c r="F71" s="3256" t="s">
        <v>70</v>
      </c>
      <c r="G71" s="3256">
        <f>SUM(G5:G70)</f>
        <v>66560.97</v>
      </c>
      <c r="H71" s="3256" t="s">
        <v>70</v>
      </c>
    </row>
  </sheetData>
  <mergeCells count="48">
    <mergeCell ref="Q53:Q54"/>
    <mergeCell ref="N68:O68"/>
    <mergeCell ref="R3:U3"/>
    <mergeCell ref="N7:N10"/>
    <mergeCell ref="O7:O10"/>
    <mergeCell ref="P7:P10"/>
    <mergeCell ref="Q7:Q10"/>
    <mergeCell ref="R7:R10"/>
    <mergeCell ref="S7:S10"/>
    <mergeCell ref="A71:B71"/>
    <mergeCell ref="N3:N4"/>
    <mergeCell ref="O3:O4"/>
    <mergeCell ref="P3:P4"/>
    <mergeCell ref="Q3:Q4"/>
    <mergeCell ref="N27:N29"/>
    <mergeCell ref="O27:O29"/>
    <mergeCell ref="P27:P29"/>
    <mergeCell ref="Q27:Q29"/>
    <mergeCell ref="N30:N31"/>
    <mergeCell ref="O30:O31"/>
    <mergeCell ref="P30:P31"/>
    <mergeCell ref="Q30:Q31"/>
    <mergeCell ref="N53:N54"/>
    <mergeCell ref="O53:O54"/>
    <mergeCell ref="P53:P54"/>
    <mergeCell ref="A3:A4"/>
    <mergeCell ref="A54:A55"/>
    <mergeCell ref="A30:A31"/>
    <mergeCell ref="D30:D31"/>
    <mergeCell ref="B3:B4"/>
    <mergeCell ref="A27:A29"/>
    <mergeCell ref="A7:A10"/>
    <mergeCell ref="B7:B10"/>
    <mergeCell ref="B27:B29"/>
    <mergeCell ref="B30:B31"/>
    <mergeCell ref="C27:C29"/>
    <mergeCell ref="C30:C31"/>
    <mergeCell ref="C3:C4"/>
    <mergeCell ref="C7:C10"/>
    <mergeCell ref="B54:B55"/>
    <mergeCell ref="C54:C55"/>
    <mergeCell ref="D54:D55"/>
    <mergeCell ref="D3:D4"/>
    <mergeCell ref="D7:D10"/>
    <mergeCell ref="E7:E10"/>
    <mergeCell ref="F7:F10"/>
    <mergeCell ref="D27:D29"/>
    <mergeCell ref="E3:H3"/>
  </mergeCells>
  <phoneticPr fontId="140" type="noConversion"/>
  <pageMargins left="0.25" right="0.25"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E35" sqref="E35"/>
    </sheetView>
  </sheetViews>
  <sheetFormatPr defaultColWidth="9" defaultRowHeight="14.25"/>
  <cols>
    <col min="1" max="1" width="9.5" style="1821" customWidth="1"/>
    <col min="2" max="2" width="24.5" style="1707" customWidth="1"/>
    <col min="3" max="3" width="24.5" style="2684" customWidth="1"/>
    <col min="4" max="4" width="2.625" style="2684" customWidth="1"/>
    <col min="5" max="5" width="5.875" style="2684" customWidth="1"/>
    <col min="6" max="6" width="27" style="1707"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8"/>
    <col min="30" max="16384" width="9" style="1821"/>
  </cols>
  <sheetData>
    <row r="1" spans="1:29" s="2631" customFormat="1" ht="18.75" thickBot="1">
      <c r="A1" s="3389" t="s">
        <v>2784</v>
      </c>
      <c r="B1" s="3390"/>
      <c r="C1" s="3390"/>
      <c r="D1" s="3390"/>
      <c r="E1" s="3390"/>
      <c r="F1" s="3390"/>
      <c r="G1" s="3390"/>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2779</v>
      </c>
      <c r="D2" s="2635"/>
      <c r="E2" s="2632"/>
      <c r="F2" s="2636"/>
      <c r="G2" s="2634" t="s">
        <v>2780</v>
      </c>
      <c r="H2" s="888"/>
      <c r="I2" s="888"/>
      <c r="J2" s="888"/>
      <c r="K2" s="888"/>
      <c r="L2" s="888"/>
      <c r="M2" s="888"/>
      <c r="N2" s="888"/>
      <c r="O2" s="888"/>
      <c r="P2" s="888"/>
      <c r="Q2" s="888"/>
      <c r="R2" s="888"/>
    </row>
    <row r="3" spans="1:29" ht="48">
      <c r="A3" s="2615" t="s">
        <v>2781</v>
      </c>
      <c r="B3" s="2637" t="s">
        <v>2750</v>
      </c>
      <c r="C3" s="2638" t="s">
        <v>2782</v>
      </c>
      <c r="D3" s="2639"/>
      <c r="E3" s="2616" t="s">
        <v>2781</v>
      </c>
      <c r="F3" s="2640" t="s">
        <v>2751</v>
      </c>
      <c r="G3" s="2641" t="s">
        <v>2783</v>
      </c>
      <c r="H3" s="888"/>
      <c r="I3" s="888"/>
      <c r="J3" s="888"/>
      <c r="K3" s="888"/>
      <c r="L3" s="888"/>
      <c r="M3" s="888"/>
      <c r="N3" s="888"/>
      <c r="O3" s="888"/>
      <c r="P3" s="888"/>
      <c r="Q3" s="888"/>
      <c r="R3" s="888"/>
    </row>
    <row r="4" spans="1:29" ht="36.75">
      <c r="A4" s="2616"/>
      <c r="B4" s="329" t="s">
        <v>2752</v>
      </c>
      <c r="C4" s="2642" t="s">
        <v>2753</v>
      </c>
      <c r="D4" s="2639"/>
      <c r="E4" s="2643"/>
      <c r="F4" s="1507" t="s">
        <v>2754</v>
      </c>
      <c r="G4" s="2644" t="s">
        <v>2755</v>
      </c>
      <c r="H4" s="888"/>
      <c r="I4" s="888"/>
      <c r="J4" s="888"/>
      <c r="K4" s="888"/>
      <c r="L4" s="888"/>
      <c r="M4" s="888"/>
      <c r="N4" s="888"/>
      <c r="O4" s="888"/>
      <c r="P4" s="888"/>
      <c r="Q4" s="888"/>
      <c r="R4" s="888"/>
    </row>
    <row r="5" spans="1:29" ht="36.75">
      <c r="A5" s="2616"/>
      <c r="B5" s="329" t="s">
        <v>2756</v>
      </c>
      <c r="C5" s="2642" t="s">
        <v>2757</v>
      </c>
      <c r="D5" s="2639"/>
      <c r="E5" s="2643"/>
      <c r="F5" s="329" t="s">
        <v>2758</v>
      </c>
      <c r="G5" s="2644" t="s">
        <v>2759</v>
      </c>
      <c r="H5" s="888"/>
      <c r="I5" s="888"/>
      <c r="J5" s="888"/>
      <c r="K5" s="888"/>
      <c r="L5" s="888"/>
      <c r="M5" s="888"/>
      <c r="N5" s="888"/>
      <c r="O5" s="888"/>
      <c r="P5" s="888"/>
      <c r="Q5" s="888"/>
      <c r="R5" s="888"/>
    </row>
    <row r="6" spans="1:29" ht="36">
      <c r="A6" s="2616"/>
      <c r="B6" s="329" t="s">
        <v>2760</v>
      </c>
      <c r="C6" s="2644" t="s">
        <v>2755</v>
      </c>
      <c r="D6" s="2639"/>
      <c r="E6" s="2643"/>
      <c r="F6" s="329" t="s">
        <v>2761</v>
      </c>
      <c r="G6" s="2644" t="s">
        <v>2762</v>
      </c>
      <c r="H6" s="888"/>
      <c r="I6" s="888"/>
      <c r="J6" s="888"/>
      <c r="K6" s="888"/>
      <c r="L6" s="888"/>
      <c r="M6" s="888"/>
      <c r="N6" s="888"/>
      <c r="O6" s="888"/>
      <c r="P6" s="888"/>
      <c r="Q6" s="888"/>
      <c r="R6" s="888"/>
    </row>
    <row r="7" spans="1:29" ht="24.75" thickBot="1">
      <c r="A7" s="2616"/>
      <c r="B7" s="329" t="s">
        <v>2758</v>
      </c>
      <c r="C7" s="2644" t="s">
        <v>2759</v>
      </c>
      <c r="D7" s="2645"/>
      <c r="E7" s="2646"/>
      <c r="F7" s="2647" t="s">
        <v>2763</v>
      </c>
      <c r="G7" s="2648" t="s">
        <v>2764</v>
      </c>
      <c r="H7" s="888"/>
      <c r="I7" s="888"/>
      <c r="J7" s="888"/>
      <c r="K7" s="888"/>
      <c r="L7" s="888"/>
      <c r="M7" s="888"/>
      <c r="N7" s="888"/>
      <c r="O7" s="888"/>
      <c r="P7" s="888"/>
      <c r="Q7" s="888"/>
      <c r="R7" s="888"/>
    </row>
    <row r="8" spans="1:29">
      <c r="A8" s="2616"/>
      <c r="B8" s="329" t="s">
        <v>2761</v>
      </c>
      <c r="C8" s="2644" t="s">
        <v>2762</v>
      </c>
      <c r="D8" s="2645"/>
      <c r="E8" s="2645"/>
      <c r="F8" s="2649"/>
      <c r="G8" s="2649"/>
      <c r="H8" s="888"/>
      <c r="I8" s="888"/>
      <c r="J8" s="888"/>
      <c r="K8" s="888"/>
      <c r="L8" s="888"/>
      <c r="M8" s="888"/>
      <c r="N8" s="888"/>
      <c r="O8" s="888"/>
      <c r="P8" s="888"/>
      <c r="Q8" s="888"/>
      <c r="R8" s="888"/>
    </row>
    <row r="9" spans="1:29" ht="24">
      <c r="A9" s="2616"/>
      <c r="B9" s="329" t="s">
        <v>2765</v>
      </c>
      <c r="C9" s="2642" t="s">
        <v>2766</v>
      </c>
      <c r="D9" s="2639"/>
      <c r="E9" s="2645"/>
      <c r="F9" s="2649"/>
      <c r="G9" s="2649"/>
      <c r="H9" s="888"/>
      <c r="I9" s="888"/>
      <c r="J9" s="888"/>
      <c r="K9" s="888"/>
      <c r="L9" s="888"/>
      <c r="M9" s="888"/>
      <c r="N9" s="888"/>
      <c r="O9" s="888"/>
      <c r="P9" s="888"/>
      <c r="Q9" s="888"/>
      <c r="R9" s="888"/>
    </row>
    <row r="10" spans="1:29" s="2655" customFormat="1" ht="15" thickBot="1">
      <c r="A10" s="2617"/>
      <c r="B10" s="2650" t="s">
        <v>2767</v>
      </c>
      <c r="C10" s="2651"/>
      <c r="D10" s="2639"/>
      <c r="E10" s="2639"/>
      <c r="F10" s="2649"/>
      <c r="G10" s="2649"/>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1" customFormat="1" ht="18">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75" thickBot="1">
      <c r="A13" s="2664" t="s">
        <v>2785</v>
      </c>
      <c r="B13" s="2658"/>
      <c r="C13" s="2658"/>
      <c r="D13" s="2656"/>
      <c r="E13" s="2658"/>
      <c r="F13" s="2658"/>
      <c r="G13" s="2658"/>
    </row>
    <row r="14" spans="1:29" ht="15" thickBot="1">
      <c r="A14" s="2668"/>
      <c r="B14" s="2668"/>
      <c r="C14" s="2669" t="s">
        <v>2768</v>
      </c>
      <c r="D14" s="2639"/>
      <c r="E14" s="2670"/>
      <c r="F14" s="2670"/>
      <c r="G14" s="2634" t="s">
        <v>2769</v>
      </c>
    </row>
    <row r="15" spans="1:29" ht="51">
      <c r="A15" s="2618" t="s">
        <v>2770</v>
      </c>
      <c r="B15" s="2671" t="s">
        <v>2750</v>
      </c>
      <c r="C15" s="2672" t="str">
        <f>C3</f>
        <v>估价对象周边居住用地比例、居住小区规模和社区发展完善程度，综合评价居住社区成熟度一般</v>
      </c>
      <c r="D15" s="2639"/>
      <c r="E15" s="2619" t="s">
        <v>2771</v>
      </c>
      <c r="F15" s="2671" t="s">
        <v>2772</v>
      </c>
      <c r="G15" s="2673" t="str">
        <f>G3</f>
        <v>估价对象位于XX开发区，园区建设成熟度XX，产业集聚程度XX</v>
      </c>
    </row>
    <row r="16" spans="1:29" ht="38.25">
      <c r="A16" s="2620"/>
      <c r="B16" s="2674" t="s">
        <v>2752</v>
      </c>
      <c r="C16" s="2675" t="str">
        <f>C4</f>
        <v>估价对象位于XX商圈，周边商业氛围成熟，人流量大，商业繁华度好</v>
      </c>
      <c r="D16" s="2639"/>
      <c r="E16" s="2621"/>
      <c r="F16" s="2676" t="s">
        <v>2754</v>
      </c>
      <c r="G16" s="2677" t="str">
        <f>G4</f>
        <v>估价对象周边道路状况、公共交通通达情况、停车便捷程度，综合评价交通便捷度较好</v>
      </c>
    </row>
    <row r="17" spans="1:18" ht="38.25">
      <c r="A17" s="2620"/>
      <c r="B17" s="2674" t="s">
        <v>2756</v>
      </c>
      <c r="C17" s="2675" t="str">
        <f>C5</f>
        <v>估价对象位于XX商圈，周边办公楼项目较多，入驻率高，办公集聚程度较好</v>
      </c>
      <c r="D17" s="2645"/>
      <c r="E17" s="2621"/>
      <c r="F17" s="2676" t="s">
        <v>2773</v>
      </c>
      <c r="G17" s="2678"/>
    </row>
    <row r="18" spans="1:18" ht="38.25">
      <c r="A18" s="2620"/>
      <c r="B18" s="2676" t="s">
        <v>2760</v>
      </c>
      <c r="C18" s="2677" t="str">
        <f>C6</f>
        <v>估价对象周边道路状况、公共交通通达情况、停车便捷程度，综合评价交通便捷度较好</v>
      </c>
      <c r="D18" s="2645"/>
      <c r="E18" s="2621"/>
      <c r="F18" s="2676" t="s">
        <v>2763</v>
      </c>
      <c r="G18" s="2677" t="str">
        <f>G7</f>
        <v>该园区内是否有污染型企业，绿化情况，卫生条件，整体环境状况判断</v>
      </c>
    </row>
    <row r="19" spans="1:18" ht="25.5">
      <c r="A19" s="2620"/>
      <c r="B19" s="2676" t="s">
        <v>2774</v>
      </c>
      <c r="C19" s="2678"/>
      <c r="D19" s="2639"/>
      <c r="E19" s="2621"/>
      <c r="F19" s="329" t="s">
        <v>2758</v>
      </c>
      <c r="G19" s="2677" t="str">
        <f>G5</f>
        <v>估价对象所在区域公共配套设施齐备情况</v>
      </c>
    </row>
    <row r="20" spans="1:18" ht="25.5">
      <c r="A20" s="2620"/>
      <c r="B20" s="2676" t="s">
        <v>2775</v>
      </c>
      <c r="C20" s="2675" t="str">
        <f>C9</f>
        <v>区域自然环境：；人文环境；综合评价环境状况一般</v>
      </c>
      <c r="D20" s="2645"/>
      <c r="E20" s="2621"/>
      <c r="F20" s="329" t="s">
        <v>2761</v>
      </c>
      <c r="G20" s="2677" t="str">
        <f>G6</f>
        <v>估价对象所在区域基础设施水平</v>
      </c>
    </row>
    <row r="21" spans="1:18" ht="25.5">
      <c r="A21" s="2620"/>
      <c r="B21" s="329" t="s">
        <v>2758</v>
      </c>
      <c r="C21" s="2677" t="str">
        <f>C7</f>
        <v>估价对象所在区域公共配套设施齐备情况</v>
      </c>
      <c r="D21" s="2639"/>
      <c r="E21" s="2621"/>
      <c r="F21" s="2676" t="s">
        <v>2776</v>
      </c>
      <c r="G21" s="2679"/>
    </row>
    <row r="22" spans="1:18" ht="13.5" customHeight="1">
      <c r="A22" s="2620"/>
      <c r="B22" s="329" t="s">
        <v>2761</v>
      </c>
      <c r="C22" s="2677" t="str">
        <f>C8</f>
        <v>估价对象所在区域基础设施水平</v>
      </c>
      <c r="D22" s="2639"/>
      <c r="E22" s="2621"/>
      <c r="F22" s="2676" t="s">
        <v>2767</v>
      </c>
      <c r="G22" s="2678"/>
    </row>
    <row r="23" spans="1:18" s="888" customFormat="1" ht="15" thickBot="1">
      <c r="A23" s="2620"/>
      <c r="B23" s="2676" t="s">
        <v>2776</v>
      </c>
      <c r="C23" s="2679"/>
      <c r="D23" s="1876"/>
      <c r="E23" s="2622"/>
      <c r="F23" s="2680" t="s">
        <v>2777</v>
      </c>
      <c r="G23" s="2681"/>
      <c r="H23" s="2665"/>
      <c r="I23" s="2666"/>
      <c r="J23" s="2665"/>
      <c r="K23" s="2665"/>
      <c r="L23" s="2666"/>
      <c r="M23" s="2665"/>
      <c r="N23" s="2665"/>
      <c r="O23" s="2666"/>
      <c r="P23" s="2665"/>
      <c r="Q23" s="2665"/>
      <c r="R23" s="2667"/>
    </row>
    <row r="24" spans="1:18" s="888" customFormat="1" ht="15" thickBot="1">
      <c r="A24" s="2623"/>
      <c r="B24" s="2680" t="s">
        <v>2778</v>
      </c>
      <c r="C24" s="2682">
        <f>C10</f>
        <v>0</v>
      </c>
      <c r="D24" s="1876"/>
      <c r="E24" s="2613"/>
      <c r="F24" s="2613"/>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9" sqref="E39"/>
    </sheetView>
  </sheetViews>
  <sheetFormatPr defaultColWidth="9" defaultRowHeight="13.5"/>
  <cols>
    <col min="1" max="1" width="25" style="2687" customWidth="1"/>
    <col min="2" max="9" width="15.75" style="2687" customWidth="1"/>
    <col min="10" max="16384" width="9" style="2687"/>
  </cols>
  <sheetData>
    <row r="1" spans="1:11" ht="16.5">
      <c r="A1" s="2686" t="s">
        <v>1090</v>
      </c>
      <c r="B1" s="2686">
        <f>SUM(B14:B23)</f>
        <v>242531.24000000002</v>
      </c>
      <c r="C1" s="2863"/>
      <c r="D1" s="2863"/>
      <c r="E1" s="2863"/>
      <c r="F1" s="2863"/>
      <c r="G1" s="2864"/>
      <c r="H1" s="2865"/>
      <c r="I1" s="2865"/>
      <c r="J1" s="2865"/>
      <c r="K1" s="2865"/>
    </row>
    <row r="2" spans="1:11" ht="16.5">
      <c r="A2" s="2686" t="s">
        <v>1078</v>
      </c>
      <c r="B2" s="2686">
        <f>SUM(C14:C23)</f>
        <v>118122.57</v>
      </c>
      <c r="C2" s="2863"/>
      <c r="D2" s="2863"/>
      <c r="E2" s="2863"/>
      <c r="F2" s="2863"/>
      <c r="G2" s="2864"/>
      <c r="H2" s="2865"/>
      <c r="I2" s="2865"/>
      <c r="J2" s="2865"/>
      <c r="K2" s="2865"/>
    </row>
    <row r="3" spans="1:11" ht="16.5">
      <c r="A3" s="2686" t="s">
        <v>1087</v>
      </c>
      <c r="B3" s="2688">
        <f>项目基本情况!D3</f>
        <v>44769</v>
      </c>
      <c r="C3" s="2863"/>
      <c r="D3" s="2863"/>
      <c r="E3" s="2863"/>
      <c r="F3" s="2863"/>
      <c r="G3" s="2864"/>
      <c r="H3" s="2865"/>
      <c r="I3" s="2865"/>
      <c r="J3" s="2865"/>
      <c r="K3" s="2865"/>
    </row>
    <row r="4" spans="1:11" ht="33">
      <c r="A4" s="2686" t="s">
        <v>1086</v>
      </c>
      <c r="B4" s="2686" t="s">
        <v>1085</v>
      </c>
      <c r="C4" s="2686" t="s">
        <v>1084</v>
      </c>
      <c r="D4" s="2686" t="s">
        <v>1083</v>
      </c>
      <c r="E4" s="2863"/>
      <c r="F4" s="2864"/>
      <c r="G4" s="2864"/>
      <c r="H4" s="2865"/>
      <c r="I4" s="2865"/>
      <c r="J4" s="2865"/>
      <c r="K4" s="2865"/>
    </row>
    <row r="5" spans="1:11" ht="16.5">
      <c r="A5" s="2686" t="s">
        <v>1082</v>
      </c>
      <c r="B5" s="2686">
        <f ca="1">SUM(D14:D23)</f>
        <v>167234</v>
      </c>
      <c r="C5" s="2686">
        <f ca="1">ROUND(B5*10000/$B$1,0)</f>
        <v>6895</v>
      </c>
      <c r="D5" s="2686">
        <f ca="1">ROUND(B5*10000/$B$2,0)</f>
        <v>14158</v>
      </c>
      <c r="E5" s="2863"/>
      <c r="F5" s="2864"/>
      <c r="G5" s="2864"/>
      <c r="H5" s="2865"/>
      <c r="I5" s="2865"/>
      <c r="J5" s="2865"/>
      <c r="K5" s="2865"/>
    </row>
    <row r="6" spans="1:11" ht="16.5">
      <c r="A6" s="2686" t="s">
        <v>1081</v>
      </c>
      <c r="B6" s="2686">
        <f ca="1">SUM(G14:G23)</f>
        <v>167234</v>
      </c>
      <c r="C6" s="2686">
        <f ca="1">ROUND(B6*10000/$B$1,0)</f>
        <v>6895</v>
      </c>
      <c r="D6" s="2686">
        <f ca="1">ROUND(B6*10000/$B$2,0)</f>
        <v>14158</v>
      </c>
      <c r="E6" s="2863"/>
      <c r="F6" s="2864"/>
      <c r="G6" s="2864"/>
      <c r="H6" s="2865"/>
      <c r="I6" s="2865"/>
      <c r="J6" s="2865"/>
      <c r="K6" s="2865"/>
    </row>
    <row r="7" spans="1:11" ht="16.5">
      <c r="A7" s="2686" t="s">
        <v>1089</v>
      </c>
      <c r="B7" s="2686">
        <f>SUM(H14:H23)</f>
        <v>0</v>
      </c>
      <c r="C7" s="2686">
        <f>ROUND(B7*10000/$B$1,0)</f>
        <v>0</v>
      </c>
      <c r="D7" s="2686">
        <f>ROUND(B7*10000/$B$2,0)</f>
        <v>0</v>
      </c>
      <c r="E7" s="2863"/>
      <c r="F7" s="2864"/>
      <c r="G7" s="2864"/>
      <c r="H7" s="2865"/>
      <c r="I7" s="2865"/>
      <c r="J7" s="2865"/>
      <c r="K7" s="2865"/>
    </row>
    <row r="8" spans="1:11" ht="16.5">
      <c r="A8" s="2686" t="s">
        <v>1012</v>
      </c>
      <c r="B8" s="2686">
        <f>SUM(I14:I23)</f>
        <v>0</v>
      </c>
      <c r="C8" s="2686">
        <f>ROUND(B8*10000/$B$1,0)</f>
        <v>0</v>
      </c>
      <c r="D8" s="2686">
        <f>ROUND(B8*10000/$B$2,0)</f>
        <v>0</v>
      </c>
      <c r="E8" s="2863"/>
      <c r="F8" s="2864"/>
      <c r="G8" s="2864"/>
      <c r="H8" s="2865"/>
      <c r="I8" s="2865"/>
      <c r="J8" s="2865"/>
      <c r="K8" s="2865"/>
    </row>
    <row r="9" spans="1:11" ht="16.5">
      <c r="A9" s="2686" t="s">
        <v>1080</v>
      </c>
      <c r="B9" s="2694"/>
      <c r="C9" s="2863"/>
      <c r="D9" s="2863"/>
      <c r="E9" s="2863"/>
      <c r="F9" s="2864"/>
      <c r="G9" s="2864"/>
      <c r="H9" s="2865"/>
      <c r="I9" s="2865"/>
      <c r="J9" s="2865"/>
      <c r="K9" s="2865"/>
    </row>
    <row r="10" spans="1:11" ht="16.5">
      <c r="A10" s="2686" t="s">
        <v>1079</v>
      </c>
      <c r="B10" s="2694"/>
      <c r="C10" s="2863"/>
      <c r="D10" s="2863"/>
      <c r="E10" s="2863"/>
      <c r="F10" s="2864"/>
      <c r="G10" s="2864"/>
      <c r="H10" s="2865"/>
      <c r="I10" s="2865"/>
      <c r="J10" s="2865"/>
      <c r="K10" s="2865"/>
    </row>
    <row r="11" spans="1:11" ht="16.5">
      <c r="A11" s="2686" t="s">
        <v>1095</v>
      </c>
      <c r="B11" s="2694"/>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89" t="s">
        <v>1094</v>
      </c>
      <c r="B13" s="2690" t="s">
        <v>1091</v>
      </c>
      <c r="C13" s="2690" t="s">
        <v>1093</v>
      </c>
      <c r="D13" s="2690" t="s">
        <v>1092</v>
      </c>
      <c r="E13" s="2686" t="s">
        <v>1084</v>
      </c>
      <c r="F13" s="2686" t="s">
        <v>1083</v>
      </c>
      <c r="G13" s="2690" t="s">
        <v>1077</v>
      </c>
      <c r="H13" s="2690" t="s">
        <v>1088</v>
      </c>
      <c r="I13" s="2690" t="s">
        <v>1076</v>
      </c>
      <c r="J13" s="2864"/>
      <c r="K13" s="2865"/>
    </row>
    <row r="14" spans="1:11" ht="16.5">
      <c r="A14" s="2691" t="s">
        <v>1075</v>
      </c>
      <c r="B14" s="2692">
        <f>结果表!B118</f>
        <v>242531.24000000002</v>
      </c>
      <c r="C14" s="2692">
        <f>结果表!C118</f>
        <v>118122.57</v>
      </c>
      <c r="D14" s="2692">
        <f ca="1">结果表!H118</f>
        <v>167234</v>
      </c>
      <c r="E14" s="2692">
        <f ca="1">ROUND(D14*10000/B14,0)</f>
        <v>6895</v>
      </c>
      <c r="F14" s="2692">
        <f ca="1">ROUND(D14*10000/C14,0)</f>
        <v>14158</v>
      </c>
      <c r="G14" s="2692">
        <f ca="1">结果表!D122</f>
        <v>167234</v>
      </c>
      <c r="H14" s="2692" t="str">
        <f>结果表!D124</f>
        <v>——</v>
      </c>
      <c r="I14" s="2692" t="str">
        <f>结果表!D126</f>
        <v>——</v>
      </c>
      <c r="J14" s="2864"/>
      <c r="K14" s="2865"/>
    </row>
    <row r="15" spans="1:11" ht="16.5">
      <c r="A15" s="2691" t="s">
        <v>1074</v>
      </c>
      <c r="B15" s="2693"/>
      <c r="C15" s="2693"/>
      <c r="D15" s="2693"/>
      <c r="E15" s="2692" t="e">
        <f t="shared" ref="E15:E23" si="0">ROUND(D15*10000/B15,0)</f>
        <v>#DIV/0!</v>
      </c>
      <c r="F15" s="2692" t="e">
        <f t="shared" ref="F15:F23" si="1">ROUND(D15*10000/C15,0)</f>
        <v>#DIV/0!</v>
      </c>
      <c r="G15" s="1451"/>
      <c r="H15" s="1451"/>
      <c r="I15" s="2693"/>
      <c r="J15" s="2864"/>
      <c r="K15" s="2865"/>
    </row>
    <row r="16" spans="1:11" ht="16.5">
      <c r="A16" s="2691" t="s">
        <v>1073</v>
      </c>
      <c r="B16" s="2693"/>
      <c r="C16" s="2693"/>
      <c r="D16" s="2693"/>
      <c r="E16" s="2692" t="e">
        <f t="shared" si="0"/>
        <v>#DIV/0!</v>
      </c>
      <c r="F16" s="2692" t="e">
        <f t="shared" si="1"/>
        <v>#DIV/0!</v>
      </c>
      <c r="G16" s="1451"/>
      <c r="H16" s="1451"/>
      <c r="I16" s="2693"/>
      <c r="J16" s="2865"/>
      <c r="K16" s="2865"/>
    </row>
    <row r="17" spans="1:11" ht="16.5">
      <c r="A17" s="2691" t="s">
        <v>1072</v>
      </c>
      <c r="B17" s="2693"/>
      <c r="C17" s="2693"/>
      <c r="D17" s="2693"/>
      <c r="E17" s="2692" t="e">
        <f t="shared" si="0"/>
        <v>#DIV/0!</v>
      </c>
      <c r="F17" s="2692" t="e">
        <f t="shared" si="1"/>
        <v>#DIV/0!</v>
      </c>
      <c r="G17" s="1451"/>
      <c r="H17" s="1451"/>
      <c r="I17" s="2693"/>
      <c r="J17" s="2865"/>
      <c r="K17" s="2865"/>
    </row>
    <row r="18" spans="1:11" ht="16.5">
      <c r="A18" s="2691" t="s">
        <v>1071</v>
      </c>
      <c r="B18" s="2693"/>
      <c r="C18" s="2693"/>
      <c r="D18" s="2693"/>
      <c r="E18" s="2692" t="e">
        <f t="shared" si="0"/>
        <v>#DIV/0!</v>
      </c>
      <c r="F18" s="2692" t="e">
        <f t="shared" si="1"/>
        <v>#DIV/0!</v>
      </c>
      <c r="G18" s="2693"/>
      <c r="H18" s="2693"/>
      <c r="I18" s="2693"/>
      <c r="J18" s="2865"/>
      <c r="K18" s="2865"/>
    </row>
    <row r="19" spans="1:11" ht="16.5">
      <c r="A19" s="2691" t="s">
        <v>1070</v>
      </c>
      <c r="B19" s="2693"/>
      <c r="C19" s="2693"/>
      <c r="D19" s="2693"/>
      <c r="E19" s="2692" t="e">
        <f t="shared" si="0"/>
        <v>#DIV/0!</v>
      </c>
      <c r="F19" s="2692" t="e">
        <f t="shared" si="1"/>
        <v>#DIV/0!</v>
      </c>
      <c r="G19" s="2693"/>
      <c r="H19" s="2693"/>
      <c r="I19" s="2693"/>
      <c r="J19" s="2865"/>
      <c r="K19" s="2865"/>
    </row>
    <row r="20" spans="1:11" ht="16.5">
      <c r="A20" s="2691" t="s">
        <v>1069</v>
      </c>
      <c r="B20" s="2693"/>
      <c r="C20" s="2693"/>
      <c r="D20" s="2693"/>
      <c r="E20" s="2692" t="e">
        <f t="shared" si="0"/>
        <v>#DIV/0!</v>
      </c>
      <c r="F20" s="2692" t="e">
        <f t="shared" si="1"/>
        <v>#DIV/0!</v>
      </c>
      <c r="G20" s="2693"/>
      <c r="H20" s="2693"/>
      <c r="I20" s="2693"/>
      <c r="J20" s="2865"/>
      <c r="K20" s="2865"/>
    </row>
    <row r="21" spans="1:11" ht="16.5">
      <c r="A21" s="2691" t="s">
        <v>1068</v>
      </c>
      <c r="B21" s="2693"/>
      <c r="C21" s="2693"/>
      <c r="D21" s="2693"/>
      <c r="E21" s="2692" t="e">
        <f t="shared" si="0"/>
        <v>#DIV/0!</v>
      </c>
      <c r="F21" s="2692" t="e">
        <f t="shared" si="1"/>
        <v>#DIV/0!</v>
      </c>
      <c r="G21" s="2693"/>
      <c r="H21" s="2693"/>
      <c r="I21" s="2693"/>
      <c r="J21" s="2865"/>
      <c r="K21" s="2865"/>
    </row>
    <row r="22" spans="1:11" ht="16.5">
      <c r="A22" s="2691" t="s">
        <v>1067</v>
      </c>
      <c r="B22" s="2693"/>
      <c r="C22" s="2693"/>
      <c r="D22" s="2693"/>
      <c r="E22" s="2692" t="e">
        <f t="shared" si="0"/>
        <v>#DIV/0!</v>
      </c>
      <c r="F22" s="2692" t="e">
        <f t="shared" si="1"/>
        <v>#DIV/0!</v>
      </c>
      <c r="G22" s="2693"/>
      <c r="H22" s="2693"/>
      <c r="I22" s="2693"/>
      <c r="J22" s="2865"/>
      <c r="K22" s="2865"/>
    </row>
    <row r="23" spans="1:11" ht="16.5">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85" zoomScaleNormal="100" zoomScaleSheetLayoutView="85" zoomScalePageLayoutView="80" workbookViewId="0">
      <selection activeCell="D119" sqref="D119:I119"/>
    </sheetView>
  </sheetViews>
  <sheetFormatPr defaultColWidth="12.625" defaultRowHeight="21.75" customHeight="1"/>
  <cols>
    <col min="1" max="2" width="12.625" style="1888"/>
    <col min="3" max="4" width="12.625" style="1888" customWidth="1"/>
    <col min="5" max="9" width="12.625" style="1888"/>
    <col min="10" max="11" width="12.625" style="734" customWidth="1"/>
    <col min="12" max="12" width="12.625" style="734"/>
    <col min="13" max="13" width="14.125" style="734" bestFit="1" customWidth="1"/>
    <col min="14" max="26" width="12.625" style="734"/>
    <col min="27" max="35" width="12.625" style="1887"/>
    <col min="36" max="16384" width="12.625" style="1888"/>
  </cols>
  <sheetData>
    <row r="1" spans="1:12" ht="21.75" customHeight="1" thickBot="1">
      <c r="A1" s="1772" t="s">
        <v>1705</v>
      </c>
      <c r="B1" s="1882"/>
      <c r="C1" s="1883"/>
      <c r="D1" s="1882"/>
      <c r="E1" s="1882"/>
      <c r="F1" s="1884" t="s">
        <v>1706</v>
      </c>
      <c r="G1" s="1696" t="s">
        <v>3242</v>
      </c>
      <c r="H1" s="1885" t="str">
        <f>IF(G1="现房","——","估价对象范围")</f>
        <v>——</v>
      </c>
      <c r="I1" s="1886"/>
    </row>
    <row r="2" spans="1:12" ht="21.75" customHeight="1" thickBot="1">
      <c r="A2" s="3425" t="str">
        <f>项目基本情况!S2</f>
        <v>北京市房地产</v>
      </c>
      <c r="B2" s="3426"/>
      <c r="C2" s="3426"/>
      <c r="D2" s="3426"/>
      <c r="E2" s="3426"/>
      <c r="F2" s="3426"/>
      <c r="G2" s="3426"/>
      <c r="H2" s="3426"/>
      <c r="I2" s="3427"/>
    </row>
    <row r="3" spans="1:12" ht="12.75">
      <c r="A3" s="3429" t="s">
        <v>1707</v>
      </c>
      <c r="B3" s="3430"/>
      <c r="C3" s="3430"/>
      <c r="D3" s="3430"/>
      <c r="E3" s="3430"/>
      <c r="F3" s="3430"/>
      <c r="G3" s="3430"/>
      <c r="H3" s="3430"/>
      <c r="I3" s="3430"/>
    </row>
    <row r="4" spans="1:12" ht="14.25">
      <c r="A4" s="1889" t="s">
        <v>1708</v>
      </c>
      <c r="B4" s="1890" t="s">
        <v>1709</v>
      </c>
      <c r="C4" s="1891" t="s">
        <v>3257</v>
      </c>
      <c r="D4" s="1891" t="s">
        <v>3258</v>
      </c>
      <c r="E4" s="3431" t="s">
        <v>1710</v>
      </c>
      <c r="F4" s="3432"/>
      <c r="G4" s="3432"/>
      <c r="H4" s="3432"/>
      <c r="I4" s="343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405" t="s">
        <v>1711</v>
      </c>
      <c r="B5" s="3392">
        <v>25</v>
      </c>
      <c r="C5" s="3408"/>
      <c r="D5" s="3428"/>
      <c r="E5" s="136" t="s">
        <v>1712</v>
      </c>
      <c r="F5" s="1892"/>
      <c r="G5" s="1892"/>
      <c r="H5" s="1892"/>
      <c r="I5" s="1507"/>
    </row>
    <row r="6" spans="1:12" ht="12.75">
      <c r="A6" s="3405"/>
      <c r="B6" s="3392"/>
      <c r="C6" s="3409"/>
      <c r="D6" s="3428"/>
      <c r="E6" s="136" t="s">
        <v>1713</v>
      </c>
      <c r="F6" s="1892"/>
      <c r="G6" s="1892"/>
      <c r="H6" s="1892"/>
      <c r="I6" s="1507"/>
    </row>
    <row r="7" spans="1:12" ht="12.75">
      <c r="A7" s="3405"/>
      <c r="B7" s="3392"/>
      <c r="C7" s="3410"/>
      <c r="D7" s="3428"/>
      <c r="E7" s="136" t="s">
        <v>1714</v>
      </c>
      <c r="F7" s="1892"/>
      <c r="G7" s="1892"/>
      <c r="H7" s="1892"/>
      <c r="I7" s="1507"/>
    </row>
    <row r="8" spans="1:12" ht="12.75">
      <c r="A8" s="3405" t="s">
        <v>1715</v>
      </c>
      <c r="B8" s="3392">
        <v>15</v>
      </c>
      <c r="C8" s="3408"/>
      <c r="D8" s="3428"/>
      <c r="E8" s="136" t="s">
        <v>1716</v>
      </c>
      <c r="F8" s="1892"/>
      <c r="G8" s="1892"/>
      <c r="H8" s="1892"/>
      <c r="I8" s="1507"/>
    </row>
    <row r="9" spans="1:12" ht="12.75">
      <c r="A9" s="3405"/>
      <c r="B9" s="3392"/>
      <c r="C9" s="3410"/>
      <c r="D9" s="3428"/>
      <c r="E9" s="136" t="s">
        <v>1717</v>
      </c>
      <c r="F9" s="1892"/>
      <c r="G9" s="1892"/>
      <c r="H9" s="1892"/>
      <c r="I9" s="1507"/>
    </row>
    <row r="10" spans="1:12" ht="12.75">
      <c r="A10" s="3405" t="s">
        <v>1718</v>
      </c>
      <c r="B10" s="3392">
        <v>15</v>
      </c>
      <c r="C10" s="3408"/>
      <c r="D10" s="3428"/>
      <c r="E10" s="136" t="s">
        <v>1719</v>
      </c>
      <c r="F10" s="1892"/>
      <c r="G10" s="1892"/>
      <c r="H10" s="1892"/>
      <c r="I10" s="1507"/>
    </row>
    <row r="11" spans="1:12" ht="12.75">
      <c r="A11" s="3405"/>
      <c r="B11" s="3392"/>
      <c r="C11" s="3410"/>
      <c r="D11" s="3428"/>
      <c r="E11" s="136" t="s">
        <v>1720</v>
      </c>
      <c r="F11" s="1892"/>
      <c r="G11" s="1892"/>
      <c r="H11" s="1892"/>
      <c r="I11" s="1507"/>
    </row>
    <row r="12" spans="1:12" ht="12.75">
      <c r="A12" s="3405" t="s">
        <v>1721</v>
      </c>
      <c r="B12" s="3392">
        <v>15</v>
      </c>
      <c r="C12" s="3408"/>
      <c r="D12" s="3428"/>
      <c r="E12" s="136" t="s">
        <v>1722</v>
      </c>
      <c r="F12" s="1892"/>
      <c r="G12" s="1892"/>
      <c r="H12" s="1892"/>
      <c r="I12" s="1507"/>
    </row>
    <row r="13" spans="1:12" ht="12.75">
      <c r="A13" s="3405"/>
      <c r="B13" s="3392"/>
      <c r="C13" s="3410"/>
      <c r="D13" s="3428"/>
      <c r="E13" s="136" t="s">
        <v>1723</v>
      </c>
      <c r="F13" s="1892"/>
      <c r="G13" s="1892"/>
      <c r="H13" s="1892"/>
      <c r="I13" s="1507"/>
    </row>
    <row r="14" spans="1:12" ht="12.75">
      <c r="A14" s="3405" t="s">
        <v>1724</v>
      </c>
      <c r="B14" s="3392">
        <v>30</v>
      </c>
      <c r="C14" s="3408">
        <v>5</v>
      </c>
      <c r="D14" s="3428">
        <v>5</v>
      </c>
      <c r="E14" s="136" t="s">
        <v>1725</v>
      </c>
      <c r="F14" s="1892"/>
      <c r="G14" s="1892"/>
      <c r="H14" s="1892"/>
      <c r="I14" s="1507"/>
    </row>
    <row r="15" spans="1:12" ht="12.75">
      <c r="A15" s="3405"/>
      <c r="B15" s="3392"/>
      <c r="C15" s="3409"/>
      <c r="D15" s="3428"/>
      <c r="E15" s="136" t="s">
        <v>1726</v>
      </c>
      <c r="F15" s="1892"/>
      <c r="G15" s="1892"/>
      <c r="H15" s="1892"/>
      <c r="I15" s="1507"/>
    </row>
    <row r="16" spans="1:12" ht="12.75">
      <c r="A16" s="3405"/>
      <c r="B16" s="3392"/>
      <c r="C16" s="3410"/>
      <c r="D16" s="3428"/>
      <c r="E16" s="136" t="s">
        <v>1727</v>
      </c>
      <c r="F16" s="1892"/>
      <c r="G16" s="1892"/>
      <c r="H16" s="1892"/>
      <c r="I16" s="1507"/>
    </row>
    <row r="17" spans="1:36" ht="15">
      <c r="A17" s="1893" t="s">
        <v>1728</v>
      </c>
      <c r="B17" s="60"/>
      <c r="C17" s="137">
        <f>SUM(C5:C16)</f>
        <v>5</v>
      </c>
      <c r="D17" s="137">
        <f>SUM(D5:D16)</f>
        <v>5</v>
      </c>
      <c r="E17" s="134"/>
      <c r="F17" s="134"/>
      <c r="G17" s="134"/>
      <c r="H17" s="134"/>
      <c r="I17" s="134"/>
      <c r="K17" s="308"/>
      <c r="L17" s="308" t="s">
        <v>1729</v>
      </c>
      <c r="M17" s="308" t="s">
        <v>1730</v>
      </c>
    </row>
    <row r="18" spans="1:36" ht="31.9" customHeight="1" thickBot="1">
      <c r="A18" s="1894" t="s">
        <v>1731</v>
      </c>
      <c r="B18" s="1895"/>
      <c r="C18" s="138">
        <f>ROUND(C17/SUM(C17:D17),2)</f>
        <v>0.5</v>
      </c>
      <c r="D18" s="138">
        <f>1-C18</f>
        <v>0.5</v>
      </c>
      <c r="E18" s="3415" t="s">
        <v>2629</v>
      </c>
      <c r="F18" s="3416"/>
      <c r="G18" s="3416"/>
      <c r="H18" s="3416"/>
      <c r="I18" s="3416"/>
      <c r="K18" s="308" t="s">
        <v>1732</v>
      </c>
      <c r="L18" s="308">
        <f>IF(C1="",'数据-汇总表'!E3,SUMIF(项目类型,C1,'数据-汇总表'!E17:E26)+SUMIF(项目类型,C1,'数据-汇总表'!I17:I26))</f>
        <v>242531.24000000002</v>
      </c>
      <c r="M18" s="308">
        <f>IF(C1="",'数据-汇总表'!E3,SUMIF(项目类型,C1,'数据-汇总表'!E17:E26))</f>
        <v>242531.24000000002</v>
      </c>
    </row>
    <row r="19" spans="1:36" ht="15">
      <c r="A19" s="1896" t="s">
        <v>1733</v>
      </c>
      <c r="B19" s="1897" t="s">
        <v>1734</v>
      </c>
      <c r="C19" s="139">
        <f ca="1">SUMIF(INDIRECT("'"&amp;C4&amp;"'"&amp;"!A:A"),结果表!B19,INDIRECT("'"&amp;C4&amp;"'"&amp;"!B:B"))</f>
        <v>170003</v>
      </c>
      <c r="D19" s="140">
        <f ca="1">SUMIF(INDIRECT("'"&amp;D4&amp;"'"&amp;"!A:A"),结果表!B19,INDIRECT("'"&amp;D4&amp;"'"&amp;"!B:B"))</f>
        <v>164464</v>
      </c>
      <c r="E19" s="1896" t="s">
        <v>1735</v>
      </c>
      <c r="F19" s="1897" t="s">
        <v>1734</v>
      </c>
      <c r="G19" s="141">
        <f ca="1">ROUND(C19*$C$18+D19*$D$18,0)</f>
        <v>167234</v>
      </c>
      <c r="H19" s="1898" t="s">
        <v>1736</v>
      </c>
      <c r="I19" s="134"/>
      <c r="K19" s="308" t="s">
        <v>1737</v>
      </c>
      <c r="L19" s="308">
        <f>IF(C1="",'数据-汇总表'!D3,SUMIF(项目类型,C1,'数据-汇总表'!D17:D26)+SUMIF(项目类型,C1,'数据-汇总表'!H17:H27))</f>
        <v>118122.57</v>
      </c>
      <c r="M19" s="308">
        <f>IF(C1="",'数据-汇总表'!D3,SUMIF(项目类型,C1,'数据-汇总表'!D17:D26))</f>
        <v>118122.57</v>
      </c>
    </row>
    <row r="20" spans="1:36" ht="15">
      <c r="A20" s="1899"/>
      <c r="B20" s="1138" t="s">
        <v>1738</v>
      </c>
      <c r="C20" s="142">
        <f ca="1">SUMIF(INDIRECT("'"&amp;C4&amp;"'"&amp;"!A:A"),结果表!B20,INDIRECT("'"&amp;C4&amp;"'"&amp;"!B:B"))</f>
        <v>7010</v>
      </c>
      <c r="D20" s="143">
        <f ca="1">SUMIF(INDIRECT("'"&amp;D4&amp;"'"&amp;"!A:A"),结果表!B20,INDIRECT("'"&amp;D4&amp;"'"&amp;"!B:B"))</f>
        <v>6781</v>
      </c>
      <c r="E20" s="1899"/>
      <c r="F20" s="1138" t="s">
        <v>1738</v>
      </c>
      <c r="G20" s="144">
        <f ca="1">ROUND(C20*$C$18+D20*$D$18,0)</f>
        <v>6896</v>
      </c>
      <c r="H20" s="898" t="s">
        <v>1739</v>
      </c>
      <c r="I20" s="134"/>
    </row>
    <row r="21" spans="1:36" ht="15" customHeight="1" thickBot="1">
      <c r="A21" s="918"/>
      <c r="B21" s="1900" t="s">
        <v>1740</v>
      </c>
      <c r="C21" s="728">
        <f ca="1">ROUND(C19*10000/L19,0)</f>
        <v>14392</v>
      </c>
      <c r="D21" s="729">
        <f ca="1">ROUND(D19*10000/L19,0)</f>
        <v>13923</v>
      </c>
      <c r="E21" s="918"/>
      <c r="F21" s="1900" t="s">
        <v>1740</v>
      </c>
      <c r="G21" s="145">
        <f ca="1">ROUND(G19*10000/L19,0)</f>
        <v>14158</v>
      </c>
      <c r="H21" s="1901" t="s">
        <v>1739</v>
      </c>
      <c r="I21" s="134"/>
    </row>
    <row r="22" spans="1:36" ht="15" thickBot="1">
      <c r="A22" s="1823" t="s">
        <v>1741</v>
      </c>
      <c r="B22" s="1902"/>
      <c r="C22" s="1903"/>
      <c r="D22" s="730">
        <f ca="1">IF(C19&lt;D19,D19/C19-1,C19/D19-1)</f>
        <v>3.3679103025586077E-2</v>
      </c>
      <c r="E22" s="134"/>
      <c r="F22" s="134"/>
      <c r="G22" s="134"/>
      <c r="H22" s="134"/>
      <c r="I22" s="134"/>
    </row>
    <row r="23" spans="1:36" ht="13.5" thickBot="1">
      <c r="A23" s="1882"/>
      <c r="B23" s="1882"/>
      <c r="C23" s="1882"/>
      <c r="D23" s="1882"/>
      <c r="E23" s="134"/>
      <c r="F23" s="134"/>
      <c r="G23" s="134"/>
      <c r="H23" s="134"/>
      <c r="I23" s="134"/>
    </row>
    <row r="24" spans="1:36" ht="14.25">
      <c r="A24" s="3399" t="s">
        <v>1742</v>
      </c>
      <c r="B24" s="1897" t="s">
        <v>1734</v>
      </c>
      <c r="C24" s="141">
        <f>IF(B30=0,0,D30)</f>
        <v>0</v>
      </c>
      <c r="D24" s="1904"/>
      <c r="E24" s="134"/>
      <c r="F24" s="134"/>
      <c r="G24" s="134"/>
      <c r="H24" s="134"/>
      <c r="I24" s="134"/>
    </row>
    <row r="25" spans="1:36" ht="14.25">
      <c r="A25" s="3400"/>
      <c r="B25" s="1138" t="s">
        <v>1738</v>
      </c>
      <c r="C25" s="146">
        <f>IF(B30=0,0,C30)</f>
        <v>0</v>
      </c>
      <c r="D25" s="1905"/>
      <c r="E25" s="134"/>
      <c r="F25" s="134"/>
      <c r="G25" s="134"/>
      <c r="H25" s="134"/>
      <c r="I25" s="134"/>
    </row>
    <row r="26" spans="1:36" ht="13.5" customHeight="1">
      <c r="A26" s="1906" t="s">
        <v>1743</v>
      </c>
      <c r="B26" s="147" t="s">
        <v>1744</v>
      </c>
      <c r="C26" s="147" t="s">
        <v>1745</v>
      </c>
      <c r="D26" s="148" t="s">
        <v>1746</v>
      </c>
      <c r="E26" s="134"/>
      <c r="F26" s="134"/>
      <c r="G26" s="134"/>
      <c r="H26" s="134"/>
      <c r="I26" s="134"/>
    </row>
    <row r="27" spans="1:36" ht="14.25">
      <c r="A27" s="1906"/>
      <c r="B27" s="147">
        <v>0</v>
      </c>
      <c r="C27" s="147">
        <v>0</v>
      </c>
      <c r="D27" s="148">
        <f>ROUND(C27*B27/10000,0)</f>
        <v>0</v>
      </c>
      <c r="E27" s="134"/>
      <c r="F27" s="134"/>
      <c r="G27" s="134"/>
      <c r="H27" s="134"/>
      <c r="I27" s="134"/>
    </row>
    <row r="28" spans="1:36" ht="14.25">
      <c r="A28" s="1906"/>
      <c r="B28" s="147"/>
      <c r="C28" s="147"/>
      <c r="D28" s="148"/>
      <c r="E28" s="134"/>
      <c r="F28" s="134"/>
      <c r="G28" s="134"/>
      <c r="H28" s="134"/>
      <c r="I28" s="134"/>
    </row>
    <row r="29" spans="1:36" ht="14.25">
      <c r="A29" s="1906"/>
      <c r="B29" s="147"/>
      <c r="C29" s="147"/>
      <c r="D29" s="148"/>
      <c r="E29" s="134"/>
      <c r="F29" s="134"/>
      <c r="G29" s="134"/>
      <c r="H29" s="134"/>
      <c r="I29" s="134"/>
    </row>
    <row r="30" spans="1:36" ht="15" thickBot="1">
      <c r="A30" s="147" t="s">
        <v>1747</v>
      </c>
      <c r="B30" s="147"/>
      <c r="C30" s="147"/>
      <c r="D30" s="147"/>
      <c r="E30" s="2470" t="s">
        <v>2630</v>
      </c>
      <c r="F30" s="134"/>
      <c r="G30" s="134"/>
      <c r="H30" s="134"/>
      <c r="I30" s="134"/>
    </row>
    <row r="31" spans="1:36" s="2476" customFormat="1" ht="26.45" customHeight="1" thickTop="1" thickBot="1">
      <c r="A31" s="2471"/>
      <c r="B31" s="2472"/>
      <c r="C31" s="2472"/>
      <c r="D31" s="2472"/>
      <c r="E31" s="2472"/>
      <c r="F31" s="2472"/>
      <c r="G31" s="2472"/>
      <c r="H31" s="2472"/>
      <c r="I31" s="2473" t="s">
        <v>2631</v>
      </c>
      <c r="J31" s="2866"/>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8" t="s">
        <v>1748</v>
      </c>
      <c r="B32" s="1909"/>
      <c r="C32" s="149">
        <f ca="1">IF(D32="总价",G19-C24,G20-C25)</f>
        <v>167234</v>
      </c>
      <c r="D32" s="1910" t="s">
        <v>3259</v>
      </c>
      <c r="E32" s="134"/>
      <c r="F32" s="134"/>
      <c r="G32" s="134"/>
      <c r="H32" s="134"/>
      <c r="I32" s="134"/>
    </row>
    <row r="33" spans="1:15" ht="15">
      <c r="A33" s="875" t="s">
        <v>1749</v>
      </c>
      <c r="B33" s="1911"/>
      <c r="C33" s="1912" t="s">
        <v>3666</v>
      </c>
      <c r="D33" s="1913" t="s">
        <v>3257</v>
      </c>
      <c r="E33" s="1914" t="s">
        <v>1750</v>
      </c>
      <c r="F33" s="1915" t="str">
        <f>IF(D32="楼面单价","取值（单价）","取值（总价）")</f>
        <v>取值（总价）</v>
      </c>
      <c r="G33" s="134"/>
      <c r="H33" s="134"/>
      <c r="I33" s="134"/>
    </row>
    <row r="34" spans="1:15" ht="15">
      <c r="A34" s="1916"/>
      <c r="B34" s="1917" t="s">
        <v>1751</v>
      </c>
      <c r="C34" s="153">
        <f ca="1">IF(C33="自定义",F34,C32-C35)</f>
        <v>51006</v>
      </c>
      <c r="D34" s="951">
        <f ca="1">IF(C33="自定义",ROUND(C34/C32,3),IF(C33="收益比率",SUMIF(INDIRECT("'"&amp;D33&amp;"'"&amp;"!b:b"),"土地收益比率",INDIRECT("'"&amp;D33&amp;"'"&amp;"!c:c")),SUMIF(INDIRECT("'"&amp;D33&amp;"'"&amp;"!b:b"),"土地成本比率",INDIRECT("'"&amp;D33&amp;"'"&amp;"!c:c"))))</f>
        <v>0.30500000000000005</v>
      </c>
      <c r="E34" s="1918" t="s">
        <v>1752</v>
      </c>
      <c r="F34" s="1450">
        <f ca="1">G19-F35</f>
        <v>49013</v>
      </c>
      <c r="G34" s="134"/>
      <c r="H34" s="134"/>
      <c r="I34" s="134"/>
    </row>
    <row r="35" spans="1:15" ht="15.75" thickBot="1">
      <c r="A35" s="1919"/>
      <c r="B35" s="1920" t="s">
        <v>1753</v>
      </c>
      <c r="C35" s="1285">
        <f ca="1">IF(C33="自定义",F35,ROUND(C32*D35,0))</f>
        <v>116228</v>
      </c>
      <c r="D35" s="1286">
        <f ca="1">IF(C33="自定义",ROUND(C35/C32,3),IF(C33="收益比率",SUMIF(INDIRECT("'"&amp;D33&amp;"'"&amp;"!b:b"),"建筑物收益比率",INDIRECT("'"&amp;D33&amp;"'"&amp;"!c:c")),SUMIF(INDIRECT("'"&amp;D33&amp;"'"&amp;"!b:b"),"建筑物成本比率",INDIRECT("'"&amp;D33&amp;"'"&amp;"!c:c"))))</f>
        <v>0.69499999999999995</v>
      </c>
      <c r="E35" s="1921" t="s">
        <v>1754</v>
      </c>
      <c r="F35" s="159">
        <f ca="1">成本法!C51</f>
        <v>118221</v>
      </c>
      <c r="G35" s="134"/>
      <c r="H35" s="134"/>
      <c r="I35" s="134"/>
    </row>
    <row r="36" spans="1:15" ht="15.75" thickBot="1">
      <c r="A36" s="3419" t="s">
        <v>1755</v>
      </c>
      <c r="B36" s="1922" t="s">
        <v>1756</v>
      </c>
      <c r="C36" s="150"/>
      <c r="D36" s="1923"/>
      <c r="E36" s="1924"/>
      <c r="F36" s="1925"/>
      <c r="G36" s="134"/>
      <c r="H36" s="134"/>
      <c r="I36" s="134"/>
    </row>
    <row r="37" spans="1:15" ht="15.75" thickBot="1">
      <c r="A37" s="3420"/>
      <c r="B37" s="1809" t="s">
        <v>1757</v>
      </c>
      <c r="C37" s="152"/>
      <c r="D37" s="1254"/>
      <c r="E37" s="1254"/>
      <c r="F37" s="1925"/>
      <c r="G37" s="134"/>
      <c r="H37" s="134"/>
      <c r="I37" s="134"/>
    </row>
    <row r="38" spans="1:15" ht="15.75" thickBot="1">
      <c r="A38" s="3421"/>
      <c r="B38" s="1926" t="s">
        <v>1758</v>
      </c>
      <c r="C38" s="683"/>
      <c r="D38" s="1927" t="s">
        <v>1759</v>
      </c>
      <c r="E38" s="1254"/>
      <c r="F38" s="1925"/>
      <c r="G38" s="134"/>
      <c r="H38" s="134"/>
      <c r="I38" s="134"/>
    </row>
    <row r="39" spans="1:15" ht="15">
      <c r="A39" s="1899" t="s">
        <v>1760</v>
      </c>
      <c r="B39" s="1928" t="s">
        <v>1761</v>
      </c>
      <c r="C39" s="1929" t="s">
        <v>1762</v>
      </c>
      <c r="D39" s="1929" t="s">
        <v>1763</v>
      </c>
      <c r="E39" s="1930" t="s">
        <v>1764</v>
      </c>
      <c r="F39" s="1925"/>
      <c r="G39" s="134"/>
      <c r="H39" s="134"/>
      <c r="I39" s="134"/>
    </row>
    <row r="40" spans="1:15" ht="14.25">
      <c r="A40" s="1931" t="s">
        <v>1765</v>
      </c>
      <c r="B40" s="154"/>
      <c r="C40" s="155"/>
      <c r="D40" s="155"/>
      <c r="E40" s="156"/>
      <c r="F40" s="1925"/>
      <c r="G40" s="134"/>
      <c r="H40" s="134"/>
      <c r="I40" s="134"/>
    </row>
    <row r="41" spans="1:15" ht="14.25">
      <c r="A41" s="1931" t="s">
        <v>1766</v>
      </c>
      <c r="B41" s="154"/>
      <c r="C41" s="155"/>
      <c r="D41" s="155"/>
      <c r="E41" s="156"/>
      <c r="F41" s="1925"/>
      <c r="G41" s="134"/>
      <c r="H41" s="134"/>
      <c r="I41" s="134"/>
    </row>
    <row r="42" spans="1:15" ht="15" thickBot="1">
      <c r="A42" s="1932"/>
      <c r="B42" s="157"/>
      <c r="C42" s="158"/>
      <c r="D42" s="158"/>
      <c r="E42" s="159"/>
      <c r="F42" s="1925"/>
      <c r="G42" s="134"/>
      <c r="H42" s="134"/>
      <c r="I42" s="134"/>
    </row>
    <row r="43" spans="1:15" ht="12.75">
      <c r="A43" s="1712"/>
      <c r="B43" s="1712"/>
      <c r="C43" s="1712"/>
      <c r="D43" s="1712"/>
      <c r="E43" s="1712"/>
      <c r="F43" s="1933"/>
      <c r="G43" s="1933"/>
      <c r="H43" s="1933"/>
      <c r="I43" s="1934"/>
    </row>
    <row r="44" spans="1:15" ht="18.75">
      <c r="A44" s="1935" t="s">
        <v>1767</v>
      </c>
      <c r="B44" s="1936"/>
      <c r="C44" s="1936"/>
      <c r="D44" s="1937"/>
      <c r="E44" s="1937"/>
      <c r="F44" s="1938"/>
      <c r="G44" s="1938"/>
      <c r="H44" s="1938"/>
      <c r="I44" s="1938"/>
      <c r="J44" s="1939" t="s">
        <v>1768</v>
      </c>
      <c r="K44" s="1940"/>
      <c r="L44" s="1940"/>
      <c r="M44" s="1940"/>
      <c r="N44" s="1940"/>
      <c r="O44" s="1940"/>
    </row>
    <row r="45" spans="1:15" ht="14.25" customHeight="1" thickBot="1">
      <c r="A45" s="3396" t="s">
        <v>1769</v>
      </c>
      <c r="B45" s="3397"/>
      <c r="C45" s="3398"/>
      <c r="D45" s="160">
        <f ca="1">ROUND(H101*F45,0)</f>
        <v>167234</v>
      </c>
      <c r="E45" s="161" t="s">
        <v>1770</v>
      </c>
      <c r="F45" s="162">
        <v>1</v>
      </c>
      <c r="G45" s="163" t="s">
        <v>1771</v>
      </c>
      <c r="H45" s="134"/>
      <c r="I45" s="134"/>
      <c r="J45" s="3477" t="s">
        <v>1772</v>
      </c>
      <c r="K45" s="3477"/>
      <c r="L45" s="3477"/>
      <c r="M45" s="3477"/>
      <c r="N45" s="3477"/>
      <c r="O45" s="3477"/>
    </row>
    <row r="46" spans="1:15" ht="14.25" customHeight="1">
      <c r="A46" s="3393" t="s">
        <v>1773</v>
      </c>
      <c r="B46" s="3394"/>
      <c r="C46" s="3394"/>
      <c r="D46" s="3394"/>
      <c r="E46" s="3394"/>
      <c r="F46" s="3394"/>
      <c r="G46" s="3395"/>
      <c r="H46" s="1941"/>
      <c r="I46" s="164"/>
      <c r="J46" s="2697">
        <v>1</v>
      </c>
      <c r="K46" s="3458" t="s">
        <v>1774</v>
      </c>
      <c r="L46" s="3458"/>
      <c r="M46" s="3478"/>
      <c r="N46" s="3478"/>
      <c r="O46" s="3478"/>
    </row>
    <row r="47" spans="1:15" ht="12" customHeight="1">
      <c r="A47" s="165" t="s">
        <v>1775</v>
      </c>
      <c r="B47" s="166"/>
      <c r="C47" s="167"/>
      <c r="D47" s="1200" t="s">
        <v>1776</v>
      </c>
      <c r="E47" s="308" t="s">
        <v>1777</v>
      </c>
      <c r="F47" s="168" t="s">
        <v>1778</v>
      </c>
      <c r="G47" s="2720" t="s">
        <v>1779</v>
      </c>
      <c r="H47" s="2721"/>
      <c r="I47" s="164"/>
      <c r="J47" s="2697">
        <v>2</v>
      </c>
      <c r="K47" s="3458" t="s">
        <v>1780</v>
      </c>
      <c r="L47" s="3458"/>
      <c r="M47" s="3479">
        <f>'数据-取费表'!B2</f>
        <v>44769</v>
      </c>
      <c r="N47" s="3479"/>
      <c r="O47" s="3479"/>
    </row>
    <row r="48" spans="1:15" ht="25.5">
      <c r="A48" s="3424" t="s">
        <v>1781</v>
      </c>
      <c r="B48" s="3407"/>
      <c r="C48" s="3407"/>
      <c r="D48" s="2496" t="b">
        <f>IF(H48="情况1",0,IF(H48="情况2",D52,IF(H48="情况3",D53,IF(H48="情况4",D54))))</f>
        <v>0</v>
      </c>
      <c r="E48" s="2506" t="str">
        <f>IF(H48="情况4","(销售额-原购置价)×税（费）率","销售额×税（费）率")</f>
        <v>销售额×税（费）率</v>
      </c>
      <c r="F48" s="2722">
        <f>IF(H48="情况1","免征",'数据-取费表'!B41)</f>
        <v>5.5000000000000007E-2</v>
      </c>
      <c r="G48" s="2723" t="s">
        <v>1782</v>
      </c>
      <c r="H48" s="2724"/>
      <c r="I48" s="1941"/>
      <c r="J48" s="2697">
        <v>3</v>
      </c>
      <c r="K48" s="3458" t="s">
        <v>1783</v>
      </c>
      <c r="L48" s="3458"/>
      <c r="M48" s="3480">
        <f ca="1">H101</f>
        <v>167234</v>
      </c>
      <c r="N48" s="3480"/>
      <c r="O48" s="3480"/>
    </row>
    <row r="49" spans="1:35" ht="25.5" customHeight="1">
      <c r="A49" s="2505" t="s">
        <v>1784</v>
      </c>
      <c r="B49" s="3391" t="s">
        <v>1785</v>
      </c>
      <c r="C49" s="3391"/>
      <c r="D49" s="1725">
        <v>0</v>
      </c>
      <c r="E49" s="330" t="s">
        <v>1786</v>
      </c>
      <c r="F49" s="2598" t="s">
        <v>34</v>
      </c>
      <c r="G49" s="3464"/>
      <c r="H49" s="2477" t="s">
        <v>2632</v>
      </c>
      <c r="I49" s="2478"/>
      <c r="J49" s="2697">
        <v>4</v>
      </c>
      <c r="K49" s="3458" t="str">
        <f>IF(项目基本情况!E8="房地产抵押价值","房地产抵押价值","抵押担保权已注销时的房地产抵押价值")</f>
        <v>房地产抵押价值</v>
      </c>
      <c r="L49" s="3458"/>
      <c r="M49" s="3480">
        <f ca="1">IF(项目基本情况!E8="房地产抵押价值",H107,H109)</f>
        <v>167234</v>
      </c>
      <c r="N49" s="3480"/>
      <c r="O49" s="3480"/>
    </row>
    <row r="50" spans="1:35" ht="25.5" customHeight="1">
      <c r="A50" s="2725"/>
      <c r="B50" s="3391" t="s">
        <v>1787</v>
      </c>
      <c r="C50" s="3391"/>
      <c r="D50" s="2726"/>
      <c r="E50" s="338"/>
      <c r="F50" s="2598"/>
      <c r="G50" s="3465"/>
      <c r="H50" s="2479" t="s">
        <v>2633</v>
      </c>
      <c r="I50" s="2478"/>
      <c r="J50" s="3477" t="s">
        <v>1788</v>
      </c>
      <c r="K50" s="3477"/>
      <c r="L50" s="3477"/>
      <c r="M50" s="3477"/>
      <c r="N50" s="3477"/>
      <c r="O50" s="3477"/>
    </row>
    <row r="51" spans="1:35" ht="20.45" customHeight="1">
      <c r="A51" s="2727"/>
      <c r="B51" s="3391" t="s">
        <v>1789</v>
      </c>
      <c r="C51" s="3391"/>
      <c r="D51" s="1200"/>
      <c r="E51" s="333"/>
      <c r="F51" s="2598"/>
      <c r="G51" s="3466"/>
      <c r="H51" s="2479" t="s">
        <v>2634</v>
      </c>
      <c r="I51" s="2478"/>
      <c r="J51" s="2698" t="s">
        <v>1790</v>
      </c>
      <c r="K51" s="3458" t="s">
        <v>1791</v>
      </c>
      <c r="L51" s="3458"/>
      <c r="M51" s="2698" t="s">
        <v>1792</v>
      </c>
      <c r="N51" s="2698" t="s">
        <v>1793</v>
      </c>
      <c r="O51" s="2698" t="s">
        <v>1794</v>
      </c>
    </row>
    <row r="52" spans="1:35" ht="24" customHeight="1">
      <c r="A52" s="2507" t="s">
        <v>1795</v>
      </c>
      <c r="B52" s="3391" t="s">
        <v>1796</v>
      </c>
      <c r="C52" s="3391"/>
      <c r="D52" s="1200">
        <f ca="1">ROUND(D45*'数据-取费表'!B41/(1+'数据-取费表'!C42),0)</f>
        <v>8760</v>
      </c>
      <c r="E52" s="2506" t="s">
        <v>1797</v>
      </c>
      <c r="F52" s="2728">
        <f>'数据-取费表'!B41</f>
        <v>5.5000000000000007E-2</v>
      </c>
      <c r="G52" s="2729"/>
      <c r="H52" s="2718"/>
      <c r="I52" s="1942"/>
      <c r="J52" s="2697">
        <v>1</v>
      </c>
      <c r="K52" s="3459" t="s">
        <v>1798</v>
      </c>
      <c r="L52" s="3459"/>
      <c r="M52" s="2699" t="b">
        <f>D48</f>
        <v>0</v>
      </c>
      <c r="N52" s="2697" t="str">
        <f>E48</f>
        <v>销售额×税（费）率</v>
      </c>
      <c r="O52" s="2700">
        <f>F48</f>
        <v>5.5000000000000007E-2</v>
      </c>
    </row>
    <row r="53" spans="1:35" ht="12" customHeight="1">
      <c r="A53" s="2507" t="s">
        <v>1799</v>
      </c>
      <c r="B53" s="3417" t="s">
        <v>2789</v>
      </c>
      <c r="C53" s="3418"/>
      <c r="D53" s="1200">
        <f ca="1">ROUND(D45*'数据-取费表'!B41/(1+'数据-取费表'!C42),0)</f>
        <v>8760</v>
      </c>
      <c r="E53" s="2506" t="s">
        <v>1797</v>
      </c>
      <c r="F53" s="2728">
        <f>'数据-取费表'!B41</f>
        <v>5.5000000000000007E-2</v>
      </c>
      <c r="G53" s="2729"/>
      <c r="H53" s="2718"/>
      <c r="I53" s="1942"/>
      <c r="J53" s="2697">
        <v>2</v>
      </c>
      <c r="K53" s="3459" t="s">
        <v>1800</v>
      </c>
      <c r="L53" s="3459"/>
      <c r="M53" s="2699">
        <f t="shared" ref="M53:O54" ca="1" si="0">D55</f>
        <v>84</v>
      </c>
      <c r="N53" s="2697" t="str">
        <f t="shared" si="0"/>
        <v>销售额×税（费）率</v>
      </c>
      <c r="O53" s="2700" t="str">
        <f t="shared" si="0"/>
        <v>免征</v>
      </c>
    </row>
    <row r="54" spans="1:35" ht="12" customHeight="1">
      <c r="A54" s="2507" t="s">
        <v>1801</v>
      </c>
      <c r="B54" s="3417" t="s">
        <v>2790</v>
      </c>
      <c r="C54" s="3418"/>
      <c r="D54" s="1200">
        <f ca="1">C68</f>
        <v>8760</v>
      </c>
      <c r="E54" s="333" t="s">
        <v>1802</v>
      </c>
      <c r="F54" s="2728">
        <f>'数据-取费表'!B41</f>
        <v>5.5000000000000007E-2</v>
      </c>
      <c r="G54" s="2729"/>
      <c r="H54" s="2730"/>
      <c r="I54" s="1942"/>
      <c r="J54" s="2697">
        <v>3</v>
      </c>
      <c r="K54" s="3459" t="s">
        <v>1803</v>
      </c>
      <c r="L54" s="3459"/>
      <c r="M54" s="2699">
        <f t="shared" ca="1" si="0"/>
        <v>94806</v>
      </c>
      <c r="N54" s="2697" t="str">
        <f t="shared" si="0"/>
        <v>增值额×税（费）率</v>
      </c>
      <c r="O54" s="2701" t="str">
        <f t="shared" si="0"/>
        <v>免征</v>
      </c>
    </row>
    <row r="55" spans="1:35" ht="24" customHeight="1">
      <c r="A55" s="3406" t="s">
        <v>1804</v>
      </c>
      <c r="B55" s="3407"/>
      <c r="C55" s="3407"/>
      <c r="D55" s="2496">
        <f ca="1">IF(H55="个人住宅",0,ROUND(D45*I55,0))</f>
        <v>84</v>
      </c>
      <c r="E55" s="2506" t="s">
        <v>1805</v>
      </c>
      <c r="F55" s="2728" t="str">
        <f>IF(H55="正常",I55,"免征")</f>
        <v>免征</v>
      </c>
      <c r="G55" s="2729"/>
      <c r="H55" s="2724"/>
      <c r="I55" s="170">
        <f>'数据-取费表'!B49</f>
        <v>5.0000000000000001E-4</v>
      </c>
      <c r="J55" s="2697">
        <f>IF(H59="非个人房产","",4)</f>
        <v>4</v>
      </c>
      <c r="K55" s="3459" t="str">
        <f>IF(H59="非个人房产","——","个人所得税")</f>
        <v>个人所得税</v>
      </c>
      <c r="L55" s="3459"/>
      <c r="M55" s="2702">
        <f ca="1">D59</f>
        <v>1593</v>
      </c>
      <c r="N55" s="2177" t="str">
        <f>E59</f>
        <v>差额计税</v>
      </c>
      <c r="O55" s="2703">
        <f>F59</f>
        <v>0.01</v>
      </c>
    </row>
    <row r="56" spans="1:35" ht="24.75">
      <c r="A56" s="3406" t="s">
        <v>1806</v>
      </c>
      <c r="B56" s="3407"/>
      <c r="C56" s="3407"/>
      <c r="D56" s="2496">
        <f ca="1">IF(H56="个人住宅",D57,D58)</f>
        <v>94806</v>
      </c>
      <c r="E56" s="2506" t="s">
        <v>1807</v>
      </c>
      <c r="F56" s="2728" t="str">
        <f>IF(H56="正常",F58,"免征")</f>
        <v>免征</v>
      </c>
      <c r="G56" s="2731" t="s">
        <v>1808</v>
      </c>
      <c r="H56" s="2732"/>
      <c r="I56" s="1943"/>
      <c r="J56" s="2697" t="str">
        <f>IF(项目基本情况!K6="上海银行",IF(J55="",4,J55+1),"")</f>
        <v/>
      </c>
      <c r="K56" s="3482" t="str">
        <f>IF(项目基本情况!K6="上海银行","其他处置费用","")</f>
        <v/>
      </c>
      <c r="L56" s="3483"/>
      <c r="M56" s="2699" t="str">
        <f>IF(项目基本情况!K6="上海银行",M69,"")</f>
        <v/>
      </c>
      <c r="N56" s="3482" t="str">
        <f>IF(项目基本情况!K6="上海银行","包含处置中涉及的律师、诉讼、拍卖、评估等费用","")</f>
        <v/>
      </c>
      <c r="O56" s="3485"/>
    </row>
    <row r="57" spans="1:35" ht="12.75">
      <c r="A57" s="2507" t="s">
        <v>1784</v>
      </c>
      <c r="B57" s="3417" t="s">
        <v>1809</v>
      </c>
      <c r="C57" s="3418"/>
      <c r="D57" s="1725">
        <v>0</v>
      </c>
      <c r="E57" s="330" t="s">
        <v>1786</v>
      </c>
      <c r="F57" s="308"/>
      <c r="G57" s="2729"/>
      <c r="H57" s="2733"/>
      <c r="I57" s="1943"/>
      <c r="J57" s="3459">
        <f>IF(AND(J55="",J56=""),4,IF(项目基本情况!K6="上海银行",结果表!J56+1,结果表!J55+1))</f>
        <v>5</v>
      </c>
      <c r="K57" s="3459" t="s">
        <v>1810</v>
      </c>
      <c r="L57" s="2704" t="s">
        <v>1811</v>
      </c>
      <c r="M57" s="2705"/>
      <c r="N57" s="2706">
        <f ca="1">SUMIF(M52:M56,"&lt;9e307")</f>
        <v>96483</v>
      </c>
      <c r="O57" s="2707"/>
      <c r="P57" s="2867">
        <f ca="1">N57/M49</f>
        <v>0.576934116268223</v>
      </c>
    </row>
    <row r="58" spans="1:35" ht="24.75">
      <c r="A58" s="2507" t="s">
        <v>1795</v>
      </c>
      <c r="B58" s="3417" t="s">
        <v>1812</v>
      </c>
      <c r="C58" s="3391"/>
      <c r="D58" s="2496">
        <f ca="1">IF(H58="转让取得",C81,C97)</f>
        <v>94806</v>
      </c>
      <c r="E58" s="2506" t="s">
        <v>1807</v>
      </c>
      <c r="F58" s="308" t="s">
        <v>34</v>
      </c>
      <c r="G58" s="2729"/>
      <c r="H58" s="2732"/>
      <c r="I58" s="1943"/>
      <c r="J58" s="3459"/>
      <c r="K58" s="3459"/>
      <c r="L58" s="2704" t="s">
        <v>1813</v>
      </c>
      <c r="M58" s="2708"/>
      <c r="N58" s="2709" t="str">
        <f ca="1">NUMBERSTRING(INT(N57*10000),2)&amp;"元整"</f>
        <v>玖亿陆仟肆佰捌拾叁万元整</v>
      </c>
      <c r="O58" s="2710"/>
    </row>
    <row r="59" spans="1:35" ht="24.75" thickBot="1">
      <c r="A59" s="3462" t="s">
        <v>1814</v>
      </c>
      <c r="B59" s="3463"/>
      <c r="C59" s="3463"/>
      <c r="D59" s="2734">
        <f ca="1">IF(H59="非个人房产","——",IF(H59="个人住宅（满五唯一有凭证）",0,IF(H59="个人其他（无凭证）",ROUND(D45*F59,0),ROUND(C67*F59,0))))</f>
        <v>1593</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1808</v>
      </c>
      <c r="H59" s="2481"/>
      <c r="I59" s="2480" t="s">
        <v>2635</v>
      </c>
      <c r="J59" s="3460">
        <f>J57+1</f>
        <v>6</v>
      </c>
      <c r="K59" s="3459" t="s">
        <v>1815</v>
      </c>
      <c r="L59" s="2697" t="s">
        <v>1811</v>
      </c>
      <c r="M59" s="2711"/>
      <c r="N59" s="2712">
        <f ca="1">M49-N57</f>
        <v>70751</v>
      </c>
      <c r="O59" s="2713"/>
    </row>
    <row r="60" spans="1:35" ht="12" customHeight="1">
      <c r="A60" s="1944"/>
      <c r="B60" s="1882"/>
      <c r="C60" s="1882"/>
      <c r="D60" s="1882"/>
      <c r="E60" s="1713"/>
      <c r="F60" s="1943"/>
      <c r="G60" s="1943"/>
      <c r="H60" s="1945"/>
      <c r="I60" s="134"/>
      <c r="J60" s="3461"/>
      <c r="K60" s="3459"/>
      <c r="L60" s="2704" t="s">
        <v>1813</v>
      </c>
      <c r="M60" s="2708"/>
      <c r="N60" s="2709" t="str">
        <f ca="1">NUMBERSTRING(INT(N59*10000),2)&amp;"元整"</f>
        <v>柒亿零柒佰伍拾壹万元整</v>
      </c>
      <c r="O60" s="2710"/>
    </row>
    <row r="61" spans="1:35" ht="13.5" thickBot="1">
      <c r="A61" s="3404" t="s">
        <v>1816</v>
      </c>
      <c r="B61" s="3404"/>
      <c r="C61" s="3404"/>
      <c r="D61" s="3404"/>
      <c r="E61" s="3404"/>
      <c r="F61" s="1943"/>
      <c r="G61" s="1943"/>
      <c r="H61" s="1945"/>
      <c r="I61" s="134"/>
      <c r="J61" s="2697">
        <f>J59+1</f>
        <v>7</v>
      </c>
      <c r="K61" s="3459" t="s">
        <v>1817</v>
      </c>
      <c r="L61" s="3459"/>
      <c r="M61" s="2714"/>
      <c r="N61" s="2715">
        <f ca="1">ROUND(N59*10000/'数据-汇总表'!E3,0)</f>
        <v>2917</v>
      </c>
      <c r="O61" s="2716"/>
    </row>
    <row r="62" spans="1:35" ht="12.75">
      <c r="A62" s="3422" t="s">
        <v>1818</v>
      </c>
      <c r="B62" s="3423"/>
      <c r="C62" s="2158"/>
      <c r="D62" s="2158" t="s">
        <v>1819</v>
      </c>
      <c r="E62" s="171" t="s">
        <v>1820</v>
      </c>
      <c r="F62" s="1943"/>
      <c r="G62" s="1943"/>
      <c r="H62" s="1945"/>
      <c r="I62" s="134"/>
    </row>
    <row r="63" spans="1:35" ht="12.75">
      <c r="A63" s="178" t="s">
        <v>594</v>
      </c>
      <c r="B63" s="172" t="s">
        <v>1821</v>
      </c>
      <c r="C63" s="2738">
        <f ca="1">ROUND((C64+C65)/(1+'数据-取费表'!C42),0)</f>
        <v>159270</v>
      </c>
      <c r="D63" s="172"/>
      <c r="E63" s="173"/>
      <c r="F63" s="1943"/>
      <c r="G63" s="1943"/>
      <c r="H63" s="1945"/>
      <c r="I63" s="134"/>
      <c r="J63" s="3484" t="s">
        <v>1822</v>
      </c>
      <c r="K63" s="1452" t="s">
        <v>1823</v>
      </c>
      <c r="L63" s="1452">
        <f ca="1">IF(M49&gt;10000,M49*0.5%,IF(AND(M49&gt;1000,M49&lt;=10000),M49*1%,IF(AND(M49&gt;100,M49&lt;=1000),M49*3%,IF(AND(M49&gt;10,M49&lt;=100),M49*5%,M49*8%))))</f>
        <v>836.17000000000007</v>
      </c>
      <c r="M63" s="308">
        <f ca="1">ROUND(L63,1)</f>
        <v>836.2</v>
      </c>
      <c r="N63" s="2717"/>
      <c r="Z63" s="1887"/>
      <c r="AI63" s="1888"/>
    </row>
    <row r="64" spans="1:35" ht="14.25" customHeight="1">
      <c r="A64" s="174" t="s">
        <v>589</v>
      </c>
      <c r="B64" s="175" t="s">
        <v>1824</v>
      </c>
      <c r="C64" s="2739">
        <f ca="1">D45</f>
        <v>167234</v>
      </c>
      <c r="D64" s="175" t="s">
        <v>32</v>
      </c>
      <c r="E64" s="177"/>
      <c r="F64" s="1943"/>
      <c r="G64" s="1943"/>
      <c r="H64" s="1945"/>
      <c r="I64" s="134"/>
      <c r="J64" s="3484"/>
      <c r="K64" s="1452" t="s">
        <v>1825</v>
      </c>
      <c r="L64" s="1452">
        <f ca="1">IF(M49&gt;2000,M49*0.5%,IF(AND(M49&gt;1000,M49&lt;=2000),M49*0.6%,IF(AND(M49&gt;500,M49&lt;=1000),M49*0.7%,IF(AND(M49&gt;200,M49&lt;=500),M49*0.8%,IF(AND(M49&gt;100,M49&lt;=200),M49*0.9%,IF(AND(M49&gt;50,M49&lt;=100),M49*1%,IF(AND(M49&gt;20,M49&lt;=50),M49*1.5%,IF(AND(M49&gt;10,M49&lt;=20),M49*2%,IF(AND(M49&gt;1,M49&lt;=10),M49*2.5%)))))))))</f>
        <v>836.17000000000007</v>
      </c>
      <c r="M64" s="308">
        <f t="shared" ref="M64:M65" ca="1" si="1">ROUND(L64,1)</f>
        <v>836.2</v>
      </c>
      <c r="N64" s="2718" t="s">
        <v>1826</v>
      </c>
      <c r="Z64" s="1887"/>
      <c r="AI64" s="1888"/>
    </row>
    <row r="65" spans="1:35" ht="14.25" customHeight="1">
      <c r="A65" s="174" t="s">
        <v>590</v>
      </c>
      <c r="B65" s="175" t="s">
        <v>1827</v>
      </c>
      <c r="C65" s="2740"/>
      <c r="D65" s="175"/>
      <c r="E65" s="177"/>
      <c r="F65" s="1943"/>
      <c r="G65" s="1943"/>
      <c r="H65" s="1945"/>
      <c r="I65" s="134"/>
      <c r="J65" s="3484"/>
      <c r="K65" s="1452" t="s">
        <v>1828</v>
      </c>
      <c r="L65" s="1452">
        <f ca="1">IF(M49&gt;1000,M49*0.1%,IF(AND(M49&gt;500,M49&lt;=1000),M49*0.5%,IF(AND(M49&gt;50,M49&lt;=500),M49*1%,IF(AND(M49&gt;1,M49&lt;=50),M49*1.5%))))</f>
        <v>167.23400000000001</v>
      </c>
      <c r="M65" s="308">
        <f t="shared" ca="1" si="1"/>
        <v>167.2</v>
      </c>
      <c r="N65" s="2718" t="s">
        <v>1826</v>
      </c>
      <c r="Z65" s="1887"/>
      <c r="AI65" s="1888"/>
    </row>
    <row r="66" spans="1:35" ht="14.25" customHeight="1">
      <c r="A66" s="178" t="s">
        <v>591</v>
      </c>
      <c r="B66" s="179" t="s">
        <v>1829</v>
      </c>
      <c r="C66" s="2741"/>
      <c r="D66" s="179" t="s">
        <v>32</v>
      </c>
      <c r="E66" s="1459" t="s">
        <v>1096</v>
      </c>
      <c r="F66" s="1943"/>
      <c r="G66" s="1943"/>
      <c r="H66" s="1945"/>
      <c r="I66" s="134"/>
      <c r="J66" s="3484"/>
      <c r="K66" s="1452" t="s">
        <v>1830</v>
      </c>
      <c r="L66" s="1452">
        <f ca="1">M49*0.5%</f>
        <v>836.17000000000007</v>
      </c>
      <c r="M66" s="308">
        <f ca="1">IF(L66&gt;0.5,0.5,ROUND(L66,0))</f>
        <v>0.5</v>
      </c>
      <c r="N66" s="2718" t="s">
        <v>1831</v>
      </c>
      <c r="Z66" s="1887"/>
      <c r="AI66" s="1888"/>
    </row>
    <row r="67" spans="1:35" ht="14.25" customHeight="1">
      <c r="A67" s="178" t="s">
        <v>592</v>
      </c>
      <c r="B67" s="179" t="s">
        <v>1832</v>
      </c>
      <c r="C67" s="2742">
        <f ca="1">C63-C66</f>
        <v>159270</v>
      </c>
      <c r="D67" s="175" t="s">
        <v>32</v>
      </c>
      <c r="E67" s="177"/>
      <c r="F67" s="1943"/>
      <c r="G67" s="1943"/>
      <c r="H67" s="1945"/>
      <c r="I67" s="134"/>
      <c r="J67" s="3484"/>
      <c r="K67" s="1452" t="s">
        <v>1833</v>
      </c>
      <c r="L67" s="1452">
        <f ca="1">IF(M49&gt;=10000,(8.25+(M49-10000)*0.01%),IF(AND(M49&gt;=8000,M49&lt;10000),(7.85+(M49-8000)*0.02%),IF(AND(M49&gt;=5000,M49&lt;8000),(6.65+(M49-5000)*0.04%),IF(AND(M49&gt;=2000,M49&lt;5000),(4.25+(PM49-2000)*0.08%),IF(AND(M49&gt;=1000,M49&lt;2000),(2.75+(M49-1000)*0.15%),IF(AND(M49&gt;=100,M49&lt;1000),(0.5+(M49-100)*0.25%),IF(AND(M49&gt;0,M49&lt;100),M49*0.5%)))))))</f>
        <v>23.973400000000002</v>
      </c>
      <c r="M67" s="308">
        <f ca="1">ROUND(L67*0.9,1)</f>
        <v>21.6</v>
      </c>
      <c r="N67" s="2717"/>
      <c r="Z67" s="1887"/>
      <c r="AI67" s="1888"/>
    </row>
    <row r="68" spans="1:35" ht="14.25" customHeight="1" thickBot="1">
      <c r="A68" s="181" t="s">
        <v>593</v>
      </c>
      <c r="B68" s="182" t="s">
        <v>1834</v>
      </c>
      <c r="C68" s="2743">
        <f ca="1">IF(C67&lt;=0,0,ROUND(C67*D68,0))</f>
        <v>8760</v>
      </c>
      <c r="D68" s="2744">
        <f>'数据-取费表'!B41</f>
        <v>5.5000000000000007E-2</v>
      </c>
      <c r="E68" s="184"/>
      <c r="F68" s="1943"/>
      <c r="G68" s="1943"/>
      <c r="H68" s="1945"/>
      <c r="I68" s="134"/>
      <c r="J68" s="3484"/>
      <c r="K68" s="1452" t="s">
        <v>1835</v>
      </c>
      <c r="L68" s="1452">
        <f ca="1">IF(M49&gt;10000,M49*0.5%,IF(AND(M49&gt;5000,M49&lt;=10000),M49*1%,IF(AND(M49&gt;1000,M49&lt;=5000),M49*2%,IF(AND(M49&gt;200,M49&lt;=1000),M49*3%,M49*5%))))</f>
        <v>836.17000000000007</v>
      </c>
      <c r="M68" s="308">
        <f ca="1">ROUND(L68,1)</f>
        <v>836.2</v>
      </c>
      <c r="N68" s="2717"/>
      <c r="Z68" s="1887"/>
      <c r="AI68" s="1888"/>
    </row>
    <row r="69" spans="1:35" s="1907" customFormat="1" ht="16.5" customHeight="1">
      <c r="A69" s="1946"/>
      <c r="B69" s="1947"/>
      <c r="C69" s="1948"/>
      <c r="D69" s="1949"/>
      <c r="E69" s="1950"/>
      <c r="F69" s="1713"/>
      <c r="G69" s="1713"/>
      <c r="H69" s="1712"/>
      <c r="I69" s="1882"/>
      <c r="J69" s="3484"/>
      <c r="K69" s="1452" t="s">
        <v>1836</v>
      </c>
      <c r="L69" s="1452"/>
      <c r="M69" s="308">
        <f ca="1">ROUND(SUM(M63:M68),0)</f>
        <v>2698</v>
      </c>
      <c r="N69" s="2719">
        <f ca="1">M69/M49</f>
        <v>1.61330829855173E-2</v>
      </c>
      <c r="O69" s="734"/>
      <c r="P69" s="734"/>
      <c r="Q69" s="734"/>
      <c r="R69" s="734"/>
      <c r="S69" s="734"/>
      <c r="T69" s="734"/>
      <c r="U69" s="734"/>
      <c r="V69" s="734"/>
      <c r="W69" s="734"/>
      <c r="X69" s="734"/>
      <c r="Y69" s="734"/>
      <c r="Z69" s="1887"/>
      <c r="AA69" s="1887"/>
      <c r="AB69" s="1887"/>
      <c r="AC69" s="1887"/>
      <c r="AD69" s="1887"/>
      <c r="AE69" s="1887"/>
      <c r="AF69" s="1887"/>
      <c r="AG69" s="1887"/>
      <c r="AH69" s="1887"/>
    </row>
    <row r="70" spans="1:35" s="1952" customFormat="1" ht="15" thickBot="1">
      <c r="A70" s="3443" t="s">
        <v>1837</v>
      </c>
      <c r="B70" s="3444"/>
      <c r="C70" s="3444"/>
      <c r="D70" s="3444"/>
      <c r="E70" s="3444"/>
      <c r="F70" s="3444"/>
      <c r="G70" s="3444"/>
      <c r="H70" s="3444"/>
      <c r="I70" s="1951"/>
      <c r="J70" s="2868"/>
      <c r="K70" s="2868"/>
      <c r="L70" s="2868"/>
      <c r="M70" s="2868"/>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25">
      <c r="A71" s="3422" t="s">
        <v>1818</v>
      </c>
      <c r="B71" s="3423"/>
      <c r="C71" s="2158"/>
      <c r="D71" s="2158" t="s">
        <v>1819</v>
      </c>
      <c r="E71" s="185" t="s">
        <v>1820</v>
      </c>
      <c r="F71" s="186"/>
      <c r="G71" s="186"/>
      <c r="H71" s="187"/>
      <c r="I71" s="1955"/>
      <c r="J71" s="2868"/>
      <c r="K71" s="2868"/>
      <c r="L71" s="2868"/>
      <c r="M71" s="2868"/>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25">
      <c r="A72" s="178" t="s">
        <v>594</v>
      </c>
      <c r="B72" s="179" t="s">
        <v>1838</v>
      </c>
      <c r="C72" s="2742">
        <f ca="1">ROUND(D45/(1+'数据-取费表'!C42),0)</f>
        <v>159270</v>
      </c>
      <c r="D72" s="175" t="s">
        <v>32</v>
      </c>
      <c r="E72" s="2503"/>
      <c r="F72" s="2502"/>
      <c r="G72" s="2502"/>
      <c r="H72" s="188"/>
      <c r="I72" s="1955"/>
      <c r="J72" s="2868"/>
      <c r="K72" s="2868"/>
      <c r="L72" s="2868"/>
      <c r="M72" s="2868"/>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25">
      <c r="A73" s="178" t="s">
        <v>591</v>
      </c>
      <c r="B73" s="168" t="s">
        <v>1839</v>
      </c>
      <c r="C73" s="2742">
        <f ca="1">C74+C78</f>
        <v>796</v>
      </c>
      <c r="D73" s="175" t="s">
        <v>32</v>
      </c>
      <c r="E73" s="2503"/>
      <c r="F73" s="2502"/>
      <c r="G73" s="2502"/>
      <c r="H73" s="188"/>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4">
      <c r="A74" s="174" t="s">
        <v>589</v>
      </c>
      <c r="B74" s="175" t="s">
        <v>1840</v>
      </c>
      <c r="C74" s="175">
        <f>ROUND(IF(G77="2016年5月1日后购买",C75/(1+'数据-取费表'!C42)+C76+C77,C75+C76+C77),0)</f>
        <v>0</v>
      </c>
      <c r="D74" s="175" t="s">
        <v>32</v>
      </c>
      <c r="E74" s="2503"/>
      <c r="F74" s="2502"/>
      <c r="G74" s="2502"/>
      <c r="H74" s="188"/>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25">
      <c r="A75" s="174" t="s">
        <v>595</v>
      </c>
      <c r="B75" s="175" t="s">
        <v>1841</v>
      </c>
      <c r="C75" s="2745"/>
      <c r="D75" s="175" t="s">
        <v>32</v>
      </c>
      <c r="E75" s="190" t="s">
        <v>1842</v>
      </c>
      <c r="F75" s="2746"/>
      <c r="G75" s="190" t="s">
        <v>1843</v>
      </c>
      <c r="H75" s="2747"/>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4" t="s">
        <v>596</v>
      </c>
      <c r="B76" s="191" t="s">
        <v>1844</v>
      </c>
      <c r="C76" s="175">
        <f>IF(F75="购房发票",ROUND(C75*H75*D76,0),0)</f>
        <v>0</v>
      </c>
      <c r="D76" s="2748">
        <v>0.05</v>
      </c>
      <c r="E76" s="3417" t="s">
        <v>1845</v>
      </c>
      <c r="F76" s="3391"/>
      <c r="G76" s="3391"/>
      <c r="H76" s="3442"/>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4" t="s">
        <v>597</v>
      </c>
      <c r="B77" s="175" t="s">
        <v>1846</v>
      </c>
      <c r="C77" s="175">
        <f>ROUND(IF(G77="个人住宅",0,IF(G77="2016年5月1日前购买",C75*D77,C75*D77/(1+'数据-取费表'!C42))),0)</f>
        <v>0</v>
      </c>
      <c r="D77" s="2749">
        <f>'数据-取费表'!B48+'数据-取费表'!B49</f>
        <v>3.0499999999999999E-2</v>
      </c>
      <c r="E77" s="2496" t="s">
        <v>1847</v>
      </c>
      <c r="F77" s="192"/>
      <c r="G77" s="1957"/>
      <c r="H77" s="2504"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4" t="s">
        <v>590</v>
      </c>
      <c r="B78" s="175" t="s">
        <v>1848</v>
      </c>
      <c r="C78" s="2750">
        <f ca="1">ROUND(D45*D78/(1+'数据-取费表'!C42),0)</f>
        <v>796</v>
      </c>
      <c r="D78" s="2751">
        <f>'数据-取费表'!B43</f>
        <v>5.000000000000001E-3</v>
      </c>
      <c r="E78" s="3401" t="s">
        <v>1849</v>
      </c>
      <c r="F78" s="3402"/>
      <c r="G78" s="3402"/>
      <c r="H78" s="3411"/>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25">
      <c r="A79" s="178" t="s">
        <v>598</v>
      </c>
      <c r="B79" s="179" t="s">
        <v>1850</v>
      </c>
      <c r="C79" s="2742">
        <f ca="1">C72-C73</f>
        <v>158474</v>
      </c>
      <c r="D79" s="175" t="s">
        <v>32</v>
      </c>
      <c r="E79" s="2503"/>
      <c r="F79" s="2502"/>
      <c r="G79" s="2502"/>
      <c r="H79" s="188"/>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4">
      <c r="A80" s="178" t="s">
        <v>599</v>
      </c>
      <c r="B80" s="179" t="s">
        <v>1851</v>
      </c>
      <c r="C80" s="2752">
        <f ca="1">IF(C79&lt;=0,0,C79/C73)</f>
        <v>199.08793969849245</v>
      </c>
      <c r="D80" s="175" t="s">
        <v>32</v>
      </c>
      <c r="E80" s="2496" t="str">
        <f ca="1">IF(C80&gt;=200%,"增值额超过扣除项目金额200%",IF(C80&gt;=100%,"增值额超过扣除项目金额100%，未超过200%",IF(C80&gt;=50%,"增值额超过扣除项目金额50%，未超过100%",IF(C80&lt;50%,"增值额未超过扣除项目金额50%"))))</f>
        <v>增值额超过扣除项目金额200%</v>
      </c>
      <c r="F80" s="2502"/>
      <c r="G80" s="2502"/>
      <c r="H80" s="188"/>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4.75" thickBot="1">
      <c r="A81" s="181" t="s">
        <v>600</v>
      </c>
      <c r="B81" s="182" t="s">
        <v>1852</v>
      </c>
      <c r="C81" s="2753">
        <f ca="1">ROUND(IF(C79&lt;=0,0,IF(C80&gt;=200%,C79*60%-C73*35%,IF(C80&gt;=100%,C79*50%-C73*15%,IF(C80&gt;=50%,C79*40%-C73*5%,IF(C80&lt;50%,C79*30%,0))))),0)</f>
        <v>94806</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9"/>
      <c r="B82" s="690"/>
      <c r="C82" s="7"/>
      <c r="D82" s="7"/>
      <c r="E82" s="690"/>
      <c r="F82" s="690"/>
      <c r="G82" s="690"/>
      <c r="H82" s="691"/>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5" thickBot="1">
      <c r="A83" s="3443" t="s">
        <v>1853</v>
      </c>
      <c r="B83" s="3444"/>
      <c r="C83" s="3444"/>
      <c r="D83" s="3444"/>
      <c r="E83" s="3444"/>
      <c r="F83" s="3444"/>
      <c r="G83" s="3444"/>
      <c r="H83" s="3444"/>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25">
      <c r="A84" s="3422" t="s">
        <v>1818</v>
      </c>
      <c r="B84" s="3423"/>
      <c r="C84" s="2158"/>
      <c r="D84" s="2158" t="s">
        <v>1819</v>
      </c>
      <c r="E84" s="185" t="s">
        <v>1820</v>
      </c>
      <c r="F84" s="186"/>
      <c r="G84" s="186"/>
      <c r="H84" s="197"/>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25">
      <c r="A85" s="178" t="s">
        <v>594</v>
      </c>
      <c r="B85" s="179" t="s">
        <v>1838</v>
      </c>
      <c r="C85" s="2742">
        <f ca="1">ROUND(D45/(1+'数据-取费表'!C42),0)</f>
        <v>159270</v>
      </c>
      <c r="D85" s="175" t="s">
        <v>32</v>
      </c>
      <c r="E85" s="2503"/>
      <c r="F85" s="2502"/>
      <c r="G85" s="2502"/>
      <c r="H85" s="198"/>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25">
      <c r="A86" s="178" t="s">
        <v>591</v>
      </c>
      <c r="B86" s="168" t="s">
        <v>1839</v>
      </c>
      <c r="C86" s="2742">
        <f ca="1">IF(H88="仅含出让金",C87+C90+C91+C92+C93+C94,C87+C91+C92+C93+C94)</f>
        <v>796</v>
      </c>
      <c r="D86" s="2755"/>
      <c r="E86" s="2503"/>
      <c r="F86" s="2502"/>
      <c r="G86" s="2502"/>
      <c r="H86" s="198"/>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25">
      <c r="A87" s="174" t="s">
        <v>589</v>
      </c>
      <c r="B87" s="175" t="s">
        <v>1854</v>
      </c>
      <c r="C87" s="2750">
        <f>C88+C89</f>
        <v>0</v>
      </c>
      <c r="D87" s="2751"/>
      <c r="E87" s="2498"/>
      <c r="F87" s="2499"/>
      <c r="G87" s="2499"/>
      <c r="H87" s="2500"/>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25">
      <c r="A88" s="174" t="s">
        <v>595</v>
      </c>
      <c r="B88" s="175" t="s">
        <v>1855</v>
      </c>
      <c r="C88" s="2756"/>
      <c r="D88" s="2751"/>
      <c r="E88" s="199" t="s">
        <v>1856</v>
      </c>
      <c r="F88" s="2499"/>
      <c r="G88" s="200" t="s">
        <v>1857</v>
      </c>
      <c r="H88" s="1959"/>
      <c r="I88" s="1956"/>
      <c r="J88" s="2695" t="s">
        <v>2786</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25">
      <c r="A89" s="174" t="s">
        <v>596</v>
      </c>
      <c r="B89" s="175" t="s">
        <v>1846</v>
      </c>
      <c r="C89" s="2750">
        <f>ROUND(C88*D89,0)</f>
        <v>0</v>
      </c>
      <c r="D89" s="2751">
        <f>'数据-取费表'!B48+'数据-取费表'!B49</f>
        <v>3.0499999999999999E-2</v>
      </c>
      <c r="E89" s="199" t="s">
        <v>1858</v>
      </c>
      <c r="F89" s="2499"/>
      <c r="G89" s="2499"/>
      <c r="H89" s="2500"/>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25">
      <c r="A90" s="174" t="s">
        <v>590</v>
      </c>
      <c r="B90" s="175" t="s">
        <v>1859</v>
      </c>
      <c r="C90" s="2756"/>
      <c r="D90" s="2751"/>
      <c r="E90" s="199" t="str">
        <f>IF(H88="-","土地取得成本中已包含该笔费用"," ")</f>
        <v xml:space="preserve"> </v>
      </c>
      <c r="F90" s="2499"/>
      <c r="G90" s="3486" t="s">
        <v>2627</v>
      </c>
      <c r="H90" s="3487"/>
      <c r="I90" s="1956"/>
      <c r="J90" s="2695" t="s">
        <v>2787</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4" t="s">
        <v>1860</v>
      </c>
      <c r="B91" s="175" t="s">
        <v>1861</v>
      </c>
      <c r="C91" s="2750">
        <f>IF(H91="——",成本法!C33,I91)</f>
        <v>0</v>
      </c>
      <c r="D91" s="2751"/>
      <c r="E91" s="3401" t="s">
        <v>1862</v>
      </c>
      <c r="F91" s="3402"/>
      <c r="G91" s="3402"/>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4" t="s">
        <v>1863</v>
      </c>
      <c r="B92" s="175" t="s">
        <v>1864</v>
      </c>
      <c r="C92" s="2750">
        <f>ROUND((C87+C90+C91)*D92,0)</f>
        <v>0</v>
      </c>
      <c r="D92" s="2757"/>
      <c r="E92" s="3401" t="s">
        <v>1865</v>
      </c>
      <c r="F92" s="3402"/>
      <c r="G92" s="3402"/>
      <c r="H92" s="3411"/>
      <c r="I92" s="1956"/>
      <c r="J92" s="2696" t="s">
        <v>2788</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4" t="s">
        <v>1866</v>
      </c>
      <c r="B93" s="175" t="s">
        <v>1848</v>
      </c>
      <c r="C93" s="2750">
        <f ca="1">ROUND(D45*D93/(1+'数据-取费表'!C42),0)</f>
        <v>796</v>
      </c>
      <c r="D93" s="2751">
        <f>'数据-取费表'!B43</f>
        <v>5.000000000000001E-3</v>
      </c>
      <c r="E93" s="3401" t="s">
        <v>1849</v>
      </c>
      <c r="F93" s="3402"/>
      <c r="G93" s="3402"/>
      <c r="H93" s="3411"/>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4" t="s">
        <v>1867</v>
      </c>
      <c r="B94" s="175" t="s">
        <v>1868</v>
      </c>
      <c r="C94" s="2756">
        <f>ROUND((C87+C90+C91)*D94,0)</f>
        <v>0</v>
      </c>
      <c r="D94" s="2751">
        <v>0.2</v>
      </c>
      <c r="E94" s="3412" t="s">
        <v>1869</v>
      </c>
      <c r="F94" s="3413"/>
      <c r="G94" s="3413"/>
      <c r="H94" s="3414"/>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25">
      <c r="A95" s="178" t="s">
        <v>598</v>
      </c>
      <c r="B95" s="179" t="s">
        <v>1850</v>
      </c>
      <c r="C95" s="2742">
        <f ca="1">ROUND(C85-C86,0)</f>
        <v>158474</v>
      </c>
      <c r="D95" s="175" t="s">
        <v>32</v>
      </c>
      <c r="E95" s="2503"/>
      <c r="F95" s="2502"/>
      <c r="G95" s="2502"/>
      <c r="H95" s="198"/>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4">
      <c r="A96" s="178" t="s">
        <v>599</v>
      </c>
      <c r="B96" s="179" t="s">
        <v>1851</v>
      </c>
      <c r="C96" s="2752">
        <f ca="1">IF(C95&lt;=0,0,C95/C86)</f>
        <v>199.08793969849245</v>
      </c>
      <c r="D96" s="175" t="s">
        <v>32</v>
      </c>
      <c r="E96" s="2496" t="str">
        <f ca="1">IF(C96&gt;=200%,"增值额超过扣除项目金额200%",IF(C96&gt;=100%,"增值额超过扣除项目金额100%，未超过200%",IF(C96&gt;=50%,"增值额超过扣除项目金额50%，未超过100%",IF(C96&lt;50%,"增值额未超过扣除项目金额50%"))))</f>
        <v>增值额超过扣除项目金额200%</v>
      </c>
      <c r="F96" s="2502"/>
      <c r="G96" s="2502"/>
      <c r="H96" s="198"/>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4.75" thickBot="1">
      <c r="A97" s="181" t="s">
        <v>600</v>
      </c>
      <c r="B97" s="182" t="s">
        <v>1852</v>
      </c>
      <c r="C97" s="2753">
        <f ca="1">ROUND(IF(C95&lt;=0,0,IF(C96&gt;=200%,C95*60%-C86*35%,IF(C96&gt;=100%,C95*50%-C86*15%,IF(C96&gt;=50%,C95*40%-C86*5%,IF(C96&lt;50%,C95*30%,0))))),0)</f>
        <v>94806</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3"/>
      <c r="F98" s="1713"/>
      <c r="G98" s="1713"/>
      <c r="H98" s="1712"/>
      <c r="I98" s="134"/>
    </row>
    <row r="99" spans="1:35" ht="21.75" customHeight="1" thickBot="1">
      <c r="A99" s="1935" t="s">
        <v>1870</v>
      </c>
      <c r="B99" s="1882"/>
      <c r="C99" s="1882"/>
      <c r="D99" s="1882"/>
      <c r="E99" s="1713"/>
      <c r="F99" s="1713"/>
      <c r="G99" s="1713"/>
      <c r="H99" s="1712"/>
      <c r="I99" s="134"/>
    </row>
    <row r="100" spans="1:35" ht="18.75" customHeight="1">
      <c r="A100" s="3377" t="s">
        <v>1871</v>
      </c>
      <c r="B100" s="3378"/>
      <c r="C100" s="3378"/>
      <c r="D100" s="3403"/>
      <c r="E100" s="3378" t="s">
        <v>1872</v>
      </c>
      <c r="F100" s="3378"/>
      <c r="G100" s="3378"/>
      <c r="H100" s="3403"/>
      <c r="I100" s="134"/>
    </row>
    <row r="101" spans="1:35" ht="18.75" customHeight="1">
      <c r="A101" s="3467" t="s">
        <v>1873</v>
      </c>
      <c r="B101" s="3468"/>
      <c r="C101" s="2759" t="str">
        <f>C4</f>
        <v>成本法</v>
      </c>
      <c r="D101" s="2760" t="str">
        <f>D4</f>
        <v>收益法（汇总）</v>
      </c>
      <c r="E101" s="3481" t="s">
        <v>1874</v>
      </c>
      <c r="F101" s="3435"/>
      <c r="G101" s="1962" t="s">
        <v>1875</v>
      </c>
      <c r="H101" s="2769">
        <f ca="1">H118</f>
        <v>167234</v>
      </c>
      <c r="I101" s="134"/>
    </row>
    <row r="102" spans="1:35" ht="18.75" customHeight="1">
      <c r="A102" s="3437" t="s">
        <v>1876</v>
      </c>
      <c r="B102" s="2758" t="s">
        <v>1875</v>
      </c>
      <c r="C102" s="2759">
        <f ca="1">C19</f>
        <v>170003</v>
      </c>
      <c r="D102" s="2760">
        <f ca="1">D19</f>
        <v>164464</v>
      </c>
      <c r="E102" s="3481"/>
      <c r="F102" s="3435"/>
      <c r="G102" s="1962" t="s">
        <v>1877</v>
      </c>
      <c r="H102" s="2729">
        <f ca="1">I118</f>
        <v>6895</v>
      </c>
      <c r="I102" s="134"/>
    </row>
    <row r="103" spans="1:35" ht="42.75" customHeight="1">
      <c r="A103" s="3437"/>
      <c r="B103" s="2758" t="s">
        <v>1877</v>
      </c>
      <c r="C103" s="2761">
        <f ca="1">C20</f>
        <v>7010</v>
      </c>
      <c r="D103" s="2762">
        <f ca="1">D20</f>
        <v>6781</v>
      </c>
      <c r="E103" s="3475" t="s">
        <v>1878</v>
      </c>
      <c r="F103" s="3476"/>
      <c r="G103" s="1963" t="s">
        <v>1879</v>
      </c>
      <c r="H103" s="2769">
        <f>IF(D36="正常操作",H104+H105+H106,H105+H106)</f>
        <v>0</v>
      </c>
      <c r="I103" s="134"/>
    </row>
    <row r="104" spans="1:35" ht="18.75" customHeight="1">
      <c r="A104" s="3437" t="s">
        <v>1880</v>
      </c>
      <c r="B104" s="2763" t="s">
        <v>1875</v>
      </c>
      <c r="C104" s="2764">
        <f ca="1">H118</f>
        <v>167234</v>
      </c>
      <c r="D104" s="2765"/>
      <c r="E104" s="1809" t="s">
        <v>1881</v>
      </c>
      <c r="F104" s="1801"/>
      <c r="G104" s="1963" t="s">
        <v>1879</v>
      </c>
      <c r="H104" s="2770">
        <f>IF(D36="同一抵押权人同一抵押物续贷",C36&amp;"（续贷，未扣减，详见特别提示）",C36)</f>
        <v>0</v>
      </c>
      <c r="I104" s="134"/>
    </row>
    <row r="105" spans="1:35" ht="18.75" customHeight="1" thickBot="1">
      <c r="A105" s="3438"/>
      <c r="B105" s="2766" t="s">
        <v>1877</v>
      </c>
      <c r="C105" s="2767">
        <f ca="1">I118</f>
        <v>6895</v>
      </c>
      <c r="D105" s="2768"/>
      <c r="E105" s="1809" t="s">
        <v>1882</v>
      </c>
      <c r="F105" s="1801"/>
      <c r="G105" s="1963" t="s">
        <v>1879</v>
      </c>
      <c r="H105" s="2771">
        <f>C37</f>
        <v>0</v>
      </c>
      <c r="I105" s="134"/>
    </row>
    <row r="106" spans="1:35" ht="18.75" customHeight="1">
      <c r="A106" s="1882" t="s">
        <v>1883</v>
      </c>
      <c r="B106" s="1882"/>
      <c r="C106" s="1882"/>
      <c r="D106" s="1882"/>
      <c r="E106" s="1964" t="s">
        <v>1884</v>
      </c>
      <c r="F106" s="1801"/>
      <c r="G106" s="1963" t="s">
        <v>1879</v>
      </c>
      <c r="H106" s="2771">
        <f>C38</f>
        <v>0</v>
      </c>
      <c r="I106" s="134"/>
    </row>
    <row r="107" spans="1:35" ht="18.75" customHeight="1">
      <c r="A107" s="134"/>
      <c r="B107" s="134"/>
      <c r="C107" s="134"/>
      <c r="D107" s="134"/>
      <c r="E107" s="3434" t="str">
        <f>IF(项目基本情况!E8="已注销","——","3.房地产抵押价值")</f>
        <v>3.房地产抵押价值</v>
      </c>
      <c r="F107" s="3435"/>
      <c r="G107" s="1962" t="s">
        <v>1875</v>
      </c>
      <c r="H107" s="2769">
        <f ca="1">IF(E107="——","——",H101-H103)</f>
        <v>167234</v>
      </c>
      <c r="I107" s="134"/>
    </row>
    <row r="108" spans="1:35" ht="18.75" customHeight="1">
      <c r="A108" s="134"/>
      <c r="B108" s="134"/>
      <c r="C108" s="134"/>
      <c r="D108" s="134"/>
      <c r="E108" s="3434"/>
      <c r="F108" s="3435"/>
      <c r="G108" s="1962" t="s">
        <v>1877</v>
      </c>
      <c r="H108" s="2729">
        <f ca="1">ROUND(H107*10000/'数据-汇总表'!E3,0)</f>
        <v>6895</v>
      </c>
      <c r="I108" s="134"/>
    </row>
    <row r="109" spans="1:35" ht="18.75" customHeight="1">
      <c r="A109" s="134"/>
      <c r="B109" s="134"/>
      <c r="C109" s="134"/>
      <c r="D109" s="134"/>
      <c r="E109" s="3434" t="str">
        <f>IF(项目基本情况!E8="已注销及未注销","4.抵押担保权已注销时的房地产抵押价值",IF(项目基本情况!E8="已注销","3.抵押担保权已注销时的房地产抵押价值","——"))</f>
        <v>——</v>
      </c>
      <c r="F109" s="3435"/>
      <c r="G109" s="1962" t="s">
        <v>1875</v>
      </c>
      <c r="H109" s="2772" t="str">
        <f>IF(E109="——","——",H101-H105-H106)</f>
        <v>——</v>
      </c>
      <c r="I109" s="134"/>
    </row>
    <row r="110" spans="1:35" ht="18.75" customHeight="1">
      <c r="A110" s="134"/>
      <c r="B110" s="134"/>
      <c r="C110" s="134"/>
      <c r="D110" s="134"/>
      <c r="E110" s="3434"/>
      <c r="F110" s="3435"/>
      <c r="G110" s="1962" t="s">
        <v>1877</v>
      </c>
      <c r="H110" s="2729" t="str">
        <f>IF(H109="——","——",ROUND(H109*10000/'数据-汇总表'!E3,0))</f>
        <v>——</v>
      </c>
      <c r="I110" s="134"/>
    </row>
    <row r="111" spans="1:35" ht="18.75" customHeight="1">
      <c r="A111" s="134"/>
      <c r="B111" s="134"/>
      <c r="C111" s="134"/>
      <c r="D111" s="134"/>
      <c r="E111" s="3469" t="str">
        <f>IF(项目基本情况!E9="抵押净值",IF(OR(项目基本情况!E8="已注销",项目基本情况!E8="房地产抵押价值"),"4.抵押净值","5.抵押净值"),"——")</f>
        <v>——</v>
      </c>
      <c r="F111" s="3436"/>
      <c r="G111" s="1962" t="s">
        <v>1875</v>
      </c>
      <c r="H111" s="2769" t="str">
        <f>IF(E111="——","——",N59)</f>
        <v>——</v>
      </c>
      <c r="I111" s="134"/>
    </row>
    <row r="112" spans="1:35" ht="18.75" customHeight="1" thickBot="1">
      <c r="A112" s="134"/>
      <c r="B112" s="134"/>
      <c r="C112" s="134"/>
      <c r="D112" s="134"/>
      <c r="E112" s="3470"/>
      <c r="F112" s="3471"/>
      <c r="G112" s="1965" t="s">
        <v>1877</v>
      </c>
      <c r="H112" s="2773" t="str">
        <f>IF(E111="——","——",N61)</f>
        <v>——</v>
      </c>
      <c r="I112" s="134"/>
    </row>
    <row r="113" spans="1:27" ht="18.75" customHeight="1">
      <c r="A113" s="134"/>
      <c r="B113" s="134"/>
      <c r="C113" s="134"/>
      <c r="D113" s="134"/>
      <c r="E113" s="3439" t="s">
        <v>1883</v>
      </c>
      <c r="F113" s="3439"/>
      <c r="G113" s="3439"/>
      <c r="H113" s="3439"/>
      <c r="I113" s="134"/>
    </row>
    <row r="114" spans="1:27" ht="3.75" customHeight="1">
      <c r="A114" s="1882"/>
      <c r="B114" s="1882"/>
      <c r="C114" s="1882"/>
      <c r="D114" s="1882"/>
      <c r="E114" s="1944"/>
      <c r="F114" s="1944"/>
      <c r="G114" s="1944"/>
      <c r="H114" s="1944"/>
      <c r="I114" s="1882"/>
    </row>
    <row r="115" spans="1:27" ht="18.75" customHeight="1">
      <c r="A115" s="3452" t="s">
        <v>1885</v>
      </c>
      <c r="B115" s="3453"/>
      <c r="C115" s="3453"/>
      <c r="D115" s="3453"/>
      <c r="E115" s="3453"/>
      <c r="F115" s="3453"/>
      <c r="G115" s="3453"/>
      <c r="H115" s="3453"/>
      <c r="I115" s="3454"/>
    </row>
    <row r="116" spans="1:27" ht="27" customHeight="1">
      <c r="A116" s="3405" t="s">
        <v>1886</v>
      </c>
      <c r="B116" s="3440" t="s">
        <v>1887</v>
      </c>
      <c r="C116" s="3440" t="s">
        <v>1888</v>
      </c>
      <c r="D116" s="3456" t="s">
        <v>1889</v>
      </c>
      <c r="E116" s="3457"/>
      <c r="F116" s="3448" t="s">
        <v>1890</v>
      </c>
      <c r="G116" s="3448"/>
      <c r="H116" s="3405" t="s">
        <v>1891</v>
      </c>
      <c r="I116" s="3405"/>
    </row>
    <row r="117" spans="1:27" ht="18.75" customHeight="1">
      <c r="A117" s="3405"/>
      <c r="B117" s="3441"/>
      <c r="C117" s="3441"/>
      <c r="D117" s="2501" t="s">
        <v>1892</v>
      </c>
      <c r="E117" s="2501" t="s">
        <v>1893</v>
      </c>
      <c r="F117" s="2501" t="s">
        <v>1892</v>
      </c>
      <c r="G117" s="2501" t="s">
        <v>1894</v>
      </c>
      <c r="H117" s="2501" t="s">
        <v>1892</v>
      </c>
      <c r="I117" s="2501" t="s">
        <v>1894</v>
      </c>
    </row>
    <row r="118" spans="1:27" ht="24.75" customHeight="1">
      <c r="A118" s="2774" t="str">
        <f>项目基本情况!S2</f>
        <v>北京市房地产</v>
      </c>
      <c r="B118" s="2501">
        <f>M18</f>
        <v>242531.24000000002</v>
      </c>
      <c r="C118" s="2501">
        <f>M19</f>
        <v>118122.57</v>
      </c>
      <c r="D118" s="2501">
        <f ca="1">ROUND(IF(D32="总价",C34,E118*B118/10000),0)</f>
        <v>51006</v>
      </c>
      <c r="E118" s="2501">
        <f ca="1">ROUND(IF(C33="自定义",IF(D32="楼面单价",C34,D118*10000/B118),I118-G118),0)</f>
        <v>2103</v>
      </c>
      <c r="F118" s="2501">
        <f ca="1">ROUND(IF(D32="总价",C35,G118*B118/10000),0)</f>
        <v>116228</v>
      </c>
      <c r="G118" s="2501">
        <f ca="1">ROUND(IF(D32="楼面单价",C35,F118*10000/B118),0)</f>
        <v>4792</v>
      </c>
      <c r="H118" s="2501">
        <f ca="1">ROUND(IF(D32="总价",C32,I118*B118/10000),0)</f>
        <v>167234</v>
      </c>
      <c r="I118" s="2501">
        <f ca="1">ROUND(IF(D32="楼面单价",C32,H118*10000/B118),0)</f>
        <v>6895</v>
      </c>
      <c r="K118" s="734">
        <f ca="1">D118/(C118/666.67)</f>
        <v>287.87191152376721</v>
      </c>
    </row>
    <row r="119" spans="1:27" ht="18.75" customHeight="1">
      <c r="A119" s="3405" t="s">
        <v>1895</v>
      </c>
      <c r="B119" s="3405"/>
      <c r="C119" s="3405"/>
      <c r="D119" s="3445" t="str">
        <f ca="1">NUMBERSTRING(INT(D118*10000),2)&amp;"元整"</f>
        <v>伍亿壹仟零陆万元整</v>
      </c>
      <c r="E119" s="3447"/>
      <c r="F119" s="3445" t="str">
        <f ca="1">NUMBERSTRING(INT(F118*10000),2)&amp;"元整"</f>
        <v>壹拾壹亿陆仟贰佰贰拾捌万元整</v>
      </c>
      <c r="G119" s="3447"/>
      <c r="H119" s="3445" t="str">
        <f ca="1">NUMBERSTRING(INT(H118*10000),2)&amp;"元整"</f>
        <v>壹拾陆亿柒仟贰佰叁拾肆万元整</v>
      </c>
      <c r="I119" s="3447"/>
      <c r="K119" s="734">
        <f>'土地比较法-工业'!B2/(C118/666.67)</f>
        <v>181.2363804817318</v>
      </c>
    </row>
    <row r="120" spans="1:27" ht="18.75" customHeight="1">
      <c r="A120" s="3472" t="str">
        <f>IF(项目基本情况!B9="房地产市场价值","",MID(E103,3,LEN(E103)-2))</f>
        <v>估价师知悉的法定优先受偿款</v>
      </c>
      <c r="B120" s="3473"/>
      <c r="C120" s="3474"/>
      <c r="D120" s="3472">
        <f>H103</f>
        <v>0</v>
      </c>
      <c r="E120" s="3473"/>
      <c r="F120" s="3473"/>
      <c r="G120" s="3473"/>
      <c r="H120" s="3473"/>
      <c r="I120" s="3474"/>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449" t="s">
        <v>1895</v>
      </c>
      <c r="B121" s="3450"/>
      <c r="C121" s="3451"/>
      <c r="D121" s="3445" t="str">
        <f>IF(D120=0,"零元整",NUMBERSTRING(INT(D120*10000),2)&amp;"元整")</f>
        <v>零元整</v>
      </c>
      <c r="E121" s="3446"/>
      <c r="F121" s="3446"/>
      <c r="G121" s="3446"/>
      <c r="H121" s="3446"/>
      <c r="I121" s="3447"/>
      <c r="AA121" s="734"/>
    </row>
    <row r="122" spans="1:27" ht="18.75" customHeight="1">
      <c r="A122" s="3436" t="str">
        <f>IF(项目基本情况!B9="房地产市场价值","",MID(E107,3,LEN(E107)-2))</f>
        <v>房地产抵押价值</v>
      </c>
      <c r="B122" s="3436"/>
      <c r="C122" s="3436"/>
      <c r="D122" s="3472">
        <f ca="1">H107</f>
        <v>167234</v>
      </c>
      <c r="E122" s="3473"/>
      <c r="F122" s="3473"/>
      <c r="G122" s="3473"/>
      <c r="H122" s="3473"/>
      <c r="I122" s="3474"/>
      <c r="AA122" s="734"/>
    </row>
    <row r="123" spans="1:27" ht="18.75" customHeight="1">
      <c r="A123" s="3405" t="s">
        <v>1895</v>
      </c>
      <c r="B123" s="3405"/>
      <c r="C123" s="3405"/>
      <c r="D123" s="3445" t="str">
        <f ca="1">NUMBERSTRING(INT(D122*10000),2)&amp;"元整"</f>
        <v>壹拾陆亿柒仟贰佰叁拾肆万元整</v>
      </c>
      <c r="E123" s="3446"/>
      <c r="F123" s="3446"/>
      <c r="G123" s="3446"/>
      <c r="H123" s="3446"/>
      <c r="I123" s="3447"/>
      <c r="AA123" s="734"/>
    </row>
    <row r="124" spans="1:27" ht="18.75" customHeight="1">
      <c r="A124" s="3436" t="str">
        <f>IF(项目基本情况!B9="房地产市场价值","",MID(E109,3,LEN(E109)-2))</f>
        <v/>
      </c>
      <c r="B124" s="3436"/>
      <c r="C124" s="3436"/>
      <c r="D124" s="3472" t="str">
        <f>H109</f>
        <v>——</v>
      </c>
      <c r="E124" s="3473"/>
      <c r="F124" s="3473"/>
      <c r="G124" s="3473"/>
      <c r="H124" s="3473"/>
      <c r="I124" s="3474"/>
      <c r="AA124" s="734"/>
    </row>
    <row r="125" spans="1:27" ht="18.75" customHeight="1">
      <c r="A125" s="3405" t="s">
        <v>1895</v>
      </c>
      <c r="B125" s="3405"/>
      <c r="C125" s="3405"/>
      <c r="D125" s="3445" t="e">
        <f>NUMBERSTRING(INT(D124*10000),2)&amp;"元整"</f>
        <v>#VALUE!</v>
      </c>
      <c r="E125" s="3446"/>
      <c r="F125" s="3446"/>
      <c r="G125" s="3446"/>
      <c r="H125" s="3446"/>
      <c r="I125" s="3447"/>
      <c r="AA125" s="734"/>
    </row>
    <row r="126" spans="1:27" ht="18.75" customHeight="1">
      <c r="A126" s="3436" t="str">
        <f>IF(项目基本情况!B9="房地产市场价值","",MID(E111,3,LEN(E111)-2))</f>
        <v/>
      </c>
      <c r="B126" s="3436"/>
      <c r="C126" s="3436"/>
      <c r="D126" s="3472" t="str">
        <f>H111</f>
        <v>——</v>
      </c>
      <c r="E126" s="3473"/>
      <c r="F126" s="3473"/>
      <c r="G126" s="3473"/>
      <c r="H126" s="3473"/>
      <c r="I126" s="3474"/>
      <c r="AA126" s="734"/>
    </row>
    <row r="127" spans="1:27" ht="18.75" customHeight="1">
      <c r="A127" s="3405" t="s">
        <v>1895</v>
      </c>
      <c r="B127" s="3405"/>
      <c r="C127" s="3405"/>
      <c r="D127" s="3445" t="e">
        <f>NUMBERSTRING(INT(D126*10000),2)&amp;"元整"</f>
        <v>#VALUE!</v>
      </c>
      <c r="E127" s="3446"/>
      <c r="F127" s="3446"/>
      <c r="G127" s="3446"/>
      <c r="H127" s="3446"/>
      <c r="I127" s="3447"/>
      <c r="AA127" s="734"/>
    </row>
    <row r="128" spans="1:27" ht="21.75" customHeight="1">
      <c r="A128" s="3455" t="s">
        <v>1896</v>
      </c>
      <c r="B128" s="3455"/>
      <c r="C128" s="3455"/>
      <c r="D128" s="3455"/>
      <c r="E128" s="3455"/>
      <c r="F128" s="3455"/>
      <c r="G128" s="3455"/>
      <c r="H128" s="3455"/>
      <c r="I128" s="3455"/>
      <c r="AA128" s="734"/>
    </row>
    <row r="129" spans="1:35" ht="21.75" customHeight="1">
      <c r="A129" s="1966" t="s">
        <v>1897</v>
      </c>
      <c r="B129" s="1967"/>
      <c r="C129" s="1968" t="s">
        <v>1898</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1899</v>
      </c>
      <c r="G135" s="1983"/>
      <c r="H135" s="1983"/>
      <c r="I135" s="1984" t="s">
        <v>1900</v>
      </c>
    </row>
    <row r="136" spans="1:35" ht="21.75" customHeight="1">
      <c r="A136" s="734"/>
      <c r="B136" s="1985" t="s">
        <v>1901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1902</v>
      </c>
    </row>
    <row r="139" spans="1:35" ht="21.75" customHeight="1">
      <c r="A139" s="734"/>
      <c r="B139" s="1985" t="s">
        <v>1903</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1902</v>
      </c>
    </row>
    <row r="142" spans="1:35" ht="21.75" customHeight="1">
      <c r="A142" s="734"/>
      <c r="B142" s="1985"/>
      <c r="C142" s="1986"/>
      <c r="D142" s="1987"/>
      <c r="E142" s="1987"/>
      <c r="F142" s="1876"/>
      <c r="G142" s="734"/>
      <c r="H142" s="734"/>
      <c r="I142" s="734"/>
    </row>
    <row r="143" spans="1:35" s="135" customFormat="1" ht="21.75" customHeight="1">
      <c r="A143" s="734"/>
      <c r="B143" s="1985"/>
      <c r="C143" s="1986"/>
      <c r="D143" s="1987"/>
      <c r="E143" s="1987"/>
      <c r="F143" s="187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91" t="str">
        <f>项目基本情况!B1</f>
        <v>北京市房地产抵押价值预评估</v>
      </c>
      <c r="C37" s="3291"/>
      <c r="D37" s="3291"/>
      <c r="E37" s="3291"/>
      <c r="F37" s="3291"/>
      <c r="G37" s="3291"/>
      <c r="H37" s="3291"/>
      <c r="I37" s="3291"/>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 ca="1">项目基本情况!K4</f>
        <v>吴薇（注册号：1419970001)、崔锴（注册号：0)</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topLeftCell="A25" zoomScaleNormal="70" zoomScaleSheetLayoutView="100" workbookViewId="0">
      <selection activeCell="C54" sqref="C5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1904</v>
      </c>
      <c r="B1" s="1604"/>
      <c r="C1" s="204"/>
      <c r="D1" s="204"/>
      <c r="E1" s="204"/>
      <c r="F1" s="204"/>
      <c r="G1" s="1241">
        <f>MATCH(B1,'数据-取费表'!A6:A16,0)+5</f>
        <v>9</v>
      </c>
    </row>
    <row r="2" spans="1:9" s="206" customFormat="1" ht="18" customHeight="1">
      <c r="A2" s="207" t="s">
        <v>1905</v>
      </c>
      <c r="B2" s="208">
        <f ca="1">IF(D2="——",C52,C52-E2)</f>
        <v>170003</v>
      </c>
      <c r="C2" s="205" t="s">
        <v>1906</v>
      </c>
      <c r="D2" s="1988" t="s">
        <v>70</v>
      </c>
      <c r="E2" s="1284" t="e">
        <f ca="1">SUMIF(INDIRECT("'"&amp;G2&amp;"'"&amp;"!A:A"),"承租人权益价值",INDIRECT("'"&amp;G2&amp;"'"&amp;"!c:c"))</f>
        <v>#REF!</v>
      </c>
      <c r="F2" s="1989" t="s">
        <v>1906</v>
      </c>
      <c r="G2" s="1990"/>
    </row>
    <row r="3" spans="1:9" s="206" customFormat="1" ht="18" customHeight="1" thickBot="1">
      <c r="A3" s="209" t="s">
        <v>1907</v>
      </c>
      <c r="B3" s="210">
        <f ca="1">ROUND(B2*10000/(IF(B1="",'数据-汇总表'!E3,INDIRECT("'数据-取费表'!k"&amp;$G$1))),0)</f>
        <v>7010</v>
      </c>
      <c r="C3" s="205" t="s">
        <v>1908</v>
      </c>
      <c r="D3" s="205"/>
      <c r="E3" s="205"/>
      <c r="F3" s="205"/>
      <c r="G3" s="205"/>
    </row>
    <row r="4" spans="1:9" s="214" customFormat="1" ht="15.75">
      <c r="A4" s="211" t="s">
        <v>1909</v>
      </c>
      <c r="B4" s="212"/>
      <c r="C4" s="212"/>
      <c r="D4" s="212"/>
      <c r="E4" s="212"/>
      <c r="F4" s="212"/>
      <c r="G4" s="213"/>
    </row>
    <row r="5" spans="1:9" s="220" customFormat="1" ht="13.5" customHeight="1">
      <c r="A5" s="261" t="s">
        <v>1910</v>
      </c>
      <c r="B5" s="216" t="s">
        <v>1911</v>
      </c>
      <c r="C5" s="217">
        <f ca="1">C6+C7+C8</f>
        <v>37699</v>
      </c>
      <c r="D5" s="217" t="s">
        <v>1912</v>
      </c>
      <c r="E5" s="218" t="s">
        <v>1913</v>
      </c>
      <c r="F5" s="218" t="s">
        <v>1914</v>
      </c>
      <c r="G5" s="219"/>
    </row>
    <row r="6" spans="1:9" s="220" customFormat="1" ht="13.5" customHeight="1">
      <c r="A6" s="867" t="s">
        <v>1915</v>
      </c>
      <c r="B6" s="221" t="s">
        <v>1916</v>
      </c>
      <c r="C6" s="222">
        <f>'土地比较法-工业'!B2</f>
        <v>32112</v>
      </c>
      <c r="D6" s="223"/>
      <c r="E6" s="224"/>
      <c r="F6" s="224"/>
      <c r="G6" s="225"/>
    </row>
    <row r="7" spans="1:9" s="220" customFormat="1" ht="13.5" customHeight="1">
      <c r="A7" s="867" t="s">
        <v>1917</v>
      </c>
      <c r="B7" s="221" t="s">
        <v>1918</v>
      </c>
      <c r="C7" s="226">
        <f>ROUND(C6*F7,0)</f>
        <v>979</v>
      </c>
      <c r="D7" s="226"/>
      <c r="E7" s="224"/>
      <c r="F7" s="227">
        <f>IF(项目基本情况!B8="出让",0,'数据-取费表'!B48+'数据-取费表'!B49)</f>
        <v>3.0499999999999999E-2</v>
      </c>
      <c r="G7" s="225"/>
    </row>
    <row r="8" spans="1:9" s="229" customFormat="1">
      <c r="A8" s="867" t="s">
        <v>1919</v>
      </c>
      <c r="B8" s="221" t="s">
        <v>1920</v>
      </c>
      <c r="C8" s="226">
        <f ca="1">IF(G8="已包含在土地购买价格中","0",IF(B1="",'数据-取费表'!B29,IF(G9="全部缴纳",C9+C10,H9)))</f>
        <v>4608</v>
      </c>
      <c r="D8" s="228"/>
      <c r="E8" s="226"/>
      <c r="F8" s="227"/>
      <c r="G8" s="1991" t="s">
        <v>3497</v>
      </c>
    </row>
    <row r="9" spans="1:9" s="220" customFormat="1" ht="13.5" customHeight="1">
      <c r="A9" s="868" t="s">
        <v>619</v>
      </c>
      <c r="B9" s="230" t="s">
        <v>1921</v>
      </c>
      <c r="C9" s="231">
        <f ca="1">ROUND(D9*E9/10000,0)</f>
        <v>0</v>
      </c>
      <c r="D9" s="935">
        <f ca="1">IF(B1="",'数据-汇总表'!E5,IF(INDIRECT("'数据-取费表'!c"&amp;$G$1)="住宅",INDIRECT("'数据-取费表'!k"&amp;$G$1),0))</f>
        <v>0</v>
      </c>
      <c r="E9" s="231">
        <f>'数据-取费表'!B27</f>
        <v>0</v>
      </c>
      <c r="F9" s="227"/>
      <c r="G9" s="1992" t="s">
        <v>3498</v>
      </c>
      <c r="H9" s="1252"/>
      <c r="I9" s="1993" t="s">
        <v>1922</v>
      </c>
    </row>
    <row r="10" spans="1:9" s="220" customFormat="1" ht="13.5" customHeight="1">
      <c r="A10" s="868" t="s">
        <v>620</v>
      </c>
      <c r="B10" s="230" t="s">
        <v>1923</v>
      </c>
      <c r="C10" s="231">
        <f ca="1">ROUND(D10*E10/10000,0)</f>
        <v>4608</v>
      </c>
      <c r="D10" s="935">
        <f ca="1">IF(B1="",'数据-汇总表'!E6,IF(INDIRECT("'数据-取费表'!c"&amp;$G$1)="住宅",INDIRECT("'数据-取费表'!s"&amp;$G$1),INDIRECT("'数据-取费表'!k"&amp;$G$1)+INDIRECT("'数据-取费表'!s"&amp;$G$1)))</f>
        <v>242531.24000000002</v>
      </c>
      <c r="E10" s="231">
        <f>'数据-取费表'!B28</f>
        <v>190</v>
      </c>
      <c r="F10" s="227"/>
      <c r="G10" s="232"/>
    </row>
    <row r="11" spans="1:9" s="220" customFormat="1" ht="13.5" hidden="1" customHeight="1">
      <c r="A11" s="233" t="s">
        <v>7</v>
      </c>
      <c r="B11" s="221" t="s">
        <v>1924</v>
      </c>
      <c r="C11" s="217"/>
      <c r="D11" s="937"/>
      <c r="E11" s="224"/>
      <c r="F11" s="224"/>
      <c r="G11" s="225"/>
    </row>
    <row r="12" spans="1:9" s="220" customFormat="1" ht="13.5" hidden="1" customHeight="1">
      <c r="A12" s="233" t="s">
        <v>8</v>
      </c>
      <c r="B12" s="221" t="s">
        <v>1925</v>
      </c>
      <c r="C12" s="217">
        <v>0</v>
      </c>
      <c r="D12" s="937"/>
      <c r="E12" s="234"/>
      <c r="F12" s="227">
        <v>3.0499999999999999E-2</v>
      </c>
      <c r="G12" s="225"/>
    </row>
    <row r="13" spans="1:9" s="220" customFormat="1" ht="13.5" hidden="1" customHeight="1">
      <c r="A13" s="233" t="s">
        <v>9</v>
      </c>
      <c r="B13" s="221" t="s">
        <v>1926</v>
      </c>
      <c r="C13" s="217"/>
      <c r="D13" s="937"/>
      <c r="E13" s="224"/>
      <c r="F13" s="224"/>
      <c r="G13" s="225"/>
    </row>
    <row r="14" spans="1:9" s="220" customFormat="1" ht="13.5" hidden="1" customHeight="1">
      <c r="A14" s="233" t="s">
        <v>10</v>
      </c>
      <c r="B14" s="221" t="s">
        <v>1927</v>
      </c>
      <c r="C14" s="217"/>
      <c r="D14" s="937"/>
      <c r="E14" s="224"/>
      <c r="F14" s="224"/>
      <c r="G14" s="225" t="s">
        <v>1928</v>
      </c>
    </row>
    <row r="15" spans="1:9" s="220" customFormat="1" ht="13.5" hidden="1" customHeight="1">
      <c r="A15" s="233" t="s">
        <v>11</v>
      </c>
      <c r="B15" s="221" t="s">
        <v>1929</v>
      </c>
      <c r="C15" s="226"/>
      <c r="D15" s="937"/>
      <c r="E15" s="224"/>
      <c r="F15" s="224"/>
      <c r="G15" s="225" t="s">
        <v>1930</v>
      </c>
    </row>
    <row r="16" spans="1:9" s="220" customFormat="1" ht="13.5" hidden="1" customHeight="1">
      <c r="A16" s="233" t="s">
        <v>12</v>
      </c>
      <c r="B16" s="221" t="s">
        <v>1927</v>
      </c>
      <c r="C16" s="226"/>
      <c r="D16" s="937"/>
      <c r="E16" s="224"/>
      <c r="F16" s="224"/>
      <c r="G16" s="225"/>
    </row>
    <row r="17" spans="1:7" s="220" customFormat="1" ht="13.5" hidden="1" customHeight="1">
      <c r="A17" s="233" t="s">
        <v>13</v>
      </c>
      <c r="B17" s="221" t="s">
        <v>1931</v>
      </c>
      <c r="C17" s="235"/>
      <c r="D17" s="938"/>
      <c r="E17" s="235"/>
      <c r="F17" s="235"/>
      <c r="G17" s="225" t="s">
        <v>1930</v>
      </c>
    </row>
    <row r="18" spans="1:7" s="220" customFormat="1" ht="13.5" hidden="1" customHeight="1">
      <c r="A18" s="233" t="s">
        <v>14</v>
      </c>
      <c r="B18" s="221" t="s">
        <v>1932</v>
      </c>
      <c r="C18" s="226">
        <v>0</v>
      </c>
      <c r="D18" s="937"/>
      <c r="E18" s="224"/>
      <c r="F18" s="227">
        <v>3.0499999999999999E-2</v>
      </c>
      <c r="G18" s="225" t="s">
        <v>1933</v>
      </c>
    </row>
    <row r="19" spans="1:7" s="229" customFormat="1" ht="13.5" customHeight="1">
      <c r="A19" s="261" t="s">
        <v>1934</v>
      </c>
      <c r="B19" s="216" t="s">
        <v>1935</v>
      </c>
      <c r="C19" s="217" t="str">
        <f>IF(G19="已包含在土地取得成本中","0",ROUND(D19*E19/10000,0))</f>
        <v>0</v>
      </c>
      <c r="D19" s="939">
        <f ca="1">D9+D10</f>
        <v>242531.24000000002</v>
      </c>
      <c r="E19" s="217">
        <f>'数据-取费表'!B31</f>
        <v>150</v>
      </c>
      <c r="F19" s="237"/>
      <c r="G19" s="1991" t="s">
        <v>3499</v>
      </c>
    </row>
    <row r="20" spans="1:7" s="220" customFormat="1" ht="13.5" customHeight="1">
      <c r="A20" s="261" t="s">
        <v>1936</v>
      </c>
      <c r="B20" s="216" t="s">
        <v>1937</v>
      </c>
      <c r="C20" s="238">
        <f ca="1">ROUND((C5+C19)*F20,0)</f>
        <v>754</v>
      </c>
      <c r="D20" s="238"/>
      <c r="E20" s="238"/>
      <c r="F20" s="239">
        <f>'数据-取费表'!B37</f>
        <v>0.02</v>
      </c>
      <c r="G20" s="240" t="s">
        <v>1938</v>
      </c>
    </row>
    <row r="21" spans="1:7" s="220" customFormat="1" ht="13.5" customHeight="1">
      <c r="A21" s="261" t="s">
        <v>1939</v>
      </c>
      <c r="B21" s="216" t="s">
        <v>1940</v>
      </c>
      <c r="C21" s="241">
        <f>F21</f>
        <v>0.01</v>
      </c>
      <c r="D21" s="242" t="s">
        <v>1941</v>
      </c>
      <c r="E21" s="238"/>
      <c r="F21" s="239">
        <f>'数据-取费表'!B38</f>
        <v>0.01</v>
      </c>
      <c r="G21" s="240" t="s">
        <v>1942</v>
      </c>
    </row>
    <row r="22" spans="1:7" s="220" customFormat="1" ht="13.5" customHeight="1">
      <c r="A22" s="261" t="s">
        <v>1943</v>
      </c>
      <c r="B22" s="216" t="s">
        <v>1944</v>
      </c>
      <c r="C22" s="1217">
        <f ca="1">ROUND(SUM(C23:C25),0)</f>
        <v>5000</v>
      </c>
      <c r="D22" s="241">
        <f ca="1">C26</f>
        <v>5.9999999999999995E-4</v>
      </c>
      <c r="E22" s="242" t="s">
        <v>1941</v>
      </c>
      <c r="F22" s="243">
        <f ca="1">'数据-取费表'!B40</f>
        <v>4.2000000000000003E-2</v>
      </c>
      <c r="G22" s="240" t="str">
        <f>IF('数据-取费表'!B22&lt;=1,"单利计息","复利计息")</f>
        <v>复利计息</v>
      </c>
    </row>
    <row r="23" spans="1:7" s="220" customFormat="1" ht="13.5" customHeight="1">
      <c r="A23" s="869" t="s">
        <v>1945</v>
      </c>
      <c r="B23" s="221" t="s">
        <v>1946</v>
      </c>
      <c r="C23" s="1218">
        <f ca="1">ROUND(IF('数据-取费表'!B22&lt;=1,C5*F22*'数据-取费表'!B23,C5*(POWER((1+F22),'数据-取费表'!B23)-1)),0)</f>
        <v>4952</v>
      </c>
      <c r="D23" s="244"/>
      <c r="E23" s="244"/>
      <c r="F23" s="245"/>
      <c r="G23" s="246" t="s">
        <v>1947</v>
      </c>
    </row>
    <row r="24" spans="1:7" s="220" customFormat="1" ht="13.5" customHeight="1">
      <c r="A24" s="869" t="s">
        <v>1948</v>
      </c>
      <c r="B24" s="221" t="s">
        <v>1949</v>
      </c>
      <c r="C24" s="1218">
        <f ca="1">ROUND(IF('数据-取费表'!B22&lt;=1,C19*F22*('数据-取费表'!B19/2+'数据-取费表'!B21),C19*(POWER((1+F22),('数据-取费表'!B19/2+'数据-取费表'!B21))-1)),0)</f>
        <v>0</v>
      </c>
      <c r="D24" s="244"/>
      <c r="E24" s="244"/>
      <c r="F24" s="245"/>
      <c r="G24" s="246" t="s">
        <v>1950</v>
      </c>
    </row>
    <row r="25" spans="1:7" s="220" customFormat="1" ht="24">
      <c r="A25" s="869" t="s">
        <v>1951</v>
      </c>
      <c r="B25" s="221" t="s">
        <v>1952</v>
      </c>
      <c r="C25" s="1218">
        <f ca="1">ROUND(IF('数据-取费表'!B22&lt;=1,C20*F22*'数据-取费表'!B23/2,C20*(POWER((1+F22),'数据-取费表'!B23/2)-1)),0)</f>
        <v>48</v>
      </c>
      <c r="D25" s="244"/>
      <c r="E25" s="247"/>
      <c r="F25" s="245"/>
      <c r="G25" s="248" t="s">
        <v>1953</v>
      </c>
    </row>
    <row r="26" spans="1:7" s="220" customFormat="1">
      <c r="A26" s="869" t="s">
        <v>614</v>
      </c>
      <c r="B26" s="221" t="s">
        <v>1954</v>
      </c>
      <c r="C26" s="244">
        <f ca="1">ROUND(IF('数据-取费表'!B22&lt;=1,F21*F22*'数据-取费表'!B23/2,F21*(POWER((1+F22),'数据-取费表'!B23/2)-1)),4)</f>
        <v>5.9999999999999995E-4</v>
      </c>
      <c r="D26" s="244"/>
      <c r="E26" s="247"/>
      <c r="F26" s="245"/>
      <c r="G26" s="249"/>
    </row>
    <row r="27" spans="1:7" s="220" customFormat="1" ht="24.75">
      <c r="A27" s="261" t="s">
        <v>1955</v>
      </c>
      <c r="B27" s="250" t="s">
        <v>1956</v>
      </c>
      <c r="C27" s="251">
        <f ca="1">C28</f>
        <v>4999</v>
      </c>
      <c r="D27" s="241">
        <f ca="1">C29</f>
        <v>1.2999999999999999E-3</v>
      </c>
      <c r="E27" s="242" t="s">
        <v>1957</v>
      </c>
      <c r="F27" s="252">
        <f ca="1">IF(B1="",'数据-取费表'!Q16,INDIRECT("'数据-取费表'!q"&amp;$G$1))</f>
        <v>0.13</v>
      </c>
      <c r="G27" s="253" t="s">
        <v>1958</v>
      </c>
    </row>
    <row r="28" spans="1:7" s="220" customFormat="1" ht="13.5" customHeight="1">
      <c r="A28" s="869" t="s">
        <v>610</v>
      </c>
      <c r="B28" s="254" t="s">
        <v>1959</v>
      </c>
      <c r="C28" s="255">
        <f ca="1">ROUND((C5+C19+C20)*F27*'数据-取费表'!B21/'数据-取费表'!B20,0)</f>
        <v>4999</v>
      </c>
      <c r="D28" s="241"/>
      <c r="E28" s="242"/>
      <c r="F28" s="252"/>
      <c r="G28" s="253"/>
    </row>
    <row r="29" spans="1:7" s="220" customFormat="1" ht="13.5" customHeight="1">
      <c r="A29" s="869" t="s">
        <v>611</v>
      </c>
      <c r="B29" s="254" t="s">
        <v>1960</v>
      </c>
      <c r="C29" s="244">
        <f ca="1">ROUND(C21*F27*'数据-取费表'!B21/'数据-取费表'!B20,4)</f>
        <v>1.2999999999999999E-3</v>
      </c>
      <c r="D29" s="241"/>
      <c r="E29" s="242"/>
      <c r="F29" s="252"/>
      <c r="G29" s="253"/>
    </row>
    <row r="30" spans="1:7" s="220" customFormat="1" ht="13.5" customHeight="1">
      <c r="A30" s="261" t="s">
        <v>1961</v>
      </c>
      <c r="B30" s="216" t="s">
        <v>1962</v>
      </c>
      <c r="C30" s="241">
        <f>ROUND(F30/(1+'数据-取费表'!C42),4)</f>
        <v>5.2400000000000002E-2</v>
      </c>
      <c r="D30" s="242" t="s">
        <v>1957</v>
      </c>
      <c r="E30" s="247"/>
      <c r="F30" s="243">
        <f>'数据-取费表'!B41</f>
        <v>5.5000000000000007E-2</v>
      </c>
      <c r="G30" s="240" t="s">
        <v>1963</v>
      </c>
    </row>
    <row r="31" spans="1:7" ht="16.5" customHeight="1">
      <c r="A31" s="215">
        <v>1</v>
      </c>
      <c r="B31" s="216" t="s">
        <v>1964</v>
      </c>
      <c r="C31" s="217">
        <f ca="1">ROUND((C5+C19+C20+C22+C27)/(1-C21-D22-D27-C30),0)</f>
        <v>51782</v>
      </c>
      <c r="D31" s="236"/>
      <c r="E31" s="217"/>
      <c r="F31" s="256"/>
      <c r="G31" s="240" t="s">
        <v>1965</v>
      </c>
    </row>
    <row r="32" spans="1:7" s="214" customFormat="1" ht="15.75">
      <c r="A32" s="258" t="s">
        <v>1966</v>
      </c>
      <c r="B32" s="259"/>
      <c r="C32" s="259"/>
      <c r="D32" s="259"/>
      <c r="E32" s="259"/>
      <c r="F32" s="259"/>
      <c r="G32" s="260"/>
    </row>
    <row r="33" spans="1:10" s="220" customFormat="1" ht="13.5" customHeight="1">
      <c r="A33" s="261" t="s">
        <v>601</v>
      </c>
      <c r="B33" s="216" t="s">
        <v>1967</v>
      </c>
      <c r="C33" s="262">
        <f ca="1">SUM(C34:C38)</f>
        <v>93666</v>
      </c>
      <c r="D33" s="238"/>
      <c r="E33" s="218"/>
      <c r="F33" s="247"/>
      <c r="G33" s="240"/>
      <c r="J33" s="220">
        <f ca="1">ROUND(C33*10000/D37,0)</f>
        <v>3862</v>
      </c>
    </row>
    <row r="34" spans="1:10" s="264" customFormat="1" ht="13.5" customHeight="1">
      <c r="A34" s="869" t="s">
        <v>610</v>
      </c>
      <c r="B34" s="221" t="s">
        <v>1968</v>
      </c>
      <c r="C34" s="226">
        <f ca="1">IF(B1="",IF(F34=100%,'数据-取费表'!M16,'数据-取费表'!O16),IF(F34=100%,INDIRECT("'数据-取费表'!m"&amp;$G$1)+INDIRECT("'数据-取费表'!t"&amp;$G$1),INDIRECT("'数据-取费表'!o"&amp;$G$1)+INDIRECT("'数据-取费表'!aq"&amp;$G$1)))</f>
        <v>87312</v>
      </c>
      <c r="D34" s="223"/>
      <c r="E34" s="226"/>
      <c r="F34" s="263">
        <f ca="1">IF('数据-取费表'!B24=0,1,IF(B1="",'数据-取费表'!N16,INDIRECT("'数据-取费表'!n"&amp;$G$1)))</f>
        <v>1</v>
      </c>
      <c r="G34" s="225" t="s">
        <v>1969</v>
      </c>
    </row>
    <row r="35" spans="1:10" ht="13.5" customHeight="1">
      <c r="A35" s="869" t="s">
        <v>615</v>
      </c>
      <c r="B35" s="221" t="s">
        <v>1970</v>
      </c>
      <c r="C35" s="226">
        <f ca="1">ROUND(C34*F35,0)</f>
        <v>2619</v>
      </c>
      <c r="D35" s="226"/>
      <c r="E35" s="226"/>
      <c r="F35" s="265">
        <f>'数据-取费表'!B33</f>
        <v>0.03</v>
      </c>
      <c r="G35" s="225" t="s">
        <v>1971</v>
      </c>
    </row>
    <row r="36" spans="1:10" ht="24">
      <c r="A36" s="869" t="s">
        <v>616</v>
      </c>
      <c r="B36" s="221" t="s">
        <v>1972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1973</v>
      </c>
    </row>
    <row r="37" spans="1:10" s="264" customFormat="1" ht="13.5" customHeight="1">
      <c r="A37" s="869" t="s">
        <v>617</v>
      </c>
      <c r="B37" s="221" t="s">
        <v>1974</v>
      </c>
      <c r="C37" s="255">
        <f ca="1">ROUND(E37*D37*F34/10000,0)</f>
        <v>2425</v>
      </c>
      <c r="D37" s="223">
        <f ca="1">D19</f>
        <v>242531.24000000002</v>
      </c>
      <c r="E37" s="255">
        <f>'数据-取费表'!B35</f>
        <v>100</v>
      </c>
      <c r="F37" s="265"/>
      <c r="G37" s="267" t="s">
        <v>1975</v>
      </c>
    </row>
    <row r="38" spans="1:10" ht="13.5" customHeight="1">
      <c r="A38" s="869" t="s">
        <v>618</v>
      </c>
      <c r="B38" s="221" t="s">
        <v>1976</v>
      </c>
      <c r="C38" s="226">
        <f ca="1">ROUND(C34*F38,0)</f>
        <v>1310</v>
      </c>
      <c r="D38" s="226"/>
      <c r="E38" s="226"/>
      <c r="F38" s="265">
        <f>'数据-取费表'!B36</f>
        <v>1.4999999999999999E-2</v>
      </c>
      <c r="G38" s="225" t="s">
        <v>1971</v>
      </c>
    </row>
    <row r="39" spans="1:10" s="220" customFormat="1" ht="13.5" customHeight="1">
      <c r="A39" s="261" t="s">
        <v>1977</v>
      </c>
      <c r="B39" s="216" t="s">
        <v>1978</v>
      </c>
      <c r="C39" s="238">
        <f ca="1">ROUND(C33*F20,0)</f>
        <v>1873</v>
      </c>
      <c r="D39" s="238"/>
      <c r="E39" s="238"/>
      <c r="F39" s="2484">
        <f>F20</f>
        <v>0.02</v>
      </c>
      <c r="G39" s="240" t="s">
        <v>1979</v>
      </c>
    </row>
    <row r="40" spans="1:10" s="220" customFormat="1" ht="13.5" customHeight="1">
      <c r="A40" s="261" t="s">
        <v>1980</v>
      </c>
      <c r="B40" s="216" t="s">
        <v>1981</v>
      </c>
      <c r="C40" s="1447">
        <f>F21</f>
        <v>0.01</v>
      </c>
      <c r="D40" s="242" t="s">
        <v>1982</v>
      </c>
      <c r="E40" s="238"/>
      <c r="F40" s="2484">
        <f>F21</f>
        <v>0.01</v>
      </c>
      <c r="G40" s="240" t="s">
        <v>1983</v>
      </c>
    </row>
    <row r="41" spans="1:10" s="220" customFormat="1" ht="13.5" customHeight="1">
      <c r="A41" s="261" t="s">
        <v>1984</v>
      </c>
      <c r="B41" s="216" t="s">
        <v>1985</v>
      </c>
      <c r="C41" s="238">
        <f ca="1">ROUND(SUM(C42:C43),0)</f>
        <v>6081</v>
      </c>
      <c r="D41" s="241">
        <f ca="1">C44</f>
        <v>5.9999999999999995E-4</v>
      </c>
      <c r="E41" s="242" t="s">
        <v>1982</v>
      </c>
      <c r="F41" s="2485">
        <f ca="1">F22</f>
        <v>4.2000000000000003E-2</v>
      </c>
      <c r="G41" s="240" t="str">
        <f>IF('数据-取费表'!B22&lt;=1,"单利计息","复利计息")</f>
        <v>复利计息</v>
      </c>
    </row>
    <row r="42" spans="1:10" ht="13.5" customHeight="1">
      <c r="A42" s="869" t="s">
        <v>610</v>
      </c>
      <c r="B42" s="221" t="s">
        <v>1986</v>
      </c>
      <c r="C42" s="244">
        <f ca="1">ROUND(IF('数据-取费表'!B22&lt;=1,C33*F22*'数据-取费表'!B21/2,C33*(POWER((1+F22),'数据-取费表'!B21/2)-1)),0)</f>
        <v>5962</v>
      </c>
      <c r="D42" s="244"/>
      <c r="E42" s="244"/>
      <c r="F42" s="245"/>
      <c r="G42" s="3488" t="s">
        <v>1987</v>
      </c>
    </row>
    <row r="43" spans="1:10" ht="13.5" customHeight="1">
      <c r="A43" s="869" t="s">
        <v>611</v>
      </c>
      <c r="B43" s="221" t="s">
        <v>1988</v>
      </c>
      <c r="C43" s="244">
        <f ca="1">ROUND(IF('数据-取费表'!B22&lt;=1,C39*F22*'数据-取费表'!B21/2,C39*(POWER((1+F22),'数据-取费表'!B21/2)-1)),0)</f>
        <v>119</v>
      </c>
      <c r="D43" s="244"/>
      <c r="E43" s="244"/>
      <c r="F43" s="245"/>
      <c r="G43" s="3489"/>
    </row>
    <row r="44" spans="1:10" ht="13.5" customHeight="1">
      <c r="A44" s="869" t="s">
        <v>612</v>
      </c>
      <c r="B44" s="221" t="s">
        <v>1989</v>
      </c>
      <c r="C44" s="244">
        <f ca="1">ROUND(IF('数据-取费表'!B22&lt;=1,C40*F22*'数据-取费表'!B21/2,C40*(POWER((1+F22),'数据-取费表'!B21/2)-1)),4)</f>
        <v>5.9999999999999995E-4</v>
      </c>
      <c r="D44" s="244"/>
      <c r="E44" s="244"/>
      <c r="F44" s="245"/>
      <c r="G44" s="3490"/>
    </row>
    <row r="45" spans="1:10" s="220" customFormat="1" ht="13.5" customHeight="1">
      <c r="A45" s="261" t="s">
        <v>1990</v>
      </c>
      <c r="B45" s="250" t="s">
        <v>1956</v>
      </c>
      <c r="C45" s="251">
        <f ca="1">C46</f>
        <v>12420</v>
      </c>
      <c r="D45" s="241">
        <f ca="1">C47</f>
        <v>1.2999999999999999E-3</v>
      </c>
      <c r="E45" s="242" t="s">
        <v>1982</v>
      </c>
      <c r="F45" s="2486">
        <f ca="1">F27</f>
        <v>0.13</v>
      </c>
      <c r="G45" s="253" t="s">
        <v>1991</v>
      </c>
    </row>
    <row r="46" spans="1:10" s="220" customFormat="1" ht="13.5" customHeight="1">
      <c r="A46" s="869" t="s">
        <v>610</v>
      </c>
      <c r="B46" s="254" t="s">
        <v>1992</v>
      </c>
      <c r="C46" s="255">
        <f ca="1">ROUND((C33+C39)*F27,0)</f>
        <v>12420</v>
      </c>
      <c r="D46" s="269"/>
      <c r="E46" s="242"/>
      <c r="F46" s="252"/>
      <c r="G46" s="253"/>
    </row>
    <row r="47" spans="1:10" s="220" customFormat="1" ht="13.5" customHeight="1">
      <c r="A47" s="869" t="s">
        <v>611</v>
      </c>
      <c r="B47" s="254" t="s">
        <v>1993</v>
      </c>
      <c r="C47" s="244">
        <f ca="1">ROUND(C40*F27,4)</f>
        <v>1.2999999999999999E-3</v>
      </c>
      <c r="D47" s="269"/>
      <c r="E47" s="242"/>
      <c r="F47" s="252"/>
      <c r="G47" s="253"/>
    </row>
    <row r="48" spans="1:10" s="220" customFormat="1" ht="13.5" customHeight="1">
      <c r="A48" s="261" t="s">
        <v>1955</v>
      </c>
      <c r="B48" s="216" t="s">
        <v>1994</v>
      </c>
      <c r="C48" s="1447">
        <f>ROUND(F30/(1+'数据-取费表'!C42),4)</f>
        <v>5.2400000000000002E-2</v>
      </c>
      <c r="D48" s="242" t="s">
        <v>1982</v>
      </c>
      <c r="E48" s="238"/>
      <c r="F48" s="2485">
        <f>F30</f>
        <v>5.5000000000000007E-2</v>
      </c>
      <c r="G48" s="240" t="s">
        <v>1995</v>
      </c>
    </row>
    <row r="49" spans="1:9" ht="16.5" customHeight="1">
      <c r="A49" s="261" t="s">
        <v>1961</v>
      </c>
      <c r="B49" s="216" t="s">
        <v>1996</v>
      </c>
      <c r="C49" s="238">
        <f ca="1">ROUND((C33+C39+C41+C45)/(1-C40-D41-D45-C48),0)</f>
        <v>121877</v>
      </c>
      <c r="D49" s="238"/>
      <c r="E49" s="238"/>
      <c r="F49" s="270"/>
      <c r="G49" s="240" t="s">
        <v>1997</v>
      </c>
    </row>
    <row r="50" spans="1:9" s="264" customFormat="1" ht="24">
      <c r="A50" s="261" t="s">
        <v>1998</v>
      </c>
      <c r="B50" s="216" t="s">
        <v>1999</v>
      </c>
      <c r="C50" s="238"/>
      <c r="D50" s="238"/>
      <c r="E50" s="238"/>
      <c r="F50" s="270">
        <f>IF('数据-取费表'!B24=0,'数据-取费表'!N16,1)</f>
        <v>0.97</v>
      </c>
      <c r="G50" s="253" t="s">
        <v>2000</v>
      </c>
    </row>
    <row r="51" spans="1:9" ht="16.5" customHeight="1">
      <c r="A51" s="261" t="s">
        <v>2001</v>
      </c>
      <c r="B51" s="216" t="s">
        <v>2002</v>
      </c>
      <c r="C51" s="238">
        <f ca="1">ROUND(C49*F50,0)</f>
        <v>118221</v>
      </c>
      <c r="D51" s="238"/>
      <c r="E51" s="238"/>
      <c r="F51" s="270"/>
      <c r="G51" s="240" t="s">
        <v>2003</v>
      </c>
      <c r="I51" s="257">
        <f ca="1">C51*10000/D37</f>
        <v>4874.4648318294994</v>
      </c>
    </row>
    <row r="52" spans="1:9" s="214" customFormat="1" ht="16.5" thickBot="1">
      <c r="A52" s="271" t="s">
        <v>2004</v>
      </c>
      <c r="B52" s="272"/>
      <c r="C52" s="273">
        <f ca="1">C31+C51</f>
        <v>170003</v>
      </c>
      <c r="D52" s="272"/>
      <c r="E52" s="272"/>
      <c r="F52" s="272"/>
      <c r="G52" s="274"/>
    </row>
    <row r="55" spans="1:9" ht="15">
      <c r="B55" s="276" t="s">
        <v>2005</v>
      </c>
      <c r="C55" s="277"/>
    </row>
    <row r="56" spans="1:9">
      <c r="B56" s="279" t="s">
        <v>1237</v>
      </c>
      <c r="C56" s="281">
        <f ca="1">1-C57</f>
        <v>0.30500000000000005</v>
      </c>
    </row>
    <row r="57" spans="1:9">
      <c r="B57" s="279" t="s">
        <v>1238</v>
      </c>
      <c r="C57" s="280">
        <f ca="1">ROUND(C51/C52,3)</f>
        <v>0.69499999999999995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1904</v>
      </c>
      <c r="B1" s="1604"/>
      <c r="C1" s="1994" t="s">
        <v>2006</v>
      </c>
      <c r="D1" s="204"/>
      <c r="E1" s="204"/>
      <c r="F1" s="204"/>
      <c r="G1" s="1241">
        <f>MATCH(B1,'数据-取费表'!A6:A16,0)+5</f>
        <v>9</v>
      </c>
      <c r="H1" s="1173" t="str">
        <f>IF(ISERROR(FIND("住宅",B1)),"非住宅","住宅")</f>
        <v>非住宅</v>
      </c>
    </row>
    <row r="2" spans="1:8" s="206" customFormat="1" ht="18" customHeight="1">
      <c r="A2" s="207" t="s">
        <v>1905</v>
      </c>
      <c r="B2" s="208">
        <f ca="1">ROUND(IF(D2="——",C52/10000,C52/10000-E2),0)</f>
        <v>129547</v>
      </c>
      <c r="C2" s="205" t="s">
        <v>1906</v>
      </c>
      <c r="D2" s="1988" t="s">
        <v>70</v>
      </c>
      <c r="E2" s="1284" t="e">
        <f ca="1">SUMIF(INDIRECT("'"&amp;G2&amp;"'"&amp;"!A:A"),"承租人权益价值",INDIRECT("'"&amp;G2&amp;"'"&amp;"!c:c"))</f>
        <v>#REF!</v>
      </c>
      <c r="F2" s="1989" t="s">
        <v>1906</v>
      </c>
      <c r="G2" s="1990"/>
    </row>
    <row r="3" spans="1:8" s="206" customFormat="1" ht="18" customHeight="1" thickBot="1">
      <c r="A3" s="209" t="s">
        <v>1907</v>
      </c>
      <c r="B3" s="210">
        <f ca="1">ROUND(B2*10000/(IF(B1="",'数据-汇总表'!E3,INDIRECT("'数据-取费表'!k"&amp;$G$1))),0)</f>
        <v>5341</v>
      </c>
      <c r="C3" s="205" t="s">
        <v>1908</v>
      </c>
      <c r="D3" s="205"/>
      <c r="E3" s="205"/>
      <c r="F3" s="205"/>
      <c r="G3" s="205"/>
    </row>
    <row r="4" spans="1:8" s="214" customFormat="1" ht="15.75">
      <c r="A4" s="211" t="s">
        <v>1909</v>
      </c>
      <c r="B4" s="212"/>
      <c r="C4" s="212"/>
      <c r="D4" s="212"/>
      <c r="E4" s="212"/>
      <c r="F4" s="212"/>
      <c r="G4" s="213"/>
    </row>
    <row r="5" spans="1:8" s="220" customFormat="1" ht="13.5" customHeight="1">
      <c r="A5" s="261" t="s">
        <v>1910</v>
      </c>
      <c r="B5" s="216" t="s">
        <v>1911</v>
      </c>
      <c r="C5" s="217">
        <f ca="1">C6+C7+C8</f>
        <v>46080936</v>
      </c>
      <c r="D5" s="217" t="s">
        <v>1912</v>
      </c>
      <c r="E5" s="218" t="s">
        <v>1913</v>
      </c>
      <c r="F5" s="218" t="s">
        <v>1914</v>
      </c>
      <c r="G5" s="219"/>
    </row>
    <row r="6" spans="1:8" s="220" customFormat="1" ht="13.5" customHeight="1">
      <c r="A6" s="867" t="s">
        <v>1915</v>
      </c>
      <c r="B6" s="221" t="s">
        <v>1916</v>
      </c>
      <c r="C6" s="222"/>
      <c r="D6" s="223"/>
      <c r="E6" s="224"/>
      <c r="F6" s="224"/>
      <c r="G6" s="225"/>
    </row>
    <row r="7" spans="1:8" s="220" customFormat="1" ht="13.5" customHeight="1">
      <c r="A7" s="867" t="s">
        <v>1917</v>
      </c>
      <c r="B7" s="221" t="s">
        <v>1918</v>
      </c>
      <c r="C7" s="226">
        <f>ROUND(C6*F7,0)</f>
        <v>0</v>
      </c>
      <c r="D7" s="226"/>
      <c r="E7" s="224"/>
      <c r="F7" s="227">
        <f>IF(项目基本情况!B8="出让",0,'数据-取费表'!B48+'数据-取费表'!B49)</f>
        <v>3.0499999999999999E-2</v>
      </c>
      <c r="G7" s="225"/>
    </row>
    <row r="8" spans="1:8" s="229" customFormat="1">
      <c r="A8" s="867" t="s">
        <v>1919</v>
      </c>
      <c r="B8" s="221" t="s">
        <v>1920</v>
      </c>
      <c r="C8" s="226">
        <f ca="1">IF(G8="已包含在土地购买价格中",0,C9+C10)</f>
        <v>46080936</v>
      </c>
      <c r="D8" s="228"/>
      <c r="E8" s="226"/>
      <c r="F8" s="227"/>
      <c r="G8" s="1991"/>
    </row>
    <row r="9" spans="1:8" s="220" customFormat="1" ht="13.5" customHeight="1">
      <c r="A9" s="868" t="s">
        <v>619</v>
      </c>
      <c r="B9" s="230" t="s">
        <v>1921</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1923</v>
      </c>
      <c r="C10" s="231">
        <f ca="1">ROUND(D10*E10,0)</f>
        <v>46080936</v>
      </c>
      <c r="D10" s="935">
        <f ca="1">IF(B1="",'数据-汇总表'!E6,IF(INDIRECT("'数据-取费表'!c"&amp;$G$1)="住宅",INDIRECT("'数据-取费表'!s"&amp;$G$1),INDIRECT("'数据-取费表'!k"&amp;$G$1)+INDIRECT("'数据-取费表'!s"&amp;$G$1)))</f>
        <v>242531.24000000002</v>
      </c>
      <c r="E10" s="231">
        <f>'数据-取费表'!B28</f>
        <v>190</v>
      </c>
      <c r="F10" s="227"/>
      <c r="G10" s="232"/>
    </row>
    <row r="11" spans="1:8" s="220" customFormat="1" ht="13.5" hidden="1" customHeight="1">
      <c r="A11" s="233" t="s">
        <v>7</v>
      </c>
      <c r="B11" s="221" t="s">
        <v>1924</v>
      </c>
      <c r="C11" s="217"/>
      <c r="D11" s="937"/>
      <c r="E11" s="224"/>
      <c r="F11" s="224"/>
      <c r="G11" s="225"/>
    </row>
    <row r="12" spans="1:8" s="220" customFormat="1" ht="13.5" hidden="1" customHeight="1">
      <c r="A12" s="233" t="s">
        <v>8</v>
      </c>
      <c r="B12" s="221" t="s">
        <v>2007</v>
      </c>
      <c r="C12" s="217">
        <v>0</v>
      </c>
      <c r="D12" s="937"/>
      <c r="E12" s="234"/>
      <c r="F12" s="227">
        <v>3.0499999999999999E-2</v>
      </c>
      <c r="G12" s="225"/>
    </row>
    <row r="13" spans="1:8" s="220" customFormat="1" ht="13.5" hidden="1" customHeight="1">
      <c r="A13" s="233" t="s">
        <v>9</v>
      </c>
      <c r="B13" s="221" t="s">
        <v>2008</v>
      </c>
      <c r="C13" s="217"/>
      <c r="D13" s="937"/>
      <c r="E13" s="224"/>
      <c r="F13" s="224"/>
      <c r="G13" s="225"/>
    </row>
    <row r="14" spans="1:8" s="220" customFormat="1" ht="13.5" hidden="1" customHeight="1">
      <c r="A14" s="233" t="s">
        <v>10</v>
      </c>
      <c r="B14" s="221" t="s">
        <v>1920</v>
      </c>
      <c r="C14" s="217"/>
      <c r="D14" s="937"/>
      <c r="E14" s="224"/>
      <c r="F14" s="224"/>
      <c r="G14" s="225" t="s">
        <v>2009</v>
      </c>
    </row>
    <row r="15" spans="1:8" s="220" customFormat="1" ht="13.5" hidden="1" customHeight="1">
      <c r="A15" s="233" t="s">
        <v>11</v>
      </c>
      <c r="B15" s="221" t="s">
        <v>2010</v>
      </c>
      <c r="C15" s="226"/>
      <c r="D15" s="937"/>
      <c r="E15" s="224"/>
      <c r="F15" s="224"/>
      <c r="G15" s="225" t="s">
        <v>2011</v>
      </c>
    </row>
    <row r="16" spans="1:8" s="220" customFormat="1" ht="13.5" hidden="1" customHeight="1">
      <c r="A16" s="233" t="s">
        <v>12</v>
      </c>
      <c r="B16" s="221" t="s">
        <v>1920</v>
      </c>
      <c r="C16" s="226"/>
      <c r="D16" s="937"/>
      <c r="E16" s="224"/>
      <c r="F16" s="224"/>
      <c r="G16" s="225"/>
    </row>
    <row r="17" spans="1:7" s="220" customFormat="1" ht="13.5" hidden="1" customHeight="1">
      <c r="A17" s="233" t="s">
        <v>13</v>
      </c>
      <c r="B17" s="221" t="s">
        <v>2012</v>
      </c>
      <c r="C17" s="235"/>
      <c r="D17" s="938"/>
      <c r="E17" s="235"/>
      <c r="F17" s="235"/>
      <c r="G17" s="225" t="s">
        <v>2011</v>
      </c>
    </row>
    <row r="18" spans="1:7" s="220" customFormat="1" ht="13.5" hidden="1" customHeight="1">
      <c r="A18" s="233" t="s">
        <v>14</v>
      </c>
      <c r="B18" s="221" t="s">
        <v>2013</v>
      </c>
      <c r="C18" s="226">
        <v>0</v>
      </c>
      <c r="D18" s="937"/>
      <c r="E18" s="224"/>
      <c r="F18" s="227">
        <v>3.0499999999999999E-2</v>
      </c>
      <c r="G18" s="225" t="s">
        <v>2014</v>
      </c>
    </row>
    <row r="19" spans="1:7" s="229" customFormat="1" ht="13.5" customHeight="1">
      <c r="A19" s="261" t="s">
        <v>2015</v>
      </c>
      <c r="B19" s="216" t="s">
        <v>2016</v>
      </c>
      <c r="C19" s="217">
        <f ca="1">IF(G19="已包含在土地取得成本中","0",ROUND(D19*E19,0))</f>
        <v>36379686</v>
      </c>
      <c r="D19" s="939">
        <f ca="1">D9+D10</f>
        <v>242531.24000000002</v>
      </c>
      <c r="E19" s="217">
        <f>'数据-取费表'!B31</f>
        <v>150</v>
      </c>
      <c r="F19" s="237"/>
      <c r="G19" s="1991"/>
    </row>
    <row r="20" spans="1:7" s="220" customFormat="1" ht="13.5" customHeight="1">
      <c r="A20" s="261" t="s">
        <v>2017</v>
      </c>
      <c r="B20" s="216" t="s">
        <v>2018</v>
      </c>
      <c r="C20" s="238">
        <f ca="1">ROUND((C5+C19)*F20,0)</f>
        <v>1649212</v>
      </c>
      <c r="D20" s="238"/>
      <c r="E20" s="238"/>
      <c r="F20" s="239">
        <f>'数据-取费表'!B37</f>
        <v>0.02</v>
      </c>
      <c r="G20" s="240" t="s">
        <v>2019</v>
      </c>
    </row>
    <row r="21" spans="1:7" s="220" customFormat="1" ht="13.5" customHeight="1">
      <c r="A21" s="261" t="s">
        <v>2020</v>
      </c>
      <c r="B21" s="216" t="s">
        <v>2021</v>
      </c>
      <c r="C21" s="241">
        <f>F21</f>
        <v>0.01</v>
      </c>
      <c r="D21" s="242" t="s">
        <v>2022</v>
      </c>
      <c r="E21" s="238"/>
      <c r="F21" s="239">
        <f>'数据-取费表'!B38</f>
        <v>0.01</v>
      </c>
      <c r="G21" s="240" t="s">
        <v>2023</v>
      </c>
    </row>
    <row r="22" spans="1:7" s="220" customFormat="1" ht="13.5" customHeight="1">
      <c r="A22" s="261" t="s">
        <v>2024</v>
      </c>
      <c r="B22" s="216" t="s">
        <v>2025</v>
      </c>
      <c r="C22" s="1242">
        <f ca="1">ROUND(SUM(C23:C25),0)</f>
        <v>10937513</v>
      </c>
      <c r="D22" s="241">
        <f ca="1">C26</f>
        <v>5.9999999999999995E-4</v>
      </c>
      <c r="E22" s="242" t="s">
        <v>2022</v>
      </c>
      <c r="F22" s="243">
        <f ca="1">'数据-取费表'!B40</f>
        <v>4.2000000000000003E-2</v>
      </c>
      <c r="G22" s="240" t="str">
        <f>IF('数据-取费表'!B22&lt;=1,"单利计息","复利计息")</f>
        <v>复利计息</v>
      </c>
    </row>
    <row r="23" spans="1:7" s="220" customFormat="1" ht="13.5" customHeight="1">
      <c r="A23" s="869" t="s">
        <v>1915</v>
      </c>
      <c r="B23" s="221" t="s">
        <v>2026</v>
      </c>
      <c r="C23" s="1243">
        <f ca="1">ROUND(IF('数据-取费表'!B22&lt;=1,C5*F22*'数据-取费表'!B22,C5*(POWER((1+F22),'数据-取费表'!B22)-1)),0)</f>
        <v>6053472</v>
      </c>
      <c r="D23" s="244"/>
      <c r="E23" s="244"/>
      <c r="F23" s="245"/>
      <c r="G23" s="246" t="s">
        <v>2027</v>
      </c>
    </row>
    <row r="24" spans="1:7" s="220" customFormat="1" ht="13.5" customHeight="1">
      <c r="A24" s="869" t="s">
        <v>1917</v>
      </c>
      <c r="B24" s="221" t="s">
        <v>2028</v>
      </c>
      <c r="C24" s="1243">
        <f ca="1">ROUND(IF('数据-取费表'!B22&lt;=1,C19*F22*('数据-取费表'!B19/2+'数据-取费表'!B20),C19*(POWER((1+F22),('数据-取费表'!B19/2+'数据-取费表'!B20))-1)),0)</f>
        <v>4779057</v>
      </c>
      <c r="D24" s="244"/>
      <c r="E24" s="244"/>
      <c r="F24" s="245"/>
      <c r="G24" s="246" t="s">
        <v>2029</v>
      </c>
    </row>
    <row r="25" spans="1:7" s="220" customFormat="1" ht="24">
      <c r="A25" s="869" t="s">
        <v>1919</v>
      </c>
      <c r="B25" s="221" t="s">
        <v>2030</v>
      </c>
      <c r="C25" s="1243">
        <f ca="1">ROUND(IF('数据-取费表'!B22&lt;=1,C20*F22*'数据-取费表'!B22/2,C20*(POWER((1+F22),'数据-取费表'!B22/2)-1)),0)</f>
        <v>104984</v>
      </c>
      <c r="D25" s="244"/>
      <c r="E25" s="247"/>
      <c r="F25" s="245"/>
      <c r="G25" s="248" t="s">
        <v>2031</v>
      </c>
    </row>
    <row r="26" spans="1:7" s="220" customFormat="1">
      <c r="A26" s="869" t="s">
        <v>614</v>
      </c>
      <c r="B26" s="221" t="s">
        <v>1954</v>
      </c>
      <c r="C26" s="244">
        <f ca="1">ROUND(IF('数据-取费表'!B22&lt;=1,F21*F22*'数据-取费表'!B22/2,F21*(POWER((1+F22),'数据-取费表'!B22/2)-1)),4)</f>
        <v>5.9999999999999995E-4</v>
      </c>
      <c r="D26" s="244"/>
      <c r="E26" s="247"/>
      <c r="F26" s="245"/>
      <c r="G26" s="249"/>
    </row>
    <row r="27" spans="1:7" s="220" customFormat="1" ht="24.75">
      <c r="A27" s="261" t="s">
        <v>1955</v>
      </c>
      <c r="B27" s="250" t="s">
        <v>1956</v>
      </c>
      <c r="C27" s="251">
        <f ca="1">C28</f>
        <v>10934278</v>
      </c>
      <c r="D27" s="241">
        <f ca="1">C29</f>
        <v>1.2999999999999999E-3</v>
      </c>
      <c r="E27" s="242" t="s">
        <v>1957</v>
      </c>
      <c r="F27" s="252">
        <f ca="1">IF(B1="",'数据-取费表'!Q16,INDIRECT("'数据-取费表'!q"&amp;$G$1))</f>
        <v>0.13</v>
      </c>
      <c r="G27" s="253" t="s">
        <v>1958</v>
      </c>
    </row>
    <row r="28" spans="1:7" s="220" customFormat="1" ht="13.5" customHeight="1">
      <c r="A28" s="869" t="s">
        <v>610</v>
      </c>
      <c r="B28" s="254" t="s">
        <v>1959</v>
      </c>
      <c r="C28" s="255">
        <f ca="1">ROUND((C5+C19+C20)*F27,0)</f>
        <v>10934278</v>
      </c>
      <c r="D28" s="241"/>
      <c r="E28" s="242"/>
      <c r="F28" s="252"/>
      <c r="G28" s="253"/>
    </row>
    <row r="29" spans="1:7" s="220" customFormat="1" ht="13.5" customHeight="1">
      <c r="A29" s="869" t="s">
        <v>611</v>
      </c>
      <c r="B29" s="254" t="s">
        <v>1960</v>
      </c>
      <c r="C29" s="244">
        <f ca="1">ROUND(C21*F27,4)</f>
        <v>1.2999999999999999E-3</v>
      </c>
      <c r="D29" s="241"/>
      <c r="E29" s="242"/>
      <c r="F29" s="252"/>
      <c r="G29" s="253"/>
    </row>
    <row r="30" spans="1:7" s="220" customFormat="1" ht="13.5" customHeight="1">
      <c r="A30" s="261" t="s">
        <v>1961</v>
      </c>
      <c r="B30" s="216" t="s">
        <v>1962</v>
      </c>
      <c r="C30" s="241">
        <f>ROUND(F30/(1+'数据-取费表'!C42),4)</f>
        <v>5.2400000000000002E-2</v>
      </c>
      <c r="D30" s="242" t="s">
        <v>1957</v>
      </c>
      <c r="E30" s="247"/>
      <c r="F30" s="243">
        <f>'数据-取费表'!B41</f>
        <v>5.5000000000000007E-2</v>
      </c>
      <c r="G30" s="240" t="s">
        <v>1963</v>
      </c>
    </row>
    <row r="31" spans="1:7" ht="16.5" customHeight="1">
      <c r="A31" s="215">
        <v>1</v>
      </c>
      <c r="B31" s="216" t="s">
        <v>1964</v>
      </c>
      <c r="C31" s="217">
        <f ca="1">ROUND((C5+C19+C20+C22+C27)/(1-C21-D22-D27-C30),0)</f>
        <v>113264535</v>
      </c>
      <c r="D31" s="236"/>
      <c r="E31" s="217"/>
      <c r="F31" s="256"/>
      <c r="G31" s="240" t="s">
        <v>1965</v>
      </c>
    </row>
    <row r="32" spans="1:7" s="214" customFormat="1" ht="15.75">
      <c r="A32" s="258" t="s">
        <v>2032</v>
      </c>
      <c r="B32" s="259"/>
      <c r="C32" s="259"/>
      <c r="D32" s="259"/>
      <c r="E32" s="259"/>
      <c r="F32" s="259"/>
      <c r="G32" s="260"/>
    </row>
    <row r="33" spans="1:7" s="220" customFormat="1" ht="13.5" customHeight="1">
      <c r="A33" s="261" t="s">
        <v>601</v>
      </c>
      <c r="B33" s="216" t="s">
        <v>2033</v>
      </c>
      <c r="C33" s="262">
        <f ca="1">SUM(C34:C38)</f>
        <v>936655649</v>
      </c>
      <c r="D33" s="238"/>
      <c r="E33" s="218"/>
      <c r="F33" s="247"/>
      <c r="G33" s="240"/>
    </row>
    <row r="34" spans="1:7" s="264" customFormat="1" ht="13.5" customHeight="1">
      <c r="A34" s="869" t="s">
        <v>610</v>
      </c>
      <c r="B34" s="221" t="s">
        <v>1968</v>
      </c>
      <c r="C34" s="226">
        <f ca="1">ROUND(IF(B1="",SUMPRODUCT('数据-取费表'!K6:K14,'数据-取费表'!L6:L14),INDIRECT("'数据-取费表'!l"&amp;$G$1)*INDIRECT("'数据-取费表'!k"&amp;$G$1)+'数据-取费表'!L14*INDIRECT("'数据-取费表'!S"&amp;$G$1)),0)</f>
        <v>873112464</v>
      </c>
      <c r="D34" s="223"/>
      <c r="E34" s="226"/>
      <c r="F34" s="263"/>
      <c r="G34" s="225"/>
    </row>
    <row r="35" spans="1:7" ht="13.5" customHeight="1">
      <c r="A35" s="869" t="s">
        <v>615</v>
      </c>
      <c r="B35" s="221" t="s">
        <v>1970</v>
      </c>
      <c r="C35" s="226">
        <f ca="1">ROUND(C34*F35,0)</f>
        <v>26193374</v>
      </c>
      <c r="D35" s="226"/>
      <c r="E35" s="226"/>
      <c r="F35" s="265">
        <f>'数据-取费表'!B33</f>
        <v>0.03</v>
      </c>
      <c r="G35" s="225" t="s">
        <v>1971</v>
      </c>
    </row>
    <row r="36" spans="1:7" ht="24">
      <c r="A36" s="869" t="s">
        <v>616</v>
      </c>
      <c r="B36" s="221" t="s">
        <v>1972</v>
      </c>
      <c r="C36" s="226">
        <f ca="1">ROUND(IF(B1="",SUM('数据-取费表'!AP6:AP13)*F36,IF(INDIRECT("'数据-取费表'!c"&amp;$G$1)="住宅",INDIRECT("'数据-取费表'!k"&amp;$G$1)*INDIRECT("'数据-取费表'!l"&amp;$G$1)*F36,0)),0)</f>
        <v>0</v>
      </c>
      <c r="D36" s="226"/>
      <c r="E36" s="226"/>
      <c r="F36" s="265">
        <f>'数据-取费表'!B34</f>
        <v>0</v>
      </c>
      <c r="G36" s="266" t="s">
        <v>1973</v>
      </c>
    </row>
    <row r="37" spans="1:7" s="264" customFormat="1" ht="13.5" customHeight="1">
      <c r="A37" s="869" t="s">
        <v>617</v>
      </c>
      <c r="B37" s="221" t="s">
        <v>1974</v>
      </c>
      <c r="C37" s="255">
        <f ca="1">ROUND(E37*D37,0)</f>
        <v>24253124</v>
      </c>
      <c r="D37" s="223">
        <f ca="1">D19</f>
        <v>242531.24000000002</v>
      </c>
      <c r="E37" s="255">
        <f>'数据-取费表'!B35</f>
        <v>100</v>
      </c>
      <c r="F37" s="265"/>
      <c r="G37" s="267"/>
    </row>
    <row r="38" spans="1:7" ht="13.5" customHeight="1">
      <c r="A38" s="869" t="s">
        <v>618</v>
      </c>
      <c r="B38" s="221" t="s">
        <v>1976</v>
      </c>
      <c r="C38" s="226">
        <f ca="1">ROUND(C34*F38,0)</f>
        <v>13096687</v>
      </c>
      <c r="D38" s="226"/>
      <c r="E38" s="226"/>
      <c r="F38" s="265">
        <f>'数据-取费表'!B36</f>
        <v>1.4999999999999999E-2</v>
      </c>
      <c r="G38" s="225" t="s">
        <v>1971</v>
      </c>
    </row>
    <row r="39" spans="1:7" s="220" customFormat="1" ht="13.5" customHeight="1">
      <c r="A39" s="261" t="s">
        <v>1977</v>
      </c>
      <c r="B39" s="216" t="s">
        <v>1978</v>
      </c>
      <c r="C39" s="238">
        <f ca="1">ROUND(C33*F20,0)</f>
        <v>18733113</v>
      </c>
      <c r="D39" s="238"/>
      <c r="E39" s="238"/>
      <c r="F39" s="2484">
        <f>F20</f>
        <v>0.02</v>
      </c>
      <c r="G39" s="240" t="s">
        <v>1979</v>
      </c>
    </row>
    <row r="40" spans="1:7" s="220" customFormat="1" ht="13.5" customHeight="1">
      <c r="A40" s="261" t="s">
        <v>1980</v>
      </c>
      <c r="B40" s="216" t="s">
        <v>1981</v>
      </c>
      <c r="C40" s="1447">
        <f>F21</f>
        <v>0.01</v>
      </c>
      <c r="D40" s="242" t="s">
        <v>1982</v>
      </c>
      <c r="E40" s="238"/>
      <c r="F40" s="2484">
        <f>F21</f>
        <v>0.01</v>
      </c>
      <c r="G40" s="240" t="s">
        <v>1983</v>
      </c>
    </row>
    <row r="41" spans="1:7" s="220" customFormat="1" ht="13.5" customHeight="1">
      <c r="A41" s="261" t="s">
        <v>1984</v>
      </c>
      <c r="B41" s="216" t="s">
        <v>1985</v>
      </c>
      <c r="C41" s="238">
        <f ca="1">ROUND(SUM(C42:C43),0)</f>
        <v>60817126</v>
      </c>
      <c r="D41" s="241">
        <f ca="1">C44</f>
        <v>5.9999999999999995E-4</v>
      </c>
      <c r="E41" s="242" t="s">
        <v>1982</v>
      </c>
      <c r="F41" s="2485">
        <f ca="1">F22</f>
        <v>4.2000000000000003E-2</v>
      </c>
      <c r="G41" s="240" t="str">
        <f>IF('数据-取费表'!B22&lt;=1,"单利计息","复利计息")</f>
        <v>复利计息</v>
      </c>
    </row>
    <row r="42" spans="1:7" ht="13.5" customHeight="1">
      <c r="A42" s="869" t="s">
        <v>610</v>
      </c>
      <c r="B42" s="221" t="s">
        <v>1986</v>
      </c>
      <c r="C42" s="244">
        <f ca="1">ROUND(IF('数据-取费表'!B22&lt;=1,C33*F22*'数据-取费表'!B20/2,C33*(POWER((1+F22),'数据-取费表'!B20/2)-1)),0)</f>
        <v>59624633</v>
      </c>
      <c r="D42" s="244"/>
      <c r="E42" s="244"/>
      <c r="F42" s="245"/>
      <c r="G42" s="3488" t="s">
        <v>2034</v>
      </c>
    </row>
    <row r="43" spans="1:7" ht="13.5" customHeight="1">
      <c r="A43" s="869" t="s">
        <v>611</v>
      </c>
      <c r="B43" s="221" t="s">
        <v>1988</v>
      </c>
      <c r="C43" s="244">
        <f ca="1">ROUND(IF('数据-取费表'!B22&lt;=1,C39*F22*'数据-取费表'!B20/2,C39*(POWER((1+F22),'数据-取费表'!B20/2)-1)),0)</f>
        <v>1192493</v>
      </c>
      <c r="D43" s="244"/>
      <c r="E43" s="244"/>
      <c r="F43" s="245"/>
      <c r="G43" s="3489"/>
    </row>
    <row r="44" spans="1:7" ht="13.5" customHeight="1">
      <c r="A44" s="869" t="s">
        <v>612</v>
      </c>
      <c r="B44" s="221" t="s">
        <v>1989</v>
      </c>
      <c r="C44" s="244">
        <f ca="1">ROUND(IF('数据-取费表'!B22&lt;=1,C40*F22*'数据-取费表'!B20/2,C40*(POWER((1+F22),'数据-取费表'!B20/2)-1)),4)</f>
        <v>5.9999999999999995E-4</v>
      </c>
      <c r="D44" s="244"/>
      <c r="E44" s="244"/>
      <c r="F44" s="245"/>
      <c r="G44" s="3490"/>
    </row>
    <row r="45" spans="1:7" s="220" customFormat="1" ht="13.5" customHeight="1">
      <c r="A45" s="261" t="s">
        <v>1990</v>
      </c>
      <c r="B45" s="250" t="s">
        <v>1956</v>
      </c>
      <c r="C45" s="251">
        <f ca="1">C46</f>
        <v>124200539</v>
      </c>
      <c r="D45" s="241">
        <f ca="1">C47</f>
        <v>1.2999999999999999E-3</v>
      </c>
      <c r="E45" s="242" t="s">
        <v>1982</v>
      </c>
      <c r="F45" s="2486">
        <f ca="1">F27</f>
        <v>0.13</v>
      </c>
      <c r="G45" s="253" t="s">
        <v>1991</v>
      </c>
    </row>
    <row r="46" spans="1:7" s="220" customFormat="1" ht="13.5" customHeight="1">
      <c r="A46" s="869" t="s">
        <v>610</v>
      </c>
      <c r="B46" s="254" t="s">
        <v>1992</v>
      </c>
      <c r="C46" s="255">
        <f ca="1">ROUND((C33+C39)*F27,0)</f>
        <v>124200539</v>
      </c>
      <c r="D46" s="269"/>
      <c r="E46" s="242"/>
      <c r="F46" s="252"/>
      <c r="G46" s="253"/>
    </row>
    <row r="47" spans="1:7" s="220" customFormat="1" ht="13.5" customHeight="1">
      <c r="A47" s="869" t="s">
        <v>611</v>
      </c>
      <c r="B47" s="254" t="s">
        <v>1993</v>
      </c>
      <c r="C47" s="244">
        <f ca="1">ROUND(C40*F27,4)</f>
        <v>1.2999999999999999E-3</v>
      </c>
      <c r="D47" s="269"/>
      <c r="E47" s="242"/>
      <c r="F47" s="252"/>
      <c r="G47" s="253"/>
    </row>
    <row r="48" spans="1:7" s="220" customFormat="1" ht="13.5" customHeight="1">
      <c r="A48" s="261" t="s">
        <v>1955</v>
      </c>
      <c r="B48" s="216" t="s">
        <v>1994</v>
      </c>
      <c r="C48" s="268">
        <f>ROUND(F30/(1+'数据-取费表'!C42),4)</f>
        <v>5.2400000000000002E-2</v>
      </c>
      <c r="D48" s="242" t="s">
        <v>1982</v>
      </c>
      <c r="E48" s="238"/>
      <c r="F48" s="2485">
        <f>F30</f>
        <v>5.5000000000000007E-2</v>
      </c>
      <c r="G48" s="240" t="s">
        <v>1995</v>
      </c>
    </row>
    <row r="49" spans="1:7" ht="16.5" customHeight="1">
      <c r="A49" s="261" t="s">
        <v>1961</v>
      </c>
      <c r="B49" s="216" t="s">
        <v>2035</v>
      </c>
      <c r="C49" s="238">
        <f ca="1">ROUND((C33+C39+C41+C45)/(1-C40-D41-D45-C48),0)</f>
        <v>1218773567</v>
      </c>
      <c r="D49" s="238"/>
      <c r="E49" s="238"/>
      <c r="F49" s="270"/>
      <c r="G49" s="240" t="s">
        <v>1997</v>
      </c>
    </row>
    <row r="50" spans="1:7" s="264" customFormat="1">
      <c r="A50" s="261" t="s">
        <v>1998</v>
      </c>
      <c r="B50" s="216" t="s">
        <v>1999</v>
      </c>
      <c r="C50" s="238"/>
      <c r="D50" s="238"/>
      <c r="E50" s="238"/>
      <c r="F50" s="270">
        <f>IF('数据-取费表'!B24=0,'数据-取费表'!N16,1)</f>
        <v>0.97</v>
      </c>
      <c r="G50" s="253"/>
    </row>
    <row r="51" spans="1:7" ht="16.5" customHeight="1">
      <c r="A51" s="261" t="s">
        <v>2001</v>
      </c>
      <c r="B51" s="216" t="s">
        <v>2036</v>
      </c>
      <c r="C51" s="238">
        <f ca="1">ROUND(C49*F50,0)</f>
        <v>1182210360</v>
      </c>
      <c r="D51" s="238"/>
      <c r="E51" s="238"/>
      <c r="F51" s="270"/>
      <c r="G51" s="240" t="s">
        <v>2003</v>
      </c>
    </row>
    <row r="52" spans="1:7" s="214" customFormat="1" ht="16.5" thickBot="1">
      <c r="A52" s="271" t="s">
        <v>2004</v>
      </c>
      <c r="B52" s="272"/>
      <c r="C52" s="273">
        <f ca="1">C31+C51</f>
        <v>1295474895</v>
      </c>
      <c r="D52" s="272"/>
      <c r="E52" s="272"/>
      <c r="F52" s="272"/>
      <c r="G52" s="274"/>
    </row>
    <row r="55" spans="1:7" ht="15">
      <c r="B55" s="276" t="s">
        <v>2005</v>
      </c>
      <c r="C55" s="277"/>
    </row>
    <row r="56" spans="1:7">
      <c r="B56" s="279" t="s">
        <v>1237</v>
      </c>
      <c r="C56" s="281">
        <f ca="1">1-C57</f>
        <v>8.6999999999999966E-2</v>
      </c>
    </row>
    <row r="57" spans="1:7">
      <c r="B57" s="279" t="s">
        <v>1238</v>
      </c>
      <c r="C57" s="280">
        <f ca="1">ROUND(C51/C52,3)</f>
        <v>0.91300000000000003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55" sqref="D55"/>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2037</v>
      </c>
      <c r="B1" s="1305"/>
      <c r="C1" s="1306"/>
      <c r="D1" s="1304"/>
      <c r="E1" s="2985"/>
      <c r="F1" s="2985"/>
      <c r="G1" s="2848"/>
      <c r="H1" s="2985"/>
      <c r="I1" s="2985"/>
      <c r="J1" s="2985"/>
      <c r="K1" s="2986">
        <f>MATCH(C1,'数据-取费表'!A6:A16,0)+5</f>
        <v>9</v>
      </c>
    </row>
    <row r="2" spans="1:33" ht="18" customHeight="1">
      <c r="A2" s="207" t="s">
        <v>1905</v>
      </c>
      <c r="B2" s="210">
        <f ca="1">C32</f>
        <v>0</v>
      </c>
      <c r="C2" s="282" t="s">
        <v>2038</v>
      </c>
      <c r="D2" s="282"/>
      <c r="E2" s="2985"/>
      <c r="F2" s="2985"/>
      <c r="G2" s="2985"/>
      <c r="H2" s="2985"/>
      <c r="I2" s="2985"/>
      <c r="J2" s="2985"/>
      <c r="K2" s="2985"/>
    </row>
    <row r="3" spans="1:33" ht="18" customHeight="1" thickBot="1">
      <c r="A3" s="209" t="s">
        <v>1907</v>
      </c>
      <c r="B3" s="210">
        <f ca="1">ROUND(B2*10000/IF(C1="",'数据-汇总表'!E3,INDIRECT("'数据-取费表'!K"&amp;$K$1)),0)</f>
        <v>0</v>
      </c>
      <c r="C3" s="282" t="s">
        <v>2039</v>
      </c>
      <c r="D3" s="282"/>
      <c r="E3" s="2985"/>
      <c r="F3" s="2985"/>
      <c r="G3" s="2985"/>
      <c r="H3" s="2985"/>
      <c r="I3" s="2985"/>
      <c r="J3" s="2985"/>
      <c r="K3" s="2985"/>
    </row>
    <row r="4" spans="1:33" s="874" customFormat="1" ht="16.5" customHeight="1">
      <c r="A4" s="871" t="s">
        <v>2040</v>
      </c>
      <c r="B4" s="872"/>
      <c r="C4" s="914">
        <f>SUM(C8:K8)</f>
        <v>0</v>
      </c>
      <c r="D4" s="872"/>
      <c r="E4" s="872"/>
      <c r="F4" s="872"/>
      <c r="G4" s="872"/>
      <c r="H4" s="872"/>
      <c r="I4" s="872"/>
      <c r="J4" s="872"/>
      <c r="K4" s="873"/>
    </row>
    <row r="5" spans="1:33" s="878" customFormat="1" ht="24.75">
      <c r="A5" s="875" t="s">
        <v>2041</v>
      </c>
      <c r="B5" s="876" t="s">
        <v>2042</v>
      </c>
      <c r="C5" s="1995" t="s">
        <v>2043</v>
      </c>
      <c r="D5" s="1995" t="s">
        <v>2044</v>
      </c>
      <c r="E5" s="1995" t="s">
        <v>2045</v>
      </c>
      <c r="F5" s="1995"/>
      <c r="G5" s="1995"/>
      <c r="H5" s="1995"/>
      <c r="I5" s="1995"/>
      <c r="J5" s="1995"/>
      <c r="K5" s="1995"/>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2046</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2047</v>
      </c>
      <c r="B7" s="136" t="s">
        <v>2048</v>
      </c>
      <c r="C7" s="283">
        <f>SUMIF('数据-汇总表'!$C19:$C33,假设开发法!C5,'数据-汇总表'!$E19:$E33)</f>
        <v>0</v>
      </c>
      <c r="D7" s="283">
        <f>SUMIF('数据-汇总表'!$C19:$C33,假设开发法!D5,'数据-汇总表'!$E19:$E33)</f>
        <v>0</v>
      </c>
      <c r="E7" s="283">
        <f>SUMIF('数据-汇总表'!$C19:$C33,假设开发法!E5,'数据-汇总表'!$E19:$E33)</f>
        <v>30257.699999999997</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6" t="s">
        <v>2049</v>
      </c>
      <c r="B8" s="169" t="s">
        <v>2050</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2051</v>
      </c>
      <c r="B9" s="872"/>
      <c r="C9" s="872"/>
      <c r="D9" s="872"/>
      <c r="E9" s="872"/>
      <c r="F9" s="872"/>
      <c r="G9" s="872"/>
      <c r="H9" s="872"/>
      <c r="I9" s="872"/>
      <c r="J9" s="872"/>
      <c r="K9" s="873"/>
    </row>
    <row r="10" spans="1:33" s="888" customFormat="1" ht="13.5" customHeight="1">
      <c r="A10" s="875" t="s">
        <v>2052</v>
      </c>
      <c r="B10" s="8" t="s">
        <v>2053</v>
      </c>
      <c r="C10" s="884" t="s">
        <v>2054</v>
      </c>
      <c r="D10" s="885" t="s">
        <v>2055</v>
      </c>
      <c r="E10" s="885" t="s">
        <v>2056</v>
      </c>
      <c r="F10" s="885" t="s">
        <v>2057</v>
      </c>
      <c r="G10" s="8"/>
      <c r="H10" s="886"/>
      <c r="I10" s="886"/>
      <c r="J10" s="886"/>
      <c r="K10" s="887"/>
    </row>
    <row r="11" spans="1:33" s="893" customFormat="1" ht="13.5" customHeight="1">
      <c r="A11" s="889" t="s">
        <v>1060</v>
      </c>
      <c r="B11" s="890" t="s">
        <v>2058</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2059</v>
      </c>
      <c r="C12" s="24">
        <f ca="1">ROUND(C11*F12,0)</f>
        <v>0</v>
      </c>
      <c r="D12" s="891"/>
      <c r="E12" s="335"/>
      <c r="F12" s="894">
        <f>'数据-取费表'!B33</f>
        <v>0.03</v>
      </c>
      <c r="G12" s="8" t="s">
        <v>2060</v>
      </c>
      <c r="H12" s="886"/>
      <c r="I12" s="886"/>
      <c r="J12" s="886"/>
      <c r="K12" s="887"/>
    </row>
    <row r="13" spans="1:33" s="893" customFormat="1" ht="13.5" customHeight="1">
      <c r="A13" s="889" t="s">
        <v>1062</v>
      </c>
      <c r="B13" s="890" t="s">
        <v>2061</v>
      </c>
      <c r="C13" s="24">
        <f ca="1">ROUND(IF(C1="",SUMIF('数据-取费表'!C:C,"住宅",'数据-取费表'!P:P)*F13,IF(INDIRECT("'数据-取费表'!c"&amp;$K$1)="住宅",INDIRECT("'数据-取费表'!P"&amp;$K$1)*F13,0)),0)</f>
        <v>0</v>
      </c>
      <c r="D13" s="936"/>
      <c r="E13" s="335"/>
      <c r="F13" s="894">
        <f>'数据-取费表'!B34</f>
        <v>0</v>
      </c>
      <c r="G13" s="8" t="s">
        <v>2062</v>
      </c>
      <c r="H13" s="886"/>
      <c r="I13" s="886"/>
      <c r="J13" s="886"/>
      <c r="K13" s="887"/>
    </row>
    <row r="14" spans="1:33" s="895" customFormat="1" ht="13.5" customHeight="1">
      <c r="A14" s="889" t="s">
        <v>1063</v>
      </c>
      <c r="B14" s="890" t="s">
        <v>2063</v>
      </c>
      <c r="C14" s="24">
        <f ca="1">ROUND(D14*E14*F11/10000,0)</f>
        <v>0</v>
      </c>
      <c r="D14" s="936">
        <f ca="1">IF(C1="",'数据-汇总表'!E3,INDIRECT("'数据-取费表'!K"&amp;$K$1)+INDIRECT("'数据-取费表'!S"&amp;$K$1))</f>
        <v>242531.24000000002</v>
      </c>
      <c r="E14" s="24">
        <f>'数据-取费表'!B35</f>
        <v>100</v>
      </c>
      <c r="F14" s="894"/>
      <c r="G14" s="8" t="s">
        <v>2064</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2065</v>
      </c>
      <c r="C15" s="901">
        <f ca="1">ROUND(C11*F15,0)</f>
        <v>0</v>
      </c>
      <c r="D15" s="896"/>
      <c r="E15" s="901"/>
      <c r="F15" s="902">
        <f>'数据-取费表'!B36</f>
        <v>1.4999999999999999E-2</v>
      </c>
      <c r="G15" s="136" t="s">
        <v>2066</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2067</v>
      </c>
      <c r="C16" s="901">
        <f ca="1">SUM(C11:C15)</f>
        <v>0</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2068</v>
      </c>
      <c r="C17" s="24">
        <f ca="1">ROUND(D17*E17/10000,0)</f>
        <v>0</v>
      </c>
      <c r="D17" s="936">
        <f ca="1">D14</f>
        <v>242531.24000000002</v>
      </c>
      <c r="E17" s="24">
        <f>'数据-取费表'!B32</f>
        <v>0</v>
      </c>
      <c r="F17" s="896"/>
      <c r="G17" s="136" t="s">
        <v>2069</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2070</v>
      </c>
      <c r="C18" s="24">
        <f ca="1">C19+C20-IF(C1="",'数据-取费表'!B29,IF(G18="已全部缴纳",C19+C20,H18))</f>
        <v>0</v>
      </c>
      <c r="D18" s="936"/>
      <c r="E18" s="24"/>
      <c r="F18" s="894"/>
      <c r="G18" s="1997"/>
      <c r="H18" s="1301"/>
      <c r="I18" s="1998" t="s">
        <v>2071</v>
      </c>
      <c r="J18" s="897"/>
      <c r="K18" s="898"/>
    </row>
    <row r="19" spans="1:33" s="893" customFormat="1" ht="13.5" customHeight="1">
      <c r="A19" s="889" t="s">
        <v>624</v>
      </c>
      <c r="B19" s="890" t="s">
        <v>2072</v>
      </c>
      <c r="C19" s="24">
        <f ca="1">ROUND(D19*E19/10000,0)</f>
        <v>0</v>
      </c>
      <c r="D19" s="936">
        <f ca="1">IF(C1="",'数据-汇总表'!E5,IF(INDIRECT("'数据-取费表'!c"&amp;$K$1)="住宅",INDIRECT("'数据-取费表'!k"&amp;$K$1),0))</f>
        <v>0</v>
      </c>
      <c r="E19" s="24">
        <f>'数据-取费表'!B27</f>
        <v>0</v>
      </c>
      <c r="F19" s="894"/>
      <c r="G19" s="15"/>
      <c r="H19" s="1303"/>
      <c r="I19" s="899"/>
      <c r="J19" s="899"/>
      <c r="K19" s="900"/>
    </row>
    <row r="20" spans="1:33" s="893" customFormat="1" ht="13.5" customHeight="1">
      <c r="A20" s="889" t="s">
        <v>625</v>
      </c>
      <c r="B20" s="890" t="s">
        <v>2073</v>
      </c>
      <c r="C20" s="24">
        <f ca="1">ROUND(D20*E20/10000,0)</f>
        <v>4608</v>
      </c>
      <c r="D20" s="936">
        <f ca="1">IF(C1="",'数据-汇总表'!E6,IF(INDIRECT("'数据-取费表'!c"&amp;$K$1)="住宅",INDIRECT("'数据-取费表'!s"&amp;$K$1),INDIRECT("'数据-取费表'!k"&amp;$K$1)+INDIRECT("'数据-取费表'!s"&amp;$K$1)))</f>
        <v>242531.24000000002</v>
      </c>
      <c r="E20" s="24">
        <f>'数据-取费表'!B28</f>
        <v>190</v>
      </c>
      <c r="F20" s="894"/>
      <c r="G20" s="15"/>
      <c r="H20" s="899"/>
      <c r="I20" s="899"/>
      <c r="J20" s="899"/>
      <c r="K20" s="900"/>
    </row>
    <row r="21" spans="1:33" s="893" customFormat="1" ht="13.5" customHeight="1">
      <c r="A21" s="879" t="s">
        <v>621</v>
      </c>
      <c r="B21" s="903" t="s">
        <v>2074</v>
      </c>
      <c r="C21" s="904">
        <f ca="1">C16+C17+C18</f>
        <v>0</v>
      </c>
      <c r="D21" s="905"/>
      <c r="E21" s="287"/>
      <c r="F21" s="287"/>
      <c r="G21" s="136" t="s">
        <v>2075</v>
      </c>
      <c r="H21" s="897"/>
      <c r="I21" s="897"/>
      <c r="J21" s="897"/>
      <c r="K21" s="898"/>
    </row>
    <row r="22" spans="1:33" s="893" customFormat="1" ht="13.5" customHeight="1">
      <c r="A22" s="879" t="s">
        <v>2047</v>
      </c>
      <c r="B22" s="903" t="s">
        <v>2076</v>
      </c>
      <c r="C22" s="904">
        <f ca="1">ROUND(C21*F22,0)</f>
        <v>0</v>
      </c>
      <c r="D22" s="287"/>
      <c r="E22" s="287"/>
      <c r="F22" s="906">
        <f>'数据-取费表'!B37</f>
        <v>0.02</v>
      </c>
      <c r="G22" s="8" t="s">
        <v>2077</v>
      </c>
      <c r="H22" s="886"/>
      <c r="I22" s="886"/>
      <c r="J22" s="886"/>
      <c r="K22" s="887"/>
    </row>
    <row r="23" spans="1:33" s="893" customFormat="1" ht="13.5" customHeight="1">
      <c r="A23" s="879" t="s">
        <v>2049</v>
      </c>
      <c r="B23" s="903" t="s">
        <v>2078</v>
      </c>
      <c r="C23" s="904">
        <f ca="1">ROUND(C4*F23*F11,0)</f>
        <v>0</v>
      </c>
      <c r="D23" s="287"/>
      <c r="E23" s="287"/>
      <c r="F23" s="906">
        <f>'数据-取费表'!B38</f>
        <v>0.01</v>
      </c>
      <c r="G23" s="8" t="s">
        <v>2079</v>
      </c>
      <c r="H23" s="886"/>
      <c r="I23" s="886"/>
      <c r="J23" s="886"/>
      <c r="K23" s="887"/>
    </row>
    <row r="24" spans="1:33" s="893" customFormat="1" ht="13.5" customHeight="1">
      <c r="A24" s="879" t="s">
        <v>2080</v>
      </c>
      <c r="B24" s="903" t="s">
        <v>2081</v>
      </c>
      <c r="C24" s="286">
        <f>ROUND(F24/(1+'数据-取费表'!C42),4)</f>
        <v>2.9000000000000001E-2</v>
      </c>
      <c r="D24" s="287" t="s">
        <v>15</v>
      </c>
      <c r="E24" s="287"/>
      <c r="F24" s="906">
        <f>IF(项目基本情况!B8="出让",0,'数据-取费表'!B48+'数据-取费表'!B49)</f>
        <v>3.0499999999999999E-2</v>
      </c>
      <c r="G24" s="8" t="s">
        <v>2082</v>
      </c>
      <c r="H24" s="908"/>
      <c r="I24" s="908"/>
      <c r="J24" s="908"/>
      <c r="K24" s="909"/>
    </row>
    <row r="25" spans="1:33" s="893" customFormat="1" ht="13.5" customHeight="1">
      <c r="A25" s="879" t="s">
        <v>2083</v>
      </c>
      <c r="B25" s="905" t="s">
        <v>2084</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2085</v>
      </c>
      <c r="C26" s="1220">
        <f ca="1">ROUND(IF('数据-取费表'!B22&lt;=1,(1+C24)*F25*'数据-取费表'!B24,(1+C24)*(POWER((1+F25),'数据-取费表'!B24)-1)),4)</f>
        <v>0</v>
      </c>
      <c r="D26" s="290"/>
      <c r="E26" s="291"/>
      <c r="F26" s="292"/>
      <c r="G26" s="1999"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2086</v>
      </c>
      <c r="C27" s="1221">
        <f ca="1">ROUND(IF('数据-取费表'!B22&lt;=1,(C21+C22+C23)*F25*'数据-取费表'!B24/2,(C21+C22+C23)*(POWER((1+F25),'数据-取费表'!B24/2)-1)),0)</f>
        <v>0</v>
      </c>
      <c r="D27" s="290"/>
      <c r="E27" s="291"/>
      <c r="F27" s="292"/>
      <c r="G27" s="1999" t="str">
        <f>IF('数据-取费表'!B22&lt;=1,"（1）-（3）项×年利率×建设期÷2","（1）-（3）项×((1+年利率)^(建设期÷2)-1)")</f>
        <v>（1）-（3）项×((1+年利率)^(建设期÷2)-1)</v>
      </c>
      <c r="H27" s="897"/>
      <c r="I27" s="897"/>
      <c r="J27" s="897"/>
      <c r="K27" s="898"/>
    </row>
    <row r="28" spans="1:33" s="295" customFormat="1" ht="13.5" customHeight="1">
      <c r="A28" s="879" t="s">
        <v>2087</v>
      </c>
      <c r="B28" s="2000" t="s">
        <v>2088</v>
      </c>
      <c r="C28" s="293">
        <f ca="1">C30</f>
        <v>0</v>
      </c>
      <c r="D28" s="286">
        <f ca="1">C29</f>
        <v>0</v>
      </c>
      <c r="E28" s="288" t="s">
        <v>15</v>
      </c>
      <c r="F28" s="294">
        <f ca="1">IF(C1="",'数据-取费表'!Q16,INDIRECT("'数据-取费表'!q"&amp;$K$1))</f>
        <v>0.13</v>
      </c>
      <c r="G28" s="907"/>
      <c r="H28" s="908"/>
      <c r="I28" s="908"/>
      <c r="J28" s="908"/>
      <c r="K28" s="909"/>
    </row>
    <row r="29" spans="1:33" s="297" customFormat="1" ht="13.5" customHeight="1">
      <c r="A29" s="889" t="s">
        <v>622</v>
      </c>
      <c r="B29" s="912" t="s">
        <v>2089</v>
      </c>
      <c r="C29" s="290">
        <f ca="1">ROUND((1+C24)*F28*'数据-取费表'!B24/'数据-取费表'!B20,4)</f>
        <v>0</v>
      </c>
      <c r="D29" s="290"/>
      <c r="E29" s="291"/>
      <c r="F29" s="296"/>
      <c r="G29" s="136" t="s">
        <v>2090</v>
      </c>
      <c r="H29" s="897"/>
      <c r="I29" s="897"/>
      <c r="J29" s="897"/>
      <c r="K29" s="898"/>
    </row>
    <row r="30" spans="1:33" s="297" customFormat="1" ht="13.5" customHeight="1">
      <c r="A30" s="889" t="s">
        <v>623</v>
      </c>
      <c r="B30" s="912" t="s">
        <v>2091</v>
      </c>
      <c r="C30" s="298">
        <f ca="1">ROUND((C21+C22+C23)*F28,0)</f>
        <v>0</v>
      </c>
      <c r="D30" s="290"/>
      <c r="E30" s="291"/>
      <c r="F30" s="296"/>
      <c r="G30" s="136"/>
      <c r="H30" s="897"/>
      <c r="I30" s="897"/>
      <c r="J30" s="897"/>
      <c r="K30" s="898"/>
    </row>
    <row r="31" spans="1:33" s="893" customFormat="1" ht="13.5" customHeight="1" thickBot="1">
      <c r="A31" s="2001" t="s">
        <v>2092</v>
      </c>
      <c r="B31" s="923" t="s">
        <v>2093</v>
      </c>
      <c r="C31" s="924">
        <f>ROUND(C4*F31/(1+'数据-取费表'!C42),0)</f>
        <v>0</v>
      </c>
      <c r="D31" s="925"/>
      <c r="E31" s="926"/>
      <c r="F31" s="927">
        <f>'数据-取费表'!B41</f>
        <v>5.5000000000000007E-2</v>
      </c>
      <c r="G31" s="928" t="s">
        <v>2094</v>
      </c>
      <c r="H31" s="929"/>
      <c r="I31" s="929"/>
      <c r="J31" s="929"/>
      <c r="K31" s="930"/>
    </row>
    <row r="32" spans="1:33" s="888" customFormat="1" ht="13.5" customHeight="1" thickBot="1">
      <c r="A32" s="918" t="s">
        <v>2095</v>
      </c>
      <c r="B32" s="919"/>
      <c r="C32" s="920">
        <f ca="1">ROUND((C4-C21-C22-C23-C25-C28-C31)/(1+C24+D25+D28),0)</f>
        <v>0</v>
      </c>
      <c r="D32" s="919"/>
      <c r="E32" s="919"/>
      <c r="F32" s="919"/>
      <c r="G32" s="921" t="s">
        <v>2096</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43" sqref="C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48</v>
      </c>
      <c r="D1" s="1496" t="s">
        <v>70</v>
      </c>
      <c r="E1" s="1497" t="s">
        <v>1111</v>
      </c>
      <c r="F1" s="1174">
        <f ca="1">J53</f>
        <v>41.52</v>
      </c>
      <c r="G1" s="1512">
        <f>MATCH(C1,'数据-取费表'!A6:A16,0)+5</f>
        <v>8</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7442</v>
      </c>
      <c r="C2" s="1521" t="s">
        <v>1240</v>
      </c>
      <c r="D2" s="1521"/>
      <c r="E2" s="1522"/>
      <c r="F2" s="1523"/>
      <c r="G2" s="2883"/>
      <c r="H2" s="2872"/>
      <c r="I2" s="2872"/>
      <c r="J2" s="2872"/>
      <c r="K2" s="2873"/>
      <c r="L2" s="2872"/>
      <c r="M2" s="2872"/>
    </row>
    <row r="3" spans="1:37" ht="18" customHeight="1" thickBot="1">
      <c r="A3" s="1524" t="s">
        <v>1241</v>
      </c>
      <c r="B3" s="1525">
        <f ca="1">IF(ISERROR(B2*10000/F43),0,ROUND(B2*10000/F43,0))</f>
        <v>2460</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497</v>
      </c>
      <c r="D5" s="1498" t="s">
        <v>1126</v>
      </c>
      <c r="E5" s="1184"/>
      <c r="F5" s="1185"/>
      <c r="G5" s="1518"/>
      <c r="H5" s="305">
        <v>1</v>
      </c>
      <c r="I5" s="306" t="s">
        <v>1125</v>
      </c>
      <c r="J5" s="1183">
        <f ca="1">J6+J10+J12</f>
        <v>0</v>
      </c>
      <c r="K5" s="1498" t="s">
        <v>1126</v>
      </c>
      <c r="L5" s="1184"/>
      <c r="M5" s="1185"/>
    </row>
    <row r="6" spans="1:37" ht="18" customHeight="1">
      <c r="A6" s="1182" t="s">
        <v>822</v>
      </c>
      <c r="B6" s="3491" t="s">
        <v>1127</v>
      </c>
      <c r="C6" s="1187">
        <f ca="1">ROUND(F6*F8*F7*(1-F9)/10000,0)</f>
        <v>497</v>
      </c>
      <c r="D6" s="160" t="s">
        <v>2606</v>
      </c>
      <c r="E6" s="308" t="s">
        <v>1129</v>
      </c>
      <c r="F6" s="309">
        <f ca="1">INDIRECT("'数据-取费表'!u"&amp;$G$1)</f>
        <v>0.5</v>
      </c>
      <c r="G6" s="1518"/>
      <c r="H6" s="1182" t="s">
        <v>822</v>
      </c>
      <c r="I6" s="3491" t="s">
        <v>1127</v>
      </c>
      <c r="J6" s="307">
        <f ca="1">ROUND(M6*M8*M7*(1-M9)/10000,0)</f>
        <v>0</v>
      </c>
      <c r="K6" s="160" t="s">
        <v>2605</v>
      </c>
      <c r="L6" s="308" t="s">
        <v>1129</v>
      </c>
      <c r="M6" s="309">
        <f ca="1">INDIRECT("'数据-取费表'!z"&amp;$G$1)</f>
        <v>0</v>
      </c>
    </row>
    <row r="7" spans="1:37" ht="18" customHeight="1">
      <c r="A7" s="1186"/>
      <c r="B7" s="3492"/>
      <c r="C7" s="1188"/>
      <c r="D7" s="313"/>
      <c r="E7" s="3237" t="s">
        <v>1130</v>
      </c>
      <c r="F7" s="309">
        <f ca="1">IF(INDIRECT("'数据-取费表'!ah"&amp;$G$1)="",INDIRECT("'数据-取费表'!k"&amp;$G$1),INDIRECT("'数据-取费表'!ah"&amp;$G$1))</f>
        <v>30257.699999999997</v>
      </c>
      <c r="G7" s="1518"/>
      <c r="H7" s="310"/>
      <c r="I7" s="3492"/>
      <c r="J7" s="312"/>
      <c r="K7" s="313"/>
      <c r="L7" s="308" t="s">
        <v>1130</v>
      </c>
      <c r="M7" s="309">
        <f ca="1">F7</f>
        <v>30257.699999999997</v>
      </c>
    </row>
    <row r="8" spans="1:37" ht="18" customHeight="1">
      <c r="A8" s="310"/>
      <c r="B8" s="3492"/>
      <c r="C8" s="312"/>
      <c r="D8" s="313"/>
      <c r="E8" s="308" t="s">
        <v>1131</v>
      </c>
      <c r="F8" s="309">
        <f ca="1">INDIRECT("'数据-取费表'!ai"&amp;$G$1)</f>
        <v>365</v>
      </c>
      <c r="G8" s="1518"/>
      <c r="H8" s="310"/>
      <c r="I8" s="3492"/>
      <c r="J8" s="312"/>
      <c r="K8" s="313"/>
      <c r="L8" s="308" t="s">
        <v>1131</v>
      </c>
      <c r="M8" s="309">
        <f ca="1">INDIRECT("'数据-取费表'!ai"&amp;$G$1)</f>
        <v>365</v>
      </c>
    </row>
    <row r="9" spans="1:37" ht="18" customHeight="1">
      <c r="A9" s="310"/>
      <c r="B9" s="3493"/>
      <c r="C9" s="312"/>
      <c r="D9" s="313"/>
      <c r="E9" s="308" t="s">
        <v>1132</v>
      </c>
      <c r="F9" s="318">
        <f ca="1">INDIRECT("'数据-取费表'!w"&amp;$G$1)</f>
        <v>0.1</v>
      </c>
      <c r="G9" s="1518"/>
      <c r="H9" s="310"/>
      <c r="I9" s="3493"/>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2613</v>
      </c>
      <c r="E10" s="319" t="s">
        <v>1134</v>
      </c>
      <c r="F10" s="1229" t="s">
        <v>3496</v>
      </c>
      <c r="G10" s="1518"/>
      <c r="H10" s="1182" t="s">
        <v>826</v>
      </c>
      <c r="I10" s="1499" t="s">
        <v>1133</v>
      </c>
      <c r="J10" s="307">
        <f ca="1">ROUND(IF(M10="押一",J6/12*M11,IF(M10="押二",J6/12*2*M11,IF(M10="押三",J6/12*3*M11,J11*M11))),0)</f>
        <v>0</v>
      </c>
      <c r="K10" s="1500" t="s">
        <v>2613</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13871</v>
      </c>
      <c r="D13" s="3229" t="s">
        <v>1139</v>
      </c>
      <c r="E13" s="3229" t="s">
        <v>1140</v>
      </c>
      <c r="F13" s="1195">
        <f ca="1">INDIRECT("'数据-取费表'!y"&amp;$G$1)</f>
        <v>0.97</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11194</v>
      </c>
      <c r="D14" s="3233" t="s">
        <v>1142</v>
      </c>
      <c r="E14" s="3231"/>
      <c r="F14" s="325"/>
      <c r="G14" s="1518"/>
      <c r="H14" s="1094" t="s">
        <v>822</v>
      </c>
      <c r="I14" s="308" t="s">
        <v>1143</v>
      </c>
      <c r="J14" s="24">
        <f ca="1">C29</f>
        <v>14300</v>
      </c>
      <c r="K14" s="3236"/>
      <c r="L14" s="897"/>
      <c r="M14" s="898"/>
    </row>
    <row r="15" spans="1:37" s="1531" customFormat="1" ht="18" customHeight="1" thickBot="1">
      <c r="A15" s="1094" t="s">
        <v>823</v>
      </c>
      <c r="B15" s="308" t="s">
        <v>1144</v>
      </c>
      <c r="C15" s="24">
        <f ca="1">ROUND(C14*F15,0)</f>
        <v>336</v>
      </c>
      <c r="D15" s="3230" t="s">
        <v>1145</v>
      </c>
      <c r="E15" s="3230"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194</v>
      </c>
      <c r="K16" s="1200" t="s">
        <v>1149</v>
      </c>
      <c r="L16" s="3234"/>
      <c r="M16" s="1185"/>
    </row>
    <row r="17" spans="1:37" s="1531" customFormat="1" ht="18" customHeight="1">
      <c r="A17" s="1094" t="s">
        <v>1114</v>
      </c>
      <c r="B17" s="308" t="s">
        <v>1150</v>
      </c>
      <c r="C17" s="24">
        <f ca="1">ROUND(F17*(F43+INDIRECT("'数据-取费表'!S"&amp;$G$1))/10000,0)</f>
        <v>311</v>
      </c>
      <c r="D17" s="308" t="s">
        <v>1151</v>
      </c>
      <c r="E17" s="308" t="s">
        <v>1152</v>
      </c>
      <c r="F17" s="26">
        <f>'数据-取费表'!B35</f>
        <v>100</v>
      </c>
      <c r="G17" s="1530"/>
      <c r="H17" s="1094" t="s">
        <v>822</v>
      </c>
      <c r="I17" s="308" t="s">
        <v>1153</v>
      </c>
      <c r="J17" s="2483">
        <f ca="1">ROUND(IF(AND(项目基本情况!B11="自然人",项目基本情况!B10="北京市"),J6*M17/(1+'数据-取费表'!C42),J18+J19+J20),0)</f>
        <v>122</v>
      </c>
      <c r="K17" s="3233" t="s">
        <v>1154</v>
      </c>
      <c r="L17" s="3232"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168</v>
      </c>
      <c r="D18" s="308" t="s">
        <v>1145</v>
      </c>
      <c r="E18" s="308" t="s">
        <v>1146</v>
      </c>
      <c r="F18" s="328">
        <f>'数据-取费表'!B36</f>
        <v>1.4999999999999999E-2</v>
      </c>
      <c r="G18" s="1530"/>
      <c r="H18" s="1094" t="s">
        <v>821</v>
      </c>
      <c r="I18" s="308" t="s">
        <v>1157</v>
      </c>
      <c r="J18" s="24">
        <f ca="1">ROUND(J6*M18/(1+'数据-取费表'!C42),2)</f>
        <v>0</v>
      </c>
      <c r="K18" s="3232"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12009</v>
      </c>
      <c r="D19" s="136" t="s">
        <v>1160</v>
      </c>
      <c r="E19" s="3239"/>
      <c r="F19" s="26"/>
      <c r="G19" s="1518"/>
      <c r="H19" s="1094" t="s">
        <v>823</v>
      </c>
      <c r="I19" s="308" t="s">
        <v>1161</v>
      </c>
      <c r="J19" s="24">
        <f ca="1">IF(K19="按租金收入计税",ROUND(J6*M19/(1+'数据-取费表'!C42),2),ROUND(C29*M19*0.7,2))</f>
        <v>120.12</v>
      </c>
      <c r="K19" s="1504" t="s">
        <v>1162</v>
      </c>
      <c r="L19" s="308" t="s">
        <v>1146</v>
      </c>
      <c r="M19" s="328">
        <f>IF(K19="按租金收入计税",'数据-取费表'!B51,'数据-取费表'!B50)</f>
        <v>1.2E-2</v>
      </c>
    </row>
    <row r="20" spans="1:37" s="1531" customFormat="1" ht="18" customHeight="1">
      <c r="A20" s="1094" t="s">
        <v>826</v>
      </c>
      <c r="B20" s="308" t="s">
        <v>1163</v>
      </c>
      <c r="C20" s="24">
        <f ca="1">ROUND(C19*F20,0)</f>
        <v>240</v>
      </c>
      <c r="D20" s="329" t="s">
        <v>1164</v>
      </c>
      <c r="E20" s="308" t="s">
        <v>1146</v>
      </c>
      <c r="F20" s="328">
        <f>'数据-取费表'!B37</f>
        <v>0.02</v>
      </c>
      <c r="G20" s="1530"/>
      <c r="H20" s="1094" t="s">
        <v>1113</v>
      </c>
      <c r="I20" s="160" t="s">
        <v>1165</v>
      </c>
      <c r="J20" s="25">
        <f ca="1">ROUND(M20*M21/10000,2)</f>
        <v>2.27</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0.01</v>
      </c>
      <c r="G21" s="1530"/>
      <c r="H21" s="332"/>
      <c r="I21" s="317"/>
      <c r="J21" s="29"/>
      <c r="K21" s="333"/>
      <c r="L21" s="308" t="s">
        <v>1171</v>
      </c>
      <c r="M21" s="309">
        <f ca="1">INDIRECT("'数据-取费表'!r"&amp;$G$1)</f>
        <v>15144.609999999999</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39"/>
      <c r="F22" s="26"/>
      <c r="G22" s="1518"/>
      <c r="H22" s="1094" t="s">
        <v>826</v>
      </c>
      <c r="I22" s="308" t="s">
        <v>1173</v>
      </c>
      <c r="J22" s="24">
        <f ca="1">ROUND(J14*M22,1)</f>
        <v>71.5</v>
      </c>
      <c r="K22" s="3232" t="s">
        <v>1174</v>
      </c>
      <c r="L22" s="308" t="s">
        <v>1146</v>
      </c>
      <c r="M22" s="334">
        <f ca="1">INDIRECT("'数据-取费表'!Ak"&amp;$G$1)</f>
        <v>5.0000000000000001E-3</v>
      </c>
    </row>
    <row r="23" spans="1:37" s="1531" customFormat="1" ht="18" customHeight="1">
      <c r="A23" s="1094" t="s">
        <v>821</v>
      </c>
      <c r="B23" s="308" t="s">
        <v>1175</v>
      </c>
      <c r="C23" s="24">
        <f ca="1">IF('数据-取费表'!B22&lt;=1,ROUND(C19*F24*F23/2,0)+ROUND(C20*F24*F23/2,0),ROUND(C19*(POWER((1+F24),F23/2)-1),0)+ROUND(C20*(POWER((1+F24),F23/2)-1),0))</f>
        <v>779</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ROUND(J13*M23,1)</f>
        <v>0</v>
      </c>
      <c r="K23" s="3232" t="s">
        <v>1178</v>
      </c>
      <c r="L23" s="308" t="s">
        <v>1146</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823</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0"/>
      <c r="H24" s="1202" t="s">
        <v>1116</v>
      </c>
      <c r="I24" s="1203" t="s">
        <v>1163</v>
      </c>
      <c r="J24" s="1204">
        <f ca="1">ROUND(J5*M24,1)</f>
        <v>0</v>
      </c>
      <c r="K24" s="1205" t="s">
        <v>1183</v>
      </c>
      <c r="L24" s="1203" t="s">
        <v>1146</v>
      </c>
      <c r="M24" s="1199">
        <f ca="1">INDIRECT("'数据-取费表'!Am"&amp;$G$1)</f>
        <v>1.4999999999999999E-2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3239"/>
      <c r="F25" s="26"/>
      <c r="G25" s="1518"/>
      <c r="H25" s="1192" t="s">
        <v>818</v>
      </c>
      <c r="I25" s="1207" t="s">
        <v>1187</v>
      </c>
      <c r="J25" s="316">
        <f ca="1">J5-J16</f>
        <v>-194</v>
      </c>
      <c r="K25" s="1208" t="s">
        <v>1188</v>
      </c>
      <c r="L25" s="1209"/>
      <c r="M25" s="1210"/>
    </row>
    <row r="26" spans="1:37">
      <c r="A26" s="1094" t="s">
        <v>821</v>
      </c>
      <c r="B26" s="308" t="s">
        <v>1189</v>
      </c>
      <c r="C26" s="24">
        <f ca="1">ROUND((C19+C20)*F26,0)</f>
        <v>367</v>
      </c>
      <c r="D26" s="329" t="s">
        <v>1190</v>
      </c>
      <c r="E26" s="319" t="s">
        <v>1191</v>
      </c>
      <c r="F26" s="318">
        <f ca="1">INDIRECT("'数据-取费表'!q"&amp;$G$1)</f>
        <v>0.03</v>
      </c>
      <c r="G26" s="1518"/>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2.9999999999999997E-4</v>
      </c>
      <c r="D27" s="329" t="s">
        <v>1196</v>
      </c>
      <c r="E27" s="3230"/>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14300</v>
      </c>
      <c r="D29" s="1205"/>
      <c r="E29" s="1203"/>
      <c r="F29" s="1206"/>
      <c r="G29" s="1530"/>
      <c r="H29" s="340" t="s">
        <v>820</v>
      </c>
      <c r="I29" s="341" t="s">
        <v>1203</v>
      </c>
      <c r="J29" s="342">
        <f ca="1">ROUND(J26/(1+F40)^F41,0)</f>
        <v>0</v>
      </c>
      <c r="K29" s="343" t="s">
        <v>1204</v>
      </c>
      <c r="L29" s="344"/>
      <c r="M29" s="345">
        <f ca="1">INDIRECT("'数据-取费表'!k"&amp;$G$1)</f>
        <v>30257.699999999997</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178</v>
      </c>
      <c r="D30" s="1200" t="s">
        <v>1149</v>
      </c>
      <c r="E30" s="3234"/>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85</v>
      </c>
      <c r="D31" s="3233" t="s">
        <v>1154</v>
      </c>
      <c r="E31" s="3232"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IF(项目基本情况!B11="自然人","——",ROUND(C6*F32/(1+'数据-取费表'!C42),2))</f>
        <v>26.03</v>
      </c>
      <c r="D32" s="3232"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56.8</v>
      </c>
      <c r="D33" s="1504" t="s">
        <v>3493</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2.27</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15144.609999999999</v>
      </c>
      <c r="G35" s="1518"/>
      <c r="H35" s="2874"/>
      <c r="I35" s="1532"/>
      <c r="J35" s="1533"/>
      <c r="K35" s="2878"/>
      <c r="L35" s="2877"/>
      <c r="M35" s="2877"/>
    </row>
    <row r="36" spans="1:18" ht="18" customHeight="1">
      <c r="A36" s="1215" t="s">
        <v>826</v>
      </c>
      <c r="B36" s="308" t="s">
        <v>1173</v>
      </c>
      <c r="C36" s="24">
        <f ca="1">ROUND(C29*F36,1)</f>
        <v>71.5</v>
      </c>
      <c r="D36" s="3232" t="s">
        <v>1206</v>
      </c>
      <c r="E36" s="308" t="s">
        <v>1146</v>
      </c>
      <c r="F36" s="334">
        <f ca="1">INDIRECT("'数据-取费表'!Ak"&amp;$G$1)</f>
        <v>5.0000000000000001E-3</v>
      </c>
      <c r="G36" s="1518"/>
      <c r="H36" s="2877"/>
      <c r="I36" s="1532"/>
      <c r="J36" s="1533"/>
      <c r="K36" s="2718"/>
      <c r="L36" s="2877"/>
      <c r="M36" s="2877"/>
    </row>
    <row r="37" spans="1:18" ht="18" customHeight="1">
      <c r="A37" s="1094" t="s">
        <v>862</v>
      </c>
      <c r="B37" s="308" t="s">
        <v>1177</v>
      </c>
      <c r="C37" s="24">
        <f ca="1">ROUND(C13*F37,1)</f>
        <v>13.9</v>
      </c>
      <c r="D37" s="3232" t="s">
        <v>1178</v>
      </c>
      <c r="E37" s="308" t="s">
        <v>1146</v>
      </c>
      <c r="F37" s="336">
        <f ca="1">INDIRECT("'数据-取费表'!Al"&amp;$G$1)</f>
        <v>1E-3</v>
      </c>
      <c r="G37" s="1518"/>
      <c r="H37" s="2877"/>
      <c r="I37" s="1532"/>
      <c r="J37" s="1533"/>
      <c r="K37" s="2718"/>
      <c r="L37" s="2877"/>
      <c r="M37" s="2877"/>
    </row>
    <row r="38" spans="1:18" ht="18" customHeight="1" thickBot="1">
      <c r="A38" s="1202" t="s">
        <v>1116</v>
      </c>
      <c r="B38" s="1203" t="s">
        <v>1163</v>
      </c>
      <c r="C38" s="1204">
        <f ca="1">ROUND(C5*F38,1)</f>
        <v>7.5</v>
      </c>
      <c r="D38" s="1205" t="s">
        <v>1183</v>
      </c>
      <c r="E38" s="1203" t="s">
        <v>1146</v>
      </c>
      <c r="F38" s="1199">
        <f ca="1">INDIRECT("'数据-取费表'!Am"&amp;$G$1)</f>
        <v>1.4999999999999999E-2</v>
      </c>
      <c r="G38" s="1518"/>
      <c r="H38" s="2877"/>
      <c r="I38" s="1532"/>
      <c r="J38" s="1533"/>
      <c r="K38" s="2881"/>
      <c r="L38" s="2877"/>
      <c r="M38" s="2877"/>
    </row>
    <row r="39" spans="1:18" ht="24.6" customHeight="1" thickTop="1">
      <c r="A39" s="1192" t="s">
        <v>818</v>
      </c>
      <c r="B39" s="1207" t="s">
        <v>1187</v>
      </c>
      <c r="C39" s="316">
        <f ca="1">C5-C30</f>
        <v>319</v>
      </c>
      <c r="D39" s="1208" t="s">
        <v>1188</v>
      </c>
      <c r="E39" s="1209"/>
      <c r="F39" s="1210"/>
      <c r="G39" s="1518"/>
      <c r="H39" s="2877"/>
      <c r="I39" s="1532"/>
      <c r="J39" s="1533"/>
      <c r="K39" s="2881"/>
      <c r="L39" s="2877"/>
      <c r="M39" s="2877"/>
    </row>
    <row r="40" spans="1:18" ht="18" customHeight="1">
      <c r="A40" s="305" t="s">
        <v>819</v>
      </c>
      <c r="B40" s="306" t="s">
        <v>1209</v>
      </c>
      <c r="C40" s="307">
        <f ca="1">ROUND(C39*(1-((1+F42)/(1+F40))^F41)/(F40-F42),0)</f>
        <v>7442</v>
      </c>
      <c r="D40" s="330" t="s">
        <v>1193</v>
      </c>
      <c r="E40" s="308" t="s">
        <v>1194</v>
      </c>
      <c r="F40" s="318">
        <f ca="1">INDIRECT("'数据-取费表'!I"&amp;$G$1)</f>
        <v>0.05</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41.52</v>
      </c>
      <c r="G41" s="1518"/>
      <c r="H41" s="1305"/>
      <c r="I41" s="1532"/>
      <c r="J41" s="1533"/>
      <c r="K41" s="2718"/>
      <c r="L41" s="1305"/>
      <c r="M41" s="1305"/>
    </row>
    <row r="42" spans="1:18" ht="18" customHeight="1">
      <c r="A42" s="314"/>
      <c r="B42" s="315"/>
      <c r="C42" s="316"/>
      <c r="D42" s="333"/>
      <c r="E42" s="308" t="s">
        <v>1201</v>
      </c>
      <c r="F42" s="318">
        <f ca="1">INDIRECT("'数据-取费表'!v"&amp;$G$1)</f>
        <v>0.02</v>
      </c>
      <c r="G42" s="1518"/>
      <c r="H42" s="1305"/>
      <c r="I42" s="1532"/>
      <c r="J42" s="1533"/>
      <c r="K42" s="2718"/>
      <c r="L42" s="1305"/>
      <c r="M42" s="1305"/>
    </row>
    <row r="43" spans="1:18" ht="18" customHeight="1" thickBot="1">
      <c r="A43" s="340" t="s">
        <v>820</v>
      </c>
      <c r="B43" s="341" t="s">
        <v>1211</v>
      </c>
      <c r="C43" s="342">
        <f ca="1">ROUND(C40*10000/F43,0)</f>
        <v>2460</v>
      </c>
      <c r="D43" s="343" t="s">
        <v>1212</v>
      </c>
      <c r="E43" s="344" t="s">
        <v>1213</v>
      </c>
      <c r="F43" s="345">
        <f ca="1">INDIRECT("'数据-取费表'!k"&amp;$G$1)</f>
        <v>30257.699999999997</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f ca="1">C68-C40</f>
        <v>-29804</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3494</v>
      </c>
      <c r="K47" s="1550" t="s">
        <v>1251</v>
      </c>
      <c r="L47" s="1551">
        <f ca="1">INDIRECT("'数据-取费表'!d"&amp;$G$1)</f>
        <v>50</v>
      </c>
      <c r="M47" s="1514" t="str">
        <f>IF(ISNUMBER(FIND("住宅",C1)),"住宅","非住宅")</f>
        <v>非住宅</v>
      </c>
      <c r="O47" s="1552" t="s">
        <v>827</v>
      </c>
      <c r="P47" s="1553" t="s">
        <v>1252</v>
      </c>
      <c r="Q47" s="1554">
        <f ca="1">C40+J29</f>
        <v>7442</v>
      </c>
      <c r="R47" s="1554" t="s">
        <v>1253</v>
      </c>
    </row>
    <row r="48" spans="1:18" s="1518" customFormat="1" ht="28.5" thickBot="1">
      <c r="A48" s="1223" t="s">
        <v>863</v>
      </c>
      <c r="B48" s="306" t="s">
        <v>1125</v>
      </c>
      <c r="C48" s="3238">
        <f ca="1">C49+C53+C55</f>
        <v>0</v>
      </c>
      <c r="D48" s="1225"/>
      <c r="E48" s="1226"/>
      <c r="F48" s="1074"/>
      <c r="G48" s="731"/>
      <c r="H48" s="732"/>
      <c r="I48" s="1555" t="s">
        <v>1254</v>
      </c>
      <c r="J48" s="1556" t="s">
        <v>3495</v>
      </c>
      <c r="K48" s="1557" t="s">
        <v>1255</v>
      </c>
      <c r="L48" s="1558">
        <f ca="1">INDIRECT("'数据-取费表'!f"&amp;$G$1)</f>
        <v>41.52</v>
      </c>
      <c r="O48" s="1552" t="s">
        <v>828</v>
      </c>
      <c r="P48" s="1553" t="s">
        <v>1256</v>
      </c>
      <c r="Q48" s="1554" t="str">
        <f ca="1">J60</f>
        <v>0</v>
      </c>
      <c r="R48" s="1554" t="s">
        <v>1257</v>
      </c>
    </row>
    <row r="49" spans="1:18" s="1518" customFormat="1" ht="13.5" thickBot="1">
      <c r="A49" s="1087" t="s">
        <v>864</v>
      </c>
      <c r="B49" s="1505" t="s">
        <v>1214</v>
      </c>
      <c r="C49" s="1227">
        <f ca="1">ROUND(F49*F51*F50*(1-F52)/10000,0)</f>
        <v>0</v>
      </c>
      <c r="D49" s="1167" t="s">
        <v>2605</v>
      </c>
      <c r="E49" s="1506" t="s">
        <v>1215</v>
      </c>
      <c r="F49" s="1172"/>
      <c r="G49" s="1559"/>
      <c r="H49" s="732"/>
      <c r="I49" s="1555" t="s">
        <v>1258</v>
      </c>
      <c r="J49" s="1560">
        <v>2020</v>
      </c>
      <c r="K49" s="1557" t="s">
        <v>1259</v>
      </c>
      <c r="L49" s="1561"/>
      <c r="O49" s="1562" t="s">
        <v>829</v>
      </c>
      <c r="P49" s="1553" t="s">
        <v>1260</v>
      </c>
      <c r="Q49" s="1554">
        <f ca="1">C29</f>
        <v>14300</v>
      </c>
      <c r="R49" s="1554" t="s">
        <v>1253</v>
      </c>
    </row>
    <row r="50" spans="1:18" s="1518" customFormat="1" ht="13.5" thickBot="1">
      <c r="A50" s="1088"/>
      <c r="B50" s="1091"/>
      <c r="C50" s="1231"/>
      <c r="D50" s="1065"/>
      <c r="E50" s="1168" t="s">
        <v>1130</v>
      </c>
      <c r="F50" s="1169">
        <f ca="1">F7</f>
        <v>30257.699999999997</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365</v>
      </c>
      <c r="I51" s="1566" t="s">
        <v>1264</v>
      </c>
      <c r="J51" s="1567">
        <f>IF(J49="",J50,J49+J50-YEAR('数据-取费表'!B2))</f>
        <v>58</v>
      </c>
      <c r="K51" s="1568" t="s">
        <v>1265</v>
      </c>
      <c r="L51" s="1569">
        <f ca="1">ROUND(-PV(INDIRECT("'数据-取费表'!h"&amp;$G$1),J51,(C39-C13*C76),0),0)</f>
        <v>-16203</v>
      </c>
      <c r="M51" s="1570"/>
      <c r="O51" s="1562" t="s">
        <v>831</v>
      </c>
      <c r="P51" s="1553" t="s">
        <v>1266</v>
      </c>
      <c r="Q51" s="1565">
        <f>J52</f>
        <v>8.5000000000000006E-2</v>
      </c>
      <c r="R51" s="1554"/>
    </row>
    <row r="52" spans="1:18" s="1518" customFormat="1" ht="13.5" thickBot="1">
      <c r="A52" s="1089"/>
      <c r="B52" s="1091"/>
      <c r="C52" s="1092"/>
      <c r="D52" s="1065"/>
      <c r="E52" s="1093" t="s">
        <v>1132</v>
      </c>
      <c r="F52" s="1166"/>
      <c r="I52" s="1571" t="s">
        <v>1267</v>
      </c>
      <c r="J52" s="1572">
        <v>8.5000000000000006E-2</v>
      </c>
      <c r="K52" s="1571" t="s">
        <v>1268</v>
      </c>
      <c r="L52" s="1572"/>
      <c r="O52" s="1562" t="s">
        <v>832</v>
      </c>
      <c r="P52" s="1553" t="s">
        <v>1269</v>
      </c>
      <c r="Q52" s="1554">
        <f ca="1">J53</f>
        <v>41.52</v>
      </c>
      <c r="R52" s="1554" t="s">
        <v>1270</v>
      </c>
    </row>
    <row r="53" spans="1:18" s="1518" customFormat="1" ht="24.75" thickBot="1">
      <c r="A53" s="1267" t="s">
        <v>865</v>
      </c>
      <c r="B53" s="1507" t="s">
        <v>1133</v>
      </c>
      <c r="C53" s="322">
        <f ca="1">ROUND(IF(F53="押一",C49/12*F11,IF(F53="押二",C49/12*2*F11,IF(F53="押三",C49/12*3*F11,C54*F11))),0)</f>
        <v>0</v>
      </c>
      <c r="D53" s="1500" t="s">
        <v>2613</v>
      </c>
      <c r="E53" s="319" t="s">
        <v>1134</v>
      </c>
      <c r="F53" s="1229"/>
      <c r="I53" s="1573" t="s">
        <v>1271</v>
      </c>
      <c r="J53" s="2335">
        <f ca="1">IF(M47="住宅",IF(D1="——",MAX(J51,L48),MAX(J51,L48-'数据-取费表'!B24)),IF(D1="——",MIN(J51,L48),MIN(J51,L48-'数据-取费表'!B24)))</f>
        <v>41.52</v>
      </c>
      <c r="K53" s="3494" t="s">
        <v>1272</v>
      </c>
      <c r="L53" s="3495"/>
      <c r="O53" s="1552" t="s">
        <v>833</v>
      </c>
      <c r="P53" s="1553" t="s">
        <v>1273</v>
      </c>
      <c r="Q53" s="1554">
        <f ca="1">Q47+Q48</f>
        <v>7442</v>
      </c>
      <c r="R53" s="1554" t="s">
        <v>834</v>
      </c>
    </row>
    <row r="54" spans="1:18" s="1518" customFormat="1" ht="13.5" thickBot="1">
      <c r="A54" s="1268"/>
      <c r="B54" s="1501" t="s">
        <v>1112</v>
      </c>
      <c r="C54" s="1071"/>
      <c r="D54" s="1500"/>
      <c r="E54" s="3235"/>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3235"/>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13871</v>
      </c>
      <c r="D56" s="1581"/>
      <c r="E56" s="1582"/>
      <c r="F56" s="1574"/>
      <c r="I56" s="1583" t="s">
        <v>1278</v>
      </c>
      <c r="J56" s="1584" t="s">
        <v>3243</v>
      </c>
      <c r="K56" s="1555" t="s">
        <v>1279</v>
      </c>
      <c r="L56" s="1558" t="str">
        <f ca="1">IF(L48&lt;J51,"——",L48-J53)</f>
        <v>——</v>
      </c>
      <c r="O56" s="1552" t="s">
        <v>827</v>
      </c>
      <c r="P56" s="1553" t="s">
        <v>1252</v>
      </c>
      <c r="Q56" s="1554">
        <f ca="1">C40+J29</f>
        <v>7442</v>
      </c>
      <c r="R56" s="1554" t="s">
        <v>1253</v>
      </c>
    </row>
    <row r="57" spans="1:18" s="1518" customFormat="1" ht="24.75" thickBot="1">
      <c r="A57" s="1585"/>
      <c r="B57" s="1062" t="s">
        <v>1202</v>
      </c>
      <c r="C57" s="244">
        <f ca="1">C29</f>
        <v>14300</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1288</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1203</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1161</v>
      </c>
      <c r="C61" s="24">
        <f ca="1">IF(项目基本情况!B11="自然人","——",IF(D61="按租金收入计税",ROUND(C49*F61/(1+'数据-取费表'!C42),2),IF(D61="按房产原值计税",ROUND(C57*F61*0.7,2),INDIRECT("'数据-取费表'!Aj"&amp;$G$1))))</f>
        <v>1201.2</v>
      </c>
      <c r="D61" s="1504" t="s">
        <v>1162</v>
      </c>
      <c r="E61" s="1062" t="s">
        <v>1146</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4" t="s">
        <v>1219</v>
      </c>
      <c r="B62" s="1061" t="s">
        <v>1165</v>
      </c>
      <c r="C62" s="25">
        <f ca="1">IF(项目基本情况!B11="自然人","——",ROUND(F62*F63/10000,2))</f>
        <v>2.27</v>
      </c>
      <c r="D62" s="1077" t="s">
        <v>1166</v>
      </c>
      <c r="E62" s="1062" t="s">
        <v>1167</v>
      </c>
      <c r="F62" s="331">
        <f t="shared" si="0"/>
        <v>1.5</v>
      </c>
      <c r="I62" s="1596" t="s">
        <v>1294</v>
      </c>
      <c r="J62" s="1597" t="s">
        <v>1295</v>
      </c>
      <c r="K62" s="1597" t="s">
        <v>1296</v>
      </c>
      <c r="L62" s="1597" t="s">
        <v>1297</v>
      </c>
      <c r="M62" s="1598" t="s">
        <v>1298</v>
      </c>
      <c r="O62" s="1552" t="s">
        <v>833</v>
      </c>
      <c r="P62" s="1553" t="s">
        <v>1273</v>
      </c>
      <c r="Q62" s="1554">
        <f ca="1">Q56+Q57</f>
        <v>7442</v>
      </c>
      <c r="R62" s="1554" t="s">
        <v>834</v>
      </c>
    </row>
    <row r="63" spans="1:18" s="1518" customFormat="1" ht="13.5" thickBot="1">
      <c r="A63" s="332"/>
      <c r="B63" s="1068"/>
      <c r="C63" s="29"/>
      <c r="D63" s="1078"/>
      <c r="E63" s="1062" t="s">
        <v>1171</v>
      </c>
      <c r="F63" s="309">
        <f t="shared" ca="1" si="0"/>
        <v>15144.609999999999</v>
      </c>
      <c r="I63" s="1596" t="s">
        <v>1300</v>
      </c>
      <c r="J63" s="1597">
        <v>70</v>
      </c>
      <c r="K63" s="1597">
        <v>50</v>
      </c>
      <c r="L63" s="1597">
        <v>80</v>
      </c>
      <c r="M63" s="1599">
        <v>0.02</v>
      </c>
      <c r="O63" s="1537" t="s">
        <v>1301</v>
      </c>
      <c r="P63" s="1515"/>
      <c r="Q63" s="1515"/>
      <c r="R63" s="1515"/>
    </row>
    <row r="64" spans="1:18" s="1518" customFormat="1" ht="13.5" thickBot="1">
      <c r="A64" s="1094" t="s">
        <v>826</v>
      </c>
      <c r="B64" s="1062" t="s">
        <v>1173</v>
      </c>
      <c r="C64" s="24">
        <f ca="1">ROUND(C57*F64,1)</f>
        <v>71.5</v>
      </c>
      <c r="D64" s="1076" t="s">
        <v>1206</v>
      </c>
      <c r="E64" s="1062" t="s">
        <v>1146</v>
      </c>
      <c r="F64" s="334">
        <f t="shared" ca="1" si="0"/>
        <v>5.0000000000000001E-3</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13.9</v>
      </c>
      <c r="D65" s="1076" t="s">
        <v>1178</v>
      </c>
      <c r="E65" s="1062" t="s">
        <v>1146</v>
      </c>
      <c r="F65" s="336">
        <f t="shared" ca="1" si="0"/>
        <v>1E-3</v>
      </c>
      <c r="I65" s="1596" t="s">
        <v>1303</v>
      </c>
      <c r="J65" s="1597">
        <v>40</v>
      </c>
      <c r="K65" s="1597">
        <v>30</v>
      </c>
      <c r="L65" s="1597">
        <v>50</v>
      </c>
      <c r="M65" s="1599">
        <v>0.02</v>
      </c>
      <c r="O65" s="1552" t="s">
        <v>827</v>
      </c>
      <c r="P65" s="1553" t="s">
        <v>1252</v>
      </c>
      <c r="Q65" s="1554">
        <f ca="1">C40+J29</f>
        <v>7442</v>
      </c>
      <c r="R65" s="1554" t="s">
        <v>1253</v>
      </c>
    </row>
    <row r="66" spans="1:18" s="1518" customFormat="1" ht="16.5" thickBot="1">
      <c r="A66" s="1094" t="s">
        <v>1228</v>
      </c>
      <c r="B66" s="1062" t="s">
        <v>1163</v>
      </c>
      <c r="C66" s="24">
        <f ca="1">ROUND(C48*F66,1)</f>
        <v>0</v>
      </c>
      <c r="D66" s="1076" t="s">
        <v>1183</v>
      </c>
      <c r="E66" s="1062" t="s">
        <v>1146</v>
      </c>
      <c r="F66" s="318">
        <f t="shared" ca="1" si="0"/>
        <v>1.4999999999999999E-2</v>
      </c>
      <c r="O66" s="1552" t="s">
        <v>828</v>
      </c>
      <c r="P66" s="1553" t="s">
        <v>1282</v>
      </c>
      <c r="Q66" s="1554">
        <f ca="1">L60</f>
        <v>0</v>
      </c>
      <c r="R66" s="1554" t="s">
        <v>1305</v>
      </c>
    </row>
    <row r="67" spans="1:18" s="1518" customFormat="1" ht="16.5" thickBot="1">
      <c r="A67" s="1069" t="s">
        <v>818</v>
      </c>
      <c r="B67" s="1079" t="s">
        <v>1187</v>
      </c>
      <c r="C67" s="322">
        <f ca="1">C48-C58</f>
        <v>-1288</v>
      </c>
      <c r="D67" s="1075" t="s">
        <v>1188</v>
      </c>
      <c r="E67" s="1080"/>
      <c r="F67" s="1081"/>
      <c r="O67" s="1562" t="s">
        <v>829</v>
      </c>
      <c r="P67" s="1553" t="s">
        <v>1286</v>
      </c>
      <c r="Q67" s="1600">
        <f ca="1">L51</f>
        <v>-16203</v>
      </c>
      <c r="R67" s="1554" t="s">
        <v>1306</v>
      </c>
    </row>
    <row r="68" spans="1:18" s="1518" customFormat="1" ht="16.5" thickBot="1">
      <c r="A68" s="1059" t="s">
        <v>819</v>
      </c>
      <c r="B68" s="1060" t="s">
        <v>1209</v>
      </c>
      <c r="C68" s="307">
        <f ca="1">ROUND(C67*(1-((1+F70)/(1+F68))^F69)/(F68-F70),0)</f>
        <v>-22362</v>
      </c>
      <c r="D68" s="1077" t="s">
        <v>1193</v>
      </c>
      <c r="E68" s="1062" t="s">
        <v>1194</v>
      </c>
      <c r="F68" s="318">
        <f ca="1">F40</f>
        <v>0.05</v>
      </c>
      <c r="O68" s="1562" t="s">
        <v>830</v>
      </c>
      <c r="P68" s="1601" t="s">
        <v>1307</v>
      </c>
      <c r="Q68" s="1554">
        <f ca="1">ROUND(Q69-Q70*Q71,0)</f>
        <v>-791</v>
      </c>
      <c r="R68" s="1554" t="s">
        <v>838</v>
      </c>
    </row>
    <row r="69" spans="1:18" s="1518" customFormat="1" ht="13.5" thickBot="1">
      <c r="A69" s="1063"/>
      <c r="B69" s="1064"/>
      <c r="C69" s="312"/>
      <c r="D69" s="1082" t="s">
        <v>1197</v>
      </c>
      <c r="E69" s="1062" t="s">
        <v>1198</v>
      </c>
      <c r="F69" s="339">
        <f ca="1">F41</f>
        <v>41.52</v>
      </c>
      <c r="O69" s="1562" t="s">
        <v>835</v>
      </c>
      <c r="P69" s="1601" t="s">
        <v>1308</v>
      </c>
      <c r="Q69" s="1554">
        <f ca="1">C39</f>
        <v>319</v>
      </c>
      <c r="R69" s="1554" t="s">
        <v>1253</v>
      </c>
    </row>
    <row r="70" spans="1:18" s="1518" customFormat="1" ht="13.5" thickBot="1">
      <c r="A70" s="1066"/>
      <c r="B70" s="1067"/>
      <c r="C70" s="316"/>
      <c r="D70" s="1078"/>
      <c r="E70" s="1062" t="s">
        <v>1201</v>
      </c>
      <c r="F70" s="1166"/>
      <c r="O70" s="1562" t="s">
        <v>836</v>
      </c>
      <c r="P70" s="1601" t="s">
        <v>1309</v>
      </c>
      <c r="Q70" s="1554">
        <f ca="1">C13</f>
        <v>13871</v>
      </c>
      <c r="R70" s="1554" t="s">
        <v>1253</v>
      </c>
    </row>
    <row r="71" spans="1:18" s="1518" customFormat="1" ht="13.5" thickBot="1">
      <c r="A71" s="1083" t="s">
        <v>820</v>
      </c>
      <c r="B71" s="1084" t="s">
        <v>1211</v>
      </c>
      <c r="C71" s="342">
        <f ca="1">ROUND(C68*10000/F71,0)</f>
        <v>-7391</v>
      </c>
      <c r="D71" s="1085" t="s">
        <v>1212</v>
      </c>
      <c r="E71" s="1086" t="s">
        <v>1213</v>
      </c>
      <c r="F71" s="345">
        <f ca="1">F43</f>
        <v>30257.699999999997</v>
      </c>
      <c r="O71" s="1562" t="s">
        <v>837</v>
      </c>
      <c r="P71" s="1601" t="s">
        <v>1310</v>
      </c>
      <c r="Q71" s="1565">
        <f ca="1">C76</f>
        <v>0.08</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1110</v>
      </c>
      <c r="D75" s="1518"/>
      <c r="E75" s="1518"/>
      <c r="F75" s="1518"/>
      <c r="K75" s="1536"/>
      <c r="L75" s="1518"/>
      <c r="O75" s="1552" t="s">
        <v>833</v>
      </c>
      <c r="P75" s="1553" t="s">
        <v>1273</v>
      </c>
      <c r="Q75" s="1554">
        <f ca="1">Q65+Q66</f>
        <v>7442</v>
      </c>
      <c r="R75" s="1554" t="s">
        <v>834</v>
      </c>
    </row>
    <row r="76" spans="1:18">
      <c r="B76" s="348" t="s">
        <v>1231</v>
      </c>
      <c r="C76" s="349">
        <f ca="1">INDIRECT("'数据-取费表'!j"&amp;$G$1)</f>
        <v>0.08</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-2.48</v>
      </c>
    </row>
    <row r="80" spans="1:18">
      <c r="B80" s="346" t="s">
        <v>1235</v>
      </c>
      <c r="C80" s="280">
        <f ca="1">ROUND(C75/C39,3)</f>
        <v>3.48</v>
      </c>
    </row>
    <row r="81" spans="2:3">
      <c r="B81" s="276" t="s">
        <v>1236</v>
      </c>
      <c r="C81" s="244"/>
    </row>
    <row r="82" spans="2:3">
      <c r="B82" s="279" t="s">
        <v>1237</v>
      </c>
      <c r="C82" s="281">
        <f ca="1">1-C83</f>
        <v>-0.8640000000000001</v>
      </c>
    </row>
    <row r="83" spans="2:3">
      <c r="B83" s="279" t="s">
        <v>1238</v>
      </c>
      <c r="C83" s="280">
        <f ca="1">ROUND(C13/C40,3)</f>
        <v>1.8640000000000001</v>
      </c>
    </row>
  </sheetData>
  <sheetProtection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80" sqref="I8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3179</v>
      </c>
      <c r="D1" s="1496" t="s">
        <v>70</v>
      </c>
      <c r="E1" s="1497" t="s">
        <v>1111</v>
      </c>
      <c r="F1" s="1174">
        <f ca="1">J53</f>
        <v>41.52</v>
      </c>
      <c r="G1" s="1512">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144168</v>
      </c>
      <c r="C2" s="1521" t="s">
        <v>1240</v>
      </c>
      <c r="D2" s="1521"/>
      <c r="E2" s="1522"/>
      <c r="F2" s="1523"/>
      <c r="G2" s="2883"/>
      <c r="H2" s="2872"/>
      <c r="I2" s="2872"/>
      <c r="J2" s="2872"/>
      <c r="K2" s="2873"/>
      <c r="L2" s="2872"/>
      <c r="M2" s="2872"/>
    </row>
    <row r="3" spans="1:37" ht="18" customHeight="1" thickBot="1">
      <c r="A3" s="1524" t="s">
        <v>1241</v>
      </c>
      <c r="B3" s="1525">
        <f ca="1">IF(ISERROR(B2*10000/F43),0,ROUND(B2*10000/F43,0))</f>
        <v>8193</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8218</v>
      </c>
      <c r="D5" s="1498" t="s">
        <v>1126</v>
      </c>
      <c r="E5" s="1184"/>
      <c r="F5" s="1185"/>
      <c r="G5" s="1518"/>
      <c r="H5" s="305">
        <v>1</v>
      </c>
      <c r="I5" s="306" t="s">
        <v>1125</v>
      </c>
      <c r="J5" s="1183">
        <f ca="1">J6+J10+J12</f>
        <v>0</v>
      </c>
      <c r="K5" s="1498" t="s">
        <v>1126</v>
      </c>
      <c r="L5" s="1184"/>
      <c r="M5" s="1185"/>
    </row>
    <row r="6" spans="1:37" ht="18" customHeight="1">
      <c r="A6" s="1182" t="s">
        <v>822</v>
      </c>
      <c r="B6" s="3491" t="s">
        <v>1127</v>
      </c>
      <c r="C6" s="1187">
        <f ca="1">ROUND(F6*F8*F7*(1-F9)/10000,0)</f>
        <v>8208</v>
      </c>
      <c r="D6" s="160" t="s">
        <v>2606</v>
      </c>
      <c r="E6" s="308" t="s">
        <v>1129</v>
      </c>
      <c r="F6" s="309">
        <f ca="1">INDIRECT("'数据-取费表'!u"&amp;$G$1)</f>
        <v>1.42</v>
      </c>
      <c r="G6" s="1518"/>
      <c r="H6" s="1182" t="s">
        <v>822</v>
      </c>
      <c r="I6" s="3491" t="s">
        <v>1127</v>
      </c>
      <c r="J6" s="307">
        <f ca="1">ROUND(M6*M8*M7*(1-M9)/10000,0)</f>
        <v>0</v>
      </c>
      <c r="K6" s="160" t="s">
        <v>2605</v>
      </c>
      <c r="L6" s="308" t="s">
        <v>1129</v>
      </c>
      <c r="M6" s="309">
        <f ca="1">INDIRECT("'数据-取费表'!z"&amp;$G$1)</f>
        <v>0</v>
      </c>
    </row>
    <row r="7" spans="1:37" ht="18" customHeight="1">
      <c r="A7" s="1186"/>
      <c r="B7" s="3492"/>
      <c r="C7" s="1188"/>
      <c r="D7" s="313"/>
      <c r="E7" s="1189" t="s">
        <v>1130</v>
      </c>
      <c r="F7" s="309">
        <f ca="1">IF(INDIRECT("'数据-取费表'!ah"&amp;$G$1)="",INDIRECT("'数据-取费表'!k"&amp;$G$1),INDIRECT("'数据-取费表'!ah"&amp;$G$1))</f>
        <v>175962.71000000002</v>
      </c>
      <c r="G7" s="1518"/>
      <c r="H7" s="310"/>
      <c r="I7" s="3492"/>
      <c r="J7" s="312"/>
      <c r="K7" s="313"/>
      <c r="L7" s="308" t="s">
        <v>1130</v>
      </c>
      <c r="M7" s="309">
        <f ca="1">F7</f>
        <v>175962.71000000002</v>
      </c>
    </row>
    <row r="8" spans="1:37" ht="18" customHeight="1">
      <c r="A8" s="310"/>
      <c r="B8" s="3492"/>
      <c r="C8" s="312"/>
      <c r="D8" s="313"/>
      <c r="E8" s="308" t="s">
        <v>1131</v>
      </c>
      <c r="F8" s="309">
        <f ca="1">INDIRECT("'数据-取费表'!ai"&amp;$G$1)</f>
        <v>365</v>
      </c>
      <c r="G8" s="1518"/>
      <c r="H8" s="310"/>
      <c r="I8" s="3492"/>
      <c r="J8" s="312"/>
      <c r="K8" s="313"/>
      <c r="L8" s="308" t="s">
        <v>1131</v>
      </c>
      <c r="M8" s="309">
        <f ca="1">INDIRECT("'数据-取费表'!ai"&amp;$G$1)</f>
        <v>365</v>
      </c>
    </row>
    <row r="9" spans="1:37" ht="18" customHeight="1">
      <c r="A9" s="310"/>
      <c r="B9" s="3493"/>
      <c r="C9" s="312"/>
      <c r="D9" s="313"/>
      <c r="E9" s="308" t="s">
        <v>1132</v>
      </c>
      <c r="F9" s="318">
        <f ca="1">INDIRECT("'数据-取费表'!w"&amp;$G$1)</f>
        <v>0.1</v>
      </c>
      <c r="G9" s="1518"/>
      <c r="H9" s="310"/>
      <c r="I9" s="3493"/>
      <c r="J9" s="312"/>
      <c r="K9" s="313"/>
      <c r="L9" s="319" t="s">
        <v>1132</v>
      </c>
      <c r="M9" s="320">
        <f ca="1">INDIRECT("'数据-取费表'!ab"&amp;$G$1)</f>
        <v>0</v>
      </c>
    </row>
    <row r="10" spans="1:37" ht="18" customHeight="1">
      <c r="A10" s="1182" t="s">
        <v>826</v>
      </c>
      <c r="B10" s="1499" t="s">
        <v>1133</v>
      </c>
      <c r="C10" s="322">
        <f ca="1">ROUND(IF(F10="押一",C6/12*F11,IF(F10="押二",C6/12*2*F11,IF(F10="押三",C6/12*3*F11,C11*F11))),0)</f>
        <v>10</v>
      </c>
      <c r="D10" s="1500" t="s">
        <v>2614</v>
      </c>
      <c r="E10" s="319" t="s">
        <v>1134</v>
      </c>
      <c r="F10" s="1229" t="s">
        <v>3492</v>
      </c>
      <c r="G10" s="1518"/>
      <c r="H10" s="1182" t="s">
        <v>826</v>
      </c>
      <c r="I10" s="1499" t="s">
        <v>1133</v>
      </c>
      <c r="J10" s="307">
        <f ca="1">ROUND(IF(M10="押一",J6/12*M11,IF(M10="押二",J6/12*2*M11,IF(M10="押三",J6/12*3*M11,J11*M11))),0)</f>
        <v>0</v>
      </c>
      <c r="K10" s="1500" t="s">
        <v>2613</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89644</v>
      </c>
      <c r="D13" s="1194" t="s">
        <v>1139</v>
      </c>
      <c r="E13" s="1194" t="s">
        <v>1140</v>
      </c>
      <c r="F13" s="1195">
        <f ca="1">INDIRECT("'数据-取费表'!y"&amp;$G$1)</f>
        <v>0.97</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65100</v>
      </c>
      <c r="D14" s="1479" t="s">
        <v>1142</v>
      </c>
      <c r="E14" s="1476"/>
      <c r="F14" s="325"/>
      <c r="G14" s="1518"/>
      <c r="H14" s="1094" t="s">
        <v>822</v>
      </c>
      <c r="I14" s="308" t="s">
        <v>1143</v>
      </c>
      <c r="J14" s="24">
        <f ca="1">C29</f>
        <v>92416</v>
      </c>
      <c r="K14" s="15"/>
      <c r="L14" s="897"/>
      <c r="M14" s="898"/>
    </row>
    <row r="15" spans="1:37" s="1531" customFormat="1" ht="18" customHeight="1" thickBot="1">
      <c r="A15" s="1094" t="s">
        <v>823</v>
      </c>
      <c r="B15" s="308" t="s">
        <v>1144</v>
      </c>
      <c r="C15" s="24">
        <f ca="1">ROUND(C14*F15,0)</f>
        <v>1953</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1714</v>
      </c>
      <c r="K16" s="1200" t="s">
        <v>1149</v>
      </c>
      <c r="L16" s="1201"/>
      <c r="M16" s="1185"/>
    </row>
    <row r="17" spans="1:37" s="1531" customFormat="1" ht="18" customHeight="1">
      <c r="A17" s="1094" t="s">
        <v>1114</v>
      </c>
      <c r="B17" s="308" t="s">
        <v>1150</v>
      </c>
      <c r="C17" s="24">
        <f ca="1">ROUND(F17*(F43+INDIRECT("'数据-取费表'!S"&amp;$G$1))/10000,0)</f>
        <v>1808</v>
      </c>
      <c r="D17" s="308" t="s">
        <v>1151</v>
      </c>
      <c r="E17" s="308" t="s">
        <v>1152</v>
      </c>
      <c r="F17" s="26">
        <f>'数据-取费表'!B35</f>
        <v>100</v>
      </c>
      <c r="G17" s="1530"/>
      <c r="H17" s="1094" t="s">
        <v>822</v>
      </c>
      <c r="I17" s="308" t="s">
        <v>1153</v>
      </c>
      <c r="J17" s="2483">
        <f ca="1">ROUND(IF(AND(项目基本情况!B11="自然人",项目基本情况!B10="北京市"),J6*M17/(1+'数据-取费表'!C42),J18+J19+J20),0)</f>
        <v>790</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977</v>
      </c>
      <c r="D18" s="308" t="s">
        <v>1145</v>
      </c>
      <c r="E18" s="308" t="s">
        <v>1146</v>
      </c>
      <c r="F18" s="328">
        <f>'数据-取费表'!B36</f>
        <v>1.4999999999999999E-2</v>
      </c>
      <c r="G18" s="1530"/>
      <c r="H18" s="1094" t="s">
        <v>821</v>
      </c>
      <c r="I18" s="308" t="s">
        <v>1157</v>
      </c>
      <c r="J18" s="24">
        <f ca="1">ROUND(J6*M18/(1+'数据-取费表'!C42),2)</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69838</v>
      </c>
      <c r="D19" s="136" t="s">
        <v>1160</v>
      </c>
      <c r="E19" s="1494"/>
      <c r="F19" s="26"/>
      <c r="G19" s="1518"/>
      <c r="H19" s="1094" t="s">
        <v>823</v>
      </c>
      <c r="I19" s="308" t="s">
        <v>1161</v>
      </c>
      <c r="J19" s="24">
        <f ca="1">IF(K19="按租金收入计税",ROUND(J6*M19/(1+'数据-取费表'!C42),2),ROUND(C29*M19*0.7,2))</f>
        <v>776.29</v>
      </c>
      <c r="K19" s="1504" t="s">
        <v>1162</v>
      </c>
      <c r="L19" s="308" t="s">
        <v>1146</v>
      </c>
      <c r="M19" s="328">
        <f>IF(K19="按租金收入计税",'数据-取费表'!B51,'数据-取费表'!B50)</f>
        <v>1.2E-2</v>
      </c>
    </row>
    <row r="20" spans="1:37" s="1531" customFormat="1" ht="18" customHeight="1">
      <c r="A20" s="1094" t="s">
        <v>826</v>
      </c>
      <c r="B20" s="308" t="s">
        <v>1163</v>
      </c>
      <c r="C20" s="24">
        <f ca="1">ROUND(C19*F20,0)</f>
        <v>1397</v>
      </c>
      <c r="D20" s="329" t="s">
        <v>1164</v>
      </c>
      <c r="E20" s="308" t="s">
        <v>1146</v>
      </c>
      <c r="F20" s="328">
        <f>'数据-取费表'!B37</f>
        <v>0.02</v>
      </c>
      <c r="G20" s="1530"/>
      <c r="H20" s="1094" t="s">
        <v>1113</v>
      </c>
      <c r="I20" s="160" t="s">
        <v>1165</v>
      </c>
      <c r="J20" s="25">
        <f ca="1">ROUND(M20*M21/10000,2)</f>
        <v>13.21</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0.01</v>
      </c>
      <c r="G21" s="1530"/>
      <c r="H21" s="332"/>
      <c r="I21" s="317"/>
      <c r="J21" s="29"/>
      <c r="K21" s="333"/>
      <c r="L21" s="308" t="s">
        <v>1171</v>
      </c>
      <c r="M21" s="309">
        <f ca="1">INDIRECT("'数据-取费表'!r"&amp;$G$1)</f>
        <v>88073.02</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ROUND(J14*M22,1)</f>
        <v>924.2</v>
      </c>
      <c r="K22" s="1478" t="s">
        <v>1174</v>
      </c>
      <c r="L22" s="308" t="s">
        <v>1146</v>
      </c>
      <c r="M22" s="334">
        <f ca="1">INDIRECT("'数据-取费表'!Ak"&amp;$G$1)</f>
        <v>0.01</v>
      </c>
    </row>
    <row r="23" spans="1:37" s="1531" customFormat="1" ht="18" customHeight="1">
      <c r="A23" s="1094" t="s">
        <v>821</v>
      </c>
      <c r="B23" s="308" t="s">
        <v>1175</v>
      </c>
      <c r="C23" s="24">
        <f ca="1">IF('数据-取费表'!B22&lt;=1,ROUND(C19*F24*F23/2,0)+ROUND(C20*F24*F23/2,0),ROUND(C19*(POWER((1+F24),F23/2)-1),0)+ROUND(C20*(POWER((1+F24),F23/2)-1),0))</f>
        <v>4535</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ROUND(J13*M23,1)</f>
        <v>0</v>
      </c>
      <c r="K23" s="1478" t="s">
        <v>1178</v>
      </c>
      <c r="L23" s="308" t="s">
        <v>1179</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0"/>
      <c r="H24" s="1202" t="s">
        <v>1117</v>
      </c>
      <c r="I24" s="1203" t="s">
        <v>1163</v>
      </c>
      <c r="J24" s="1204">
        <f ca="1">ROUND(J5*M24,1)</f>
        <v>0</v>
      </c>
      <c r="K24" s="1205" t="s">
        <v>1183</v>
      </c>
      <c r="L24" s="1203" t="s">
        <v>1179</v>
      </c>
      <c r="M24" s="1199">
        <f ca="1">INDIRECT("'数据-取费表'!Am"&amp;$G$1)</f>
        <v>1.4999999999999999E-2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2" t="s">
        <v>818</v>
      </c>
      <c r="I25" s="1207" t="s">
        <v>1187</v>
      </c>
      <c r="J25" s="316">
        <f ca="1">J5-J16</f>
        <v>-1714</v>
      </c>
      <c r="K25" s="1208" t="s">
        <v>1188</v>
      </c>
      <c r="L25" s="1209"/>
      <c r="M25" s="1210"/>
    </row>
    <row r="26" spans="1:37">
      <c r="A26" s="1094" t="s">
        <v>821</v>
      </c>
      <c r="B26" s="308" t="s">
        <v>1189</v>
      </c>
      <c r="C26" s="24">
        <f ca="1">ROUND((C19+C20)*F26,0)</f>
        <v>10685</v>
      </c>
      <c r="D26" s="329" t="s">
        <v>1190</v>
      </c>
      <c r="E26" s="319" t="s">
        <v>1191</v>
      </c>
      <c r="F26" s="318">
        <f ca="1">INDIRECT("'数据-取费表'!q"&amp;$G$1)</f>
        <v>0.15</v>
      </c>
      <c r="G26" s="1518"/>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1.5E-3</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92416</v>
      </c>
      <c r="D29" s="1205"/>
      <c r="E29" s="1203"/>
      <c r="F29" s="1206"/>
      <c r="G29" s="1530"/>
      <c r="H29" s="340" t="s">
        <v>820</v>
      </c>
      <c r="I29" s="341" t="s">
        <v>1203</v>
      </c>
      <c r="J29" s="342">
        <f ca="1">ROUND(J26/(1+F40)^F41,0)</f>
        <v>0</v>
      </c>
      <c r="K29" s="343" t="s">
        <v>1204</v>
      </c>
      <c r="L29" s="344"/>
      <c r="M29" s="345">
        <f ca="1">INDIRECT("'数据-取费表'!k"&amp;$G$1)</f>
        <v>175962.71000000002</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2518</v>
      </c>
      <c r="D30" s="1200" t="s">
        <v>1149</v>
      </c>
      <c r="E30" s="1201"/>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1381</v>
      </c>
      <c r="D31" s="1479" t="s">
        <v>1154</v>
      </c>
      <c r="E31" s="1478"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IF(项目基本情况!B11="自然人","——",ROUND(C6*F32/(1+'数据-取费表'!C42),2))</f>
        <v>429.94</v>
      </c>
      <c r="D32" s="1478"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938.06</v>
      </c>
      <c r="D33" s="1504" t="s">
        <v>3493</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13.21</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88073.02</v>
      </c>
      <c r="G35" s="1518"/>
      <c r="H35" s="2874"/>
      <c r="I35" s="1532"/>
      <c r="J35" s="1533"/>
      <c r="K35" s="2878"/>
      <c r="L35" s="2877"/>
      <c r="M35" s="2877"/>
    </row>
    <row r="36" spans="1:18" ht="18" customHeight="1">
      <c r="A36" s="1215" t="s">
        <v>826</v>
      </c>
      <c r="B36" s="308" t="s">
        <v>1173</v>
      </c>
      <c r="C36" s="24">
        <f ca="1">ROUND(C29*F36,1)</f>
        <v>924.2</v>
      </c>
      <c r="D36" s="1478" t="s">
        <v>1206</v>
      </c>
      <c r="E36" s="308" t="s">
        <v>1146</v>
      </c>
      <c r="F36" s="334">
        <f ca="1">INDIRECT("'数据-取费表'!Ak"&amp;$G$1)</f>
        <v>0.01</v>
      </c>
      <c r="G36" s="1518"/>
      <c r="H36" s="2877"/>
      <c r="I36" s="1532"/>
      <c r="J36" s="1533"/>
      <c r="K36" s="2718"/>
      <c r="L36" s="2877"/>
      <c r="M36" s="2877"/>
    </row>
    <row r="37" spans="1:18" ht="18" customHeight="1">
      <c r="A37" s="1094" t="s">
        <v>862</v>
      </c>
      <c r="B37" s="308" t="s">
        <v>1177</v>
      </c>
      <c r="C37" s="24">
        <f ca="1">ROUND(C13*F37,1)</f>
        <v>89.6</v>
      </c>
      <c r="D37" s="1478" t="s">
        <v>1178</v>
      </c>
      <c r="E37" s="308" t="s">
        <v>1179</v>
      </c>
      <c r="F37" s="336">
        <f ca="1">INDIRECT("'数据-取费表'!Al"&amp;$G$1)</f>
        <v>1E-3</v>
      </c>
      <c r="G37" s="1518"/>
      <c r="H37" s="2877"/>
      <c r="I37" s="1532">
        <f ca="1">C6+收益法地下厂房!C6+收益法地下车库!C6</f>
        <v>9488</v>
      </c>
      <c r="J37" s="1533"/>
      <c r="K37" s="2718"/>
      <c r="L37" s="2877"/>
      <c r="M37" s="2877"/>
    </row>
    <row r="38" spans="1:18" ht="18" customHeight="1" thickBot="1">
      <c r="A38" s="1202" t="s">
        <v>1117</v>
      </c>
      <c r="B38" s="1203" t="s">
        <v>1163</v>
      </c>
      <c r="C38" s="1204">
        <f ca="1">ROUND(C5*F38,1)</f>
        <v>123.3</v>
      </c>
      <c r="D38" s="1205" t="s">
        <v>1183</v>
      </c>
      <c r="E38" s="1203" t="s">
        <v>1179</v>
      </c>
      <c r="F38" s="1199">
        <f ca="1">INDIRECT("'数据-取费表'!Am"&amp;$G$1)</f>
        <v>1.4999999999999999E-2</v>
      </c>
      <c r="G38" s="1518"/>
      <c r="H38" s="2877"/>
      <c r="I38" s="1532"/>
      <c r="J38" s="1533"/>
      <c r="K38" s="2881"/>
      <c r="L38" s="2877"/>
      <c r="M38" s="2877"/>
    </row>
    <row r="39" spans="1:18" ht="24.6" customHeight="1" thickTop="1">
      <c r="A39" s="1192" t="s">
        <v>818</v>
      </c>
      <c r="B39" s="1207" t="s">
        <v>1207</v>
      </c>
      <c r="C39" s="316">
        <f ca="1">C5-C30</f>
        <v>5700</v>
      </c>
      <c r="D39" s="1208" t="s">
        <v>1208</v>
      </c>
      <c r="E39" s="1209"/>
      <c r="F39" s="1210"/>
      <c r="G39" s="1518"/>
      <c r="H39" s="2877"/>
      <c r="I39" s="1532"/>
      <c r="J39" s="1533"/>
      <c r="K39" s="2881"/>
      <c r="L39" s="2877"/>
      <c r="M39" s="2877"/>
    </row>
    <row r="40" spans="1:18" ht="18" customHeight="1">
      <c r="A40" s="305" t="s">
        <v>819</v>
      </c>
      <c r="B40" s="306" t="s">
        <v>1209</v>
      </c>
      <c r="C40" s="307">
        <f ca="1">ROUND(C39*(1-((1+F42)/(1+F40))^F41)/(F40-F42),0)</f>
        <v>144168</v>
      </c>
      <c r="D40" s="330" t="s">
        <v>1193</v>
      </c>
      <c r="E40" s="308" t="s">
        <v>1194</v>
      </c>
      <c r="F40" s="318">
        <f ca="1">INDIRECT("'数据-取费表'!I"&amp;$G$1)</f>
        <v>0.05</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41.52</v>
      </c>
      <c r="G41" s="1518"/>
      <c r="H41" s="1305"/>
      <c r="I41" s="1532"/>
      <c r="J41" s="1533"/>
      <c r="K41" s="2718"/>
      <c r="L41" s="1305"/>
      <c r="M41" s="1305"/>
    </row>
    <row r="42" spans="1:18" ht="18" customHeight="1">
      <c r="A42" s="314"/>
      <c r="B42" s="315"/>
      <c r="C42" s="316"/>
      <c r="D42" s="333"/>
      <c r="E42" s="308" t="s">
        <v>1201</v>
      </c>
      <c r="F42" s="318">
        <f ca="1">INDIRECT("'数据-取费表'!v"&amp;$G$1)</f>
        <v>2.5000000000000001E-2</v>
      </c>
      <c r="G42" s="1518"/>
      <c r="H42" s="1305"/>
      <c r="I42" s="1532"/>
      <c r="J42" s="1533"/>
      <c r="K42" s="2718"/>
      <c r="L42" s="1305"/>
      <c r="M42" s="1305"/>
    </row>
    <row r="43" spans="1:18" ht="18" customHeight="1" thickBot="1">
      <c r="A43" s="340" t="s">
        <v>820</v>
      </c>
      <c r="B43" s="341" t="s">
        <v>1211</v>
      </c>
      <c r="C43" s="342">
        <f ca="1">ROUND(C40*10000/F43,0)</f>
        <v>8193</v>
      </c>
      <c r="D43" s="343" t="s">
        <v>1212</v>
      </c>
      <c r="E43" s="344" t="s">
        <v>1213</v>
      </c>
      <c r="F43" s="345">
        <f ca="1">INDIRECT("'数据-取费表'!k"&amp;$G$1)</f>
        <v>175962.71000000002</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f ca="1">C68-C40</f>
        <v>-296781</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3494</v>
      </c>
      <c r="K47" s="1550" t="s">
        <v>1251</v>
      </c>
      <c r="L47" s="1551">
        <f ca="1">INDIRECT("'数据-取费表'!d"&amp;$G$1)</f>
        <v>50</v>
      </c>
      <c r="M47" s="1514" t="str">
        <f>IF(ISNUMBER(FIND("住宅",C1)),"住宅","非住宅")</f>
        <v>非住宅</v>
      </c>
      <c r="O47" s="1552" t="s">
        <v>827</v>
      </c>
      <c r="P47" s="1553" t="s">
        <v>1252</v>
      </c>
      <c r="Q47" s="1554">
        <f ca="1">C40+J29</f>
        <v>144168</v>
      </c>
      <c r="R47" s="1554" t="s">
        <v>1253</v>
      </c>
    </row>
    <row r="48" spans="1:18" s="1518" customFormat="1" ht="28.5" thickBot="1">
      <c r="A48" s="1223" t="s">
        <v>863</v>
      </c>
      <c r="B48" s="306" t="s">
        <v>1125</v>
      </c>
      <c r="C48" s="1493">
        <f ca="1">C49+C53+C55</f>
        <v>0</v>
      </c>
      <c r="D48" s="1225"/>
      <c r="E48" s="1226"/>
      <c r="F48" s="1074"/>
      <c r="G48" s="731"/>
      <c r="H48" s="732"/>
      <c r="I48" s="1555" t="s">
        <v>1254</v>
      </c>
      <c r="J48" s="1556" t="s">
        <v>3495</v>
      </c>
      <c r="K48" s="1557" t="s">
        <v>1255</v>
      </c>
      <c r="L48" s="1558">
        <f ca="1">INDIRECT("'数据-取费表'!f"&amp;$G$1)</f>
        <v>41.52</v>
      </c>
      <c r="O48" s="1552" t="s">
        <v>828</v>
      </c>
      <c r="P48" s="1553" t="s">
        <v>1256</v>
      </c>
      <c r="Q48" s="1554" t="str">
        <f ca="1">J60</f>
        <v>0</v>
      </c>
      <c r="R48" s="1554" t="s">
        <v>1257</v>
      </c>
    </row>
    <row r="49" spans="1:18" s="1518" customFormat="1" ht="13.5" thickBot="1">
      <c r="A49" s="1087" t="s">
        <v>864</v>
      </c>
      <c r="B49" s="1505" t="s">
        <v>1214</v>
      </c>
      <c r="C49" s="1227">
        <f ca="1">ROUND(F49*F51*F50*(1-F52)/10000,0)</f>
        <v>0</v>
      </c>
      <c r="D49" s="1167" t="s">
        <v>2607</v>
      </c>
      <c r="E49" s="1506" t="s">
        <v>1215</v>
      </c>
      <c r="F49" s="1172"/>
      <c r="G49" s="1559"/>
      <c r="H49" s="732"/>
      <c r="I49" s="1555" t="s">
        <v>1258</v>
      </c>
      <c r="J49" s="1560">
        <v>2020</v>
      </c>
      <c r="K49" s="1557" t="s">
        <v>1259</v>
      </c>
      <c r="L49" s="1561"/>
      <c r="O49" s="1562" t="s">
        <v>829</v>
      </c>
      <c r="P49" s="1553" t="s">
        <v>1260</v>
      </c>
      <c r="Q49" s="1554">
        <f ca="1">C29</f>
        <v>92416</v>
      </c>
      <c r="R49" s="1554" t="s">
        <v>1253</v>
      </c>
    </row>
    <row r="50" spans="1:18" s="1518" customFormat="1" ht="13.5" thickBot="1">
      <c r="A50" s="1088"/>
      <c r="B50" s="1091"/>
      <c r="C50" s="1231"/>
      <c r="D50" s="1065"/>
      <c r="E50" s="1168" t="s">
        <v>1130</v>
      </c>
      <c r="F50" s="1169">
        <f ca="1">F7</f>
        <v>175962.71000000002</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365</v>
      </c>
      <c r="I51" s="1566" t="s">
        <v>1264</v>
      </c>
      <c r="J51" s="1567">
        <f>IF(J49="",J50,J49+J50-YEAR('数据-取费表'!B2))</f>
        <v>58</v>
      </c>
      <c r="K51" s="1568" t="s">
        <v>1265</v>
      </c>
      <c r="L51" s="1569">
        <f ca="1">ROUND(-PV(INDIRECT("'数据-取费表'!h"&amp;$G$1),J51,(C39-C13*C76),0),0)</f>
        <v>-30155</v>
      </c>
      <c r="M51" s="1570"/>
      <c r="O51" s="1562" t="s">
        <v>831</v>
      </c>
      <c r="P51" s="1553" t="s">
        <v>1266</v>
      </c>
      <c r="Q51" s="1565">
        <f>J52</f>
        <v>8.5000000000000006E-2</v>
      </c>
      <c r="R51" s="1554"/>
    </row>
    <row r="52" spans="1:18" s="1518" customFormat="1" ht="13.5" thickBot="1">
      <c r="A52" s="1089"/>
      <c r="B52" s="1091"/>
      <c r="C52" s="1092"/>
      <c r="D52" s="1065"/>
      <c r="E52" s="1093" t="s">
        <v>1132</v>
      </c>
      <c r="F52" s="1166"/>
      <c r="I52" s="1571" t="s">
        <v>1267</v>
      </c>
      <c r="J52" s="1572">
        <v>8.5000000000000006E-2</v>
      </c>
      <c r="K52" s="1571" t="s">
        <v>1268</v>
      </c>
      <c r="L52" s="1572"/>
      <c r="O52" s="1562" t="s">
        <v>832</v>
      </c>
      <c r="P52" s="1553" t="s">
        <v>1269</v>
      </c>
      <c r="Q52" s="1554">
        <f ca="1">J53</f>
        <v>41.52</v>
      </c>
      <c r="R52" s="1554" t="s">
        <v>1270</v>
      </c>
    </row>
    <row r="53" spans="1:18" s="1518" customFormat="1" ht="24.75" thickBot="1">
      <c r="A53" s="1267" t="s">
        <v>865</v>
      </c>
      <c r="B53" s="1507" t="s">
        <v>1133</v>
      </c>
      <c r="C53" s="322">
        <f ca="1">ROUND(IF(F53="押一",C49/12*F11,IF(F53="押二",C49/12*2*F11,IF(F53="押三",C49/12*3*F11,C54*F11))),0)</f>
        <v>0</v>
      </c>
      <c r="D53" s="1500" t="s">
        <v>2613</v>
      </c>
      <c r="E53" s="319" t="s">
        <v>1134</v>
      </c>
      <c r="F53" s="1229"/>
      <c r="I53" s="1573" t="s">
        <v>1271</v>
      </c>
      <c r="J53" s="2335">
        <f ca="1">IF(M47="住宅",IF(D1="——",MAX(J51,L48),MAX(J51,L48-'数据-取费表'!B24)),IF(D1="——",MIN(J51,L48),MIN(J51,L48-'数据-取费表'!B24)))</f>
        <v>41.52</v>
      </c>
      <c r="K53" s="3494" t="s">
        <v>1272</v>
      </c>
      <c r="L53" s="3495"/>
      <c r="O53" s="1552" t="s">
        <v>833</v>
      </c>
      <c r="P53" s="1553" t="s">
        <v>1273</v>
      </c>
      <c r="Q53" s="1554">
        <f ca="1">Q47+Q48</f>
        <v>144168</v>
      </c>
      <c r="R53" s="1554" t="s">
        <v>834</v>
      </c>
    </row>
    <row r="54" spans="1:18" s="1518" customFormat="1" ht="13.5" thickBot="1">
      <c r="A54" s="1268"/>
      <c r="B54" s="1501" t="s">
        <v>1112</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89644</v>
      </c>
      <c r="D56" s="1581"/>
      <c r="E56" s="1582"/>
      <c r="F56" s="1574"/>
      <c r="I56" s="1583" t="s">
        <v>1278</v>
      </c>
      <c r="J56" s="1584" t="s">
        <v>3243</v>
      </c>
      <c r="K56" s="1555" t="s">
        <v>1279</v>
      </c>
      <c r="L56" s="1558" t="str">
        <f ca="1">IF(L48&lt;J51,"——",L48-J53)</f>
        <v>——</v>
      </c>
      <c r="O56" s="1552" t="s">
        <v>827</v>
      </c>
      <c r="P56" s="1553" t="s">
        <v>1252</v>
      </c>
      <c r="Q56" s="1554">
        <f ca="1">C40+J29</f>
        <v>144168</v>
      </c>
      <c r="R56" s="1554" t="s">
        <v>1253</v>
      </c>
    </row>
    <row r="57" spans="1:18" s="1518" customFormat="1" ht="24.75" thickBot="1">
      <c r="A57" s="1585"/>
      <c r="B57" s="1062" t="s">
        <v>1202</v>
      </c>
      <c r="C57" s="244">
        <f ca="1">C29</f>
        <v>92416</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8790</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7776</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IF(项目基本情况!B11="自然人","——",IF(D61="按租金收入计税",ROUND(C49*F61/(1+'数据-取费表'!C42),2),IF(D61="按房产原值计税",ROUND(C57*F61*0.7,2),INDIRECT("'数据-取费表'!Aj"&amp;$G$1))))</f>
        <v>7762.94</v>
      </c>
      <c r="D61" s="1504" t="s">
        <v>1162</v>
      </c>
      <c r="E61" s="1062"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4" t="s">
        <v>1219</v>
      </c>
      <c r="B62" s="1061" t="s">
        <v>1220</v>
      </c>
      <c r="C62" s="25">
        <f ca="1">IF(项目基本情况!B11="自然人","——",ROUND(F62*F63/10000,2))</f>
        <v>13.21</v>
      </c>
      <c r="D62" s="1077" t="s">
        <v>1221</v>
      </c>
      <c r="E62" s="1062" t="s">
        <v>1222</v>
      </c>
      <c r="F62" s="331">
        <f t="shared" si="0"/>
        <v>1.5</v>
      </c>
      <c r="I62" s="1596" t="s">
        <v>1294</v>
      </c>
      <c r="J62" s="1597" t="s">
        <v>1295</v>
      </c>
      <c r="K62" s="1597" t="s">
        <v>1296</v>
      </c>
      <c r="L62" s="1597" t="s">
        <v>1297</v>
      </c>
      <c r="M62" s="1598" t="s">
        <v>1298</v>
      </c>
      <c r="O62" s="1552" t="s">
        <v>833</v>
      </c>
      <c r="P62" s="1553" t="s">
        <v>1299</v>
      </c>
      <c r="Q62" s="1554">
        <f ca="1">Q56+Q57</f>
        <v>144168</v>
      </c>
      <c r="R62" s="1554" t="s">
        <v>834</v>
      </c>
    </row>
    <row r="63" spans="1:18" s="1518" customFormat="1" ht="13.5" thickBot="1">
      <c r="A63" s="332"/>
      <c r="B63" s="1068"/>
      <c r="C63" s="29"/>
      <c r="D63" s="1078"/>
      <c r="E63" s="1062" t="s">
        <v>1223</v>
      </c>
      <c r="F63" s="309">
        <f t="shared" ca="1" si="0"/>
        <v>88073.02</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ROUND(C57*F64,1)</f>
        <v>924.2</v>
      </c>
      <c r="D64" s="1076" t="s">
        <v>1226</v>
      </c>
      <c r="E64" s="1062" t="s">
        <v>1218</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89.6</v>
      </c>
      <c r="D65" s="1076" t="s">
        <v>1178</v>
      </c>
      <c r="E65" s="1062" t="s">
        <v>1179</v>
      </c>
      <c r="F65" s="336">
        <f t="shared" ca="1" si="0"/>
        <v>1E-3</v>
      </c>
      <c r="I65" s="1596" t="s">
        <v>1303</v>
      </c>
      <c r="J65" s="1597">
        <v>40</v>
      </c>
      <c r="K65" s="1597">
        <v>30</v>
      </c>
      <c r="L65" s="1597">
        <v>50</v>
      </c>
      <c r="M65" s="1599">
        <v>0.02</v>
      </c>
      <c r="O65" s="1552" t="s">
        <v>827</v>
      </c>
      <c r="P65" s="1553" t="s">
        <v>1304</v>
      </c>
      <c r="Q65" s="1554">
        <f ca="1">C40+J29</f>
        <v>144168</v>
      </c>
      <c r="R65" s="1554" t="s">
        <v>1253</v>
      </c>
    </row>
    <row r="66" spans="1:18" s="1518" customFormat="1" ht="16.5" thickBot="1">
      <c r="A66" s="1094" t="s">
        <v>1228</v>
      </c>
      <c r="B66" s="1062" t="s">
        <v>1163</v>
      </c>
      <c r="C66" s="24">
        <f ca="1">ROUND(C48*F66,1)</f>
        <v>0</v>
      </c>
      <c r="D66" s="1076" t="s">
        <v>1229</v>
      </c>
      <c r="E66" s="1062" t="s">
        <v>1146</v>
      </c>
      <c r="F66" s="318">
        <f t="shared" ca="1" si="0"/>
        <v>1.4999999999999999E-2</v>
      </c>
      <c r="O66" s="1552" t="s">
        <v>828</v>
      </c>
      <c r="P66" s="1553" t="s">
        <v>1282</v>
      </c>
      <c r="Q66" s="1554">
        <f ca="1">L60</f>
        <v>0</v>
      </c>
      <c r="R66" s="1554" t="s">
        <v>1305</v>
      </c>
    </row>
    <row r="67" spans="1:18" s="1518" customFormat="1" ht="16.5" thickBot="1">
      <c r="A67" s="1069" t="s">
        <v>818</v>
      </c>
      <c r="B67" s="1079" t="s">
        <v>1187</v>
      </c>
      <c r="C67" s="322">
        <f ca="1">C48-C58</f>
        <v>-8790</v>
      </c>
      <c r="D67" s="1075" t="s">
        <v>1188</v>
      </c>
      <c r="E67" s="1080"/>
      <c r="F67" s="1081"/>
      <c r="O67" s="1562" t="s">
        <v>829</v>
      </c>
      <c r="P67" s="1553" t="s">
        <v>1286</v>
      </c>
      <c r="Q67" s="1600">
        <f ca="1">L51</f>
        <v>-30155</v>
      </c>
      <c r="R67" s="1554" t="s">
        <v>1306</v>
      </c>
    </row>
    <row r="68" spans="1:18" s="1518" customFormat="1" ht="16.5" thickBot="1">
      <c r="A68" s="1059" t="s">
        <v>819</v>
      </c>
      <c r="B68" s="1060" t="s">
        <v>1209</v>
      </c>
      <c r="C68" s="307">
        <f ca="1">ROUND(C67*(1-((1+F70)/(1+F68))^F69)/(F68-F70),0)</f>
        <v>-152613</v>
      </c>
      <c r="D68" s="1077" t="s">
        <v>1193</v>
      </c>
      <c r="E68" s="1062" t="s">
        <v>1194</v>
      </c>
      <c r="F68" s="318">
        <f ca="1">F40</f>
        <v>0.05</v>
      </c>
      <c r="O68" s="1562" t="s">
        <v>830</v>
      </c>
      <c r="P68" s="1601" t="s">
        <v>1307</v>
      </c>
      <c r="Q68" s="1554">
        <f ca="1">ROUND(Q69-Q70*Q71,0)</f>
        <v>-1472</v>
      </c>
      <c r="R68" s="1554" t="s">
        <v>838</v>
      </c>
    </row>
    <row r="69" spans="1:18" s="1518" customFormat="1" ht="13.5" thickBot="1">
      <c r="A69" s="1063"/>
      <c r="B69" s="1064"/>
      <c r="C69" s="312"/>
      <c r="D69" s="1082" t="s">
        <v>1197</v>
      </c>
      <c r="E69" s="1062" t="s">
        <v>1198</v>
      </c>
      <c r="F69" s="339">
        <f ca="1">F41</f>
        <v>41.52</v>
      </c>
      <c r="O69" s="1562" t="s">
        <v>835</v>
      </c>
      <c r="P69" s="1601" t="s">
        <v>1308</v>
      </c>
      <c r="Q69" s="1554">
        <f ca="1">C39</f>
        <v>5700</v>
      </c>
      <c r="R69" s="1554" t="s">
        <v>1253</v>
      </c>
    </row>
    <row r="70" spans="1:18" s="1518" customFormat="1" ht="13.5" thickBot="1">
      <c r="A70" s="1066"/>
      <c r="B70" s="1067"/>
      <c r="C70" s="316"/>
      <c r="D70" s="1078"/>
      <c r="E70" s="1062" t="s">
        <v>1201</v>
      </c>
      <c r="F70" s="1166"/>
      <c r="O70" s="1562" t="s">
        <v>836</v>
      </c>
      <c r="P70" s="1601" t="s">
        <v>1309</v>
      </c>
      <c r="Q70" s="1554">
        <f ca="1">C13</f>
        <v>89644</v>
      </c>
      <c r="R70" s="1554" t="s">
        <v>1253</v>
      </c>
    </row>
    <row r="71" spans="1:18" s="1518" customFormat="1" ht="13.5" thickBot="1">
      <c r="A71" s="1083" t="s">
        <v>820</v>
      </c>
      <c r="B71" s="1084" t="s">
        <v>1211</v>
      </c>
      <c r="C71" s="342">
        <f ca="1">ROUND(C68*10000/F71,0)</f>
        <v>-8673</v>
      </c>
      <c r="D71" s="1085" t="s">
        <v>1212</v>
      </c>
      <c r="E71" s="1086" t="s">
        <v>1213</v>
      </c>
      <c r="F71" s="345">
        <f ca="1">F43</f>
        <v>175962.71000000002</v>
      </c>
      <c r="O71" s="1562" t="s">
        <v>837</v>
      </c>
      <c r="P71" s="1601" t="s">
        <v>1310</v>
      </c>
      <c r="Q71" s="1565">
        <f ca="1">C76</f>
        <v>0.08</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7172</v>
      </c>
      <c r="D75" s="1518"/>
      <c r="E75" s="1518"/>
      <c r="F75" s="1518"/>
      <c r="K75" s="1536"/>
      <c r="L75" s="1518"/>
      <c r="O75" s="1552" t="s">
        <v>833</v>
      </c>
      <c r="P75" s="1553" t="s">
        <v>1273</v>
      </c>
      <c r="Q75" s="1554">
        <f ca="1">Q65+Q66</f>
        <v>144168</v>
      </c>
      <c r="R75" s="1554" t="s">
        <v>834</v>
      </c>
    </row>
    <row r="76" spans="1:18">
      <c r="B76" s="348" t="s">
        <v>1231</v>
      </c>
      <c r="C76" s="349">
        <f ca="1">INDIRECT("'数据-取费表'!j"&amp;$G$1)</f>
        <v>0.08</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-0.25800000000000001</v>
      </c>
    </row>
    <row r="80" spans="1:18">
      <c r="B80" s="346" t="s">
        <v>1235</v>
      </c>
      <c r="C80" s="280">
        <f ca="1">ROUND(C75/C39,3)</f>
        <v>1.258</v>
      </c>
    </row>
    <row r="81" spans="2:3">
      <c r="B81" s="276" t="s">
        <v>1236</v>
      </c>
      <c r="C81" s="244"/>
    </row>
    <row r="82" spans="2:3">
      <c r="B82" s="279" t="s">
        <v>1237</v>
      </c>
      <c r="C82" s="281">
        <f ca="1">1-C83</f>
        <v>0.378</v>
      </c>
    </row>
    <row r="83" spans="2:3">
      <c r="B83" s="279" t="s">
        <v>1238</v>
      </c>
      <c r="C83" s="280">
        <f ca="1">ROUND(C13/C40,3)</f>
        <v>0.622</v>
      </c>
    </row>
  </sheetData>
  <sheetProtection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3248</v>
      </c>
      <c r="D1" s="1496" t="s">
        <v>70</v>
      </c>
      <c r="E1" s="1497" t="s">
        <v>1111</v>
      </c>
      <c r="F1" s="1174">
        <f ca="1">J53</f>
        <v>41.52</v>
      </c>
      <c r="G1" s="1512">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12854</v>
      </c>
      <c r="C2" s="1521" t="s">
        <v>1240</v>
      </c>
      <c r="D2" s="1521"/>
      <c r="E2" s="1522"/>
      <c r="F2" s="1523"/>
      <c r="G2" s="2883"/>
      <c r="H2" s="2872"/>
      <c r="I2" s="2872"/>
      <c r="J2" s="2872"/>
      <c r="K2" s="2873"/>
      <c r="L2" s="2872"/>
      <c r="M2" s="2872"/>
    </row>
    <row r="3" spans="1:37" ht="18" customHeight="1" thickBot="1">
      <c r="A3" s="1524" t="s">
        <v>1241</v>
      </c>
      <c r="B3" s="1525">
        <f ca="1">IF(ISERROR(B2*10000/F43),0,ROUND(B2*10000/F43,0))</f>
        <v>4316</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784</v>
      </c>
      <c r="D5" s="1498" t="s">
        <v>1126</v>
      </c>
      <c r="E5" s="1184"/>
      <c r="F5" s="1185"/>
      <c r="G5" s="1518"/>
      <c r="H5" s="305">
        <v>1</v>
      </c>
      <c r="I5" s="306" t="s">
        <v>1125</v>
      </c>
      <c r="J5" s="1183">
        <f ca="1">J6+J10+J12</f>
        <v>0</v>
      </c>
      <c r="K5" s="1498" t="s">
        <v>1126</v>
      </c>
      <c r="L5" s="1184"/>
      <c r="M5" s="1185"/>
    </row>
    <row r="6" spans="1:37" ht="18" customHeight="1">
      <c r="A6" s="1182" t="s">
        <v>822</v>
      </c>
      <c r="B6" s="3491" t="s">
        <v>1127</v>
      </c>
      <c r="C6" s="1187">
        <f ca="1">ROUND(F6*F8*F7*(1-F9)/10000,0)</f>
        <v>783</v>
      </c>
      <c r="D6" s="160" t="s">
        <v>2606</v>
      </c>
      <c r="E6" s="308" t="s">
        <v>1129</v>
      </c>
      <c r="F6" s="309">
        <f ca="1">INDIRECT("'数据-取费表'!u"&amp;$G$1)</f>
        <v>0.8</v>
      </c>
      <c r="G6" s="1518"/>
      <c r="H6" s="1182" t="s">
        <v>822</v>
      </c>
      <c r="I6" s="3491" t="s">
        <v>1127</v>
      </c>
      <c r="J6" s="307">
        <f ca="1">ROUND(M6*M8*M7*(1-M9)/10000,0)</f>
        <v>0</v>
      </c>
      <c r="K6" s="160" t="s">
        <v>2605</v>
      </c>
      <c r="L6" s="308" t="s">
        <v>1129</v>
      </c>
      <c r="M6" s="309">
        <f ca="1">INDIRECT("'数据-取费表'!z"&amp;$G$1)</f>
        <v>0</v>
      </c>
    </row>
    <row r="7" spans="1:37" ht="18" customHeight="1">
      <c r="A7" s="1186"/>
      <c r="B7" s="3492"/>
      <c r="C7" s="1188"/>
      <c r="D7" s="313"/>
      <c r="E7" s="3237" t="s">
        <v>1130</v>
      </c>
      <c r="F7" s="309">
        <f ca="1">IF(INDIRECT("'数据-取费表'!ah"&amp;$G$1)="",INDIRECT("'数据-取费表'!k"&amp;$G$1),INDIRECT("'数据-取费表'!ah"&amp;$G$1))</f>
        <v>29778.85</v>
      </c>
      <c r="G7" s="1518"/>
      <c r="H7" s="310"/>
      <c r="I7" s="3492"/>
      <c r="J7" s="312"/>
      <c r="K7" s="313"/>
      <c r="L7" s="308" t="s">
        <v>1130</v>
      </c>
      <c r="M7" s="309">
        <f ca="1">F7</f>
        <v>29778.85</v>
      </c>
    </row>
    <row r="8" spans="1:37" ht="18" customHeight="1">
      <c r="A8" s="310"/>
      <c r="B8" s="3492"/>
      <c r="C8" s="312"/>
      <c r="D8" s="313"/>
      <c r="E8" s="308" t="s">
        <v>1131</v>
      </c>
      <c r="F8" s="309">
        <f ca="1">INDIRECT("'数据-取费表'!ai"&amp;$G$1)</f>
        <v>365</v>
      </c>
      <c r="G8" s="1518"/>
      <c r="H8" s="310"/>
      <c r="I8" s="3492"/>
      <c r="J8" s="312"/>
      <c r="K8" s="313"/>
      <c r="L8" s="308" t="s">
        <v>1131</v>
      </c>
      <c r="M8" s="309">
        <f ca="1">INDIRECT("'数据-取费表'!ai"&amp;$G$1)</f>
        <v>365</v>
      </c>
    </row>
    <row r="9" spans="1:37" ht="18" customHeight="1">
      <c r="A9" s="310"/>
      <c r="B9" s="3493"/>
      <c r="C9" s="312"/>
      <c r="D9" s="313"/>
      <c r="E9" s="308" t="s">
        <v>1132</v>
      </c>
      <c r="F9" s="318">
        <f ca="1">INDIRECT("'数据-取费表'!w"&amp;$G$1)</f>
        <v>0.1</v>
      </c>
      <c r="G9" s="1518"/>
      <c r="H9" s="310"/>
      <c r="I9" s="3493"/>
      <c r="J9" s="312"/>
      <c r="K9" s="313"/>
      <c r="L9" s="319" t="s">
        <v>1132</v>
      </c>
      <c r="M9" s="320">
        <f ca="1">INDIRECT("'数据-取费表'!ab"&amp;$G$1)</f>
        <v>0</v>
      </c>
    </row>
    <row r="10" spans="1:37" ht="18" customHeight="1">
      <c r="A10" s="1182" t="s">
        <v>826</v>
      </c>
      <c r="B10" s="1499" t="s">
        <v>1133</v>
      </c>
      <c r="C10" s="322">
        <f ca="1">ROUND(IF(F10="押一",C6/12*F11,IF(F10="押二",C6/12*2*F11,IF(F10="押三",C6/12*3*F11,C11*F11))),0)</f>
        <v>1</v>
      </c>
      <c r="D10" s="1500" t="s">
        <v>2613</v>
      </c>
      <c r="E10" s="319" t="s">
        <v>1134</v>
      </c>
      <c r="F10" s="1229" t="s">
        <v>3492</v>
      </c>
      <c r="G10" s="1518"/>
      <c r="H10" s="1182" t="s">
        <v>826</v>
      </c>
      <c r="I10" s="1499" t="s">
        <v>1133</v>
      </c>
      <c r="J10" s="307">
        <f ca="1">ROUND(IF(M10="押一",J6/12*M11,IF(M10="押二",J6/12*2*M11,IF(M10="押三",J6/12*3*M11,J11*M11))),0)</f>
        <v>0</v>
      </c>
      <c r="K10" s="1500" t="s">
        <v>2613</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14283</v>
      </c>
      <c r="D13" s="3229" t="s">
        <v>1139</v>
      </c>
      <c r="E13" s="3229" t="s">
        <v>1140</v>
      </c>
      <c r="F13" s="1195">
        <f ca="1">INDIRECT("'数据-取费表'!y"&amp;$G$1)</f>
        <v>0.97</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11017</v>
      </c>
      <c r="D14" s="3233" t="s">
        <v>1142</v>
      </c>
      <c r="E14" s="3231"/>
      <c r="F14" s="325"/>
      <c r="G14" s="1518"/>
      <c r="H14" s="1094" t="s">
        <v>822</v>
      </c>
      <c r="I14" s="308" t="s">
        <v>1143</v>
      </c>
      <c r="J14" s="24">
        <f ca="1">C29</f>
        <v>14725</v>
      </c>
      <c r="K14" s="3236"/>
      <c r="L14" s="897"/>
      <c r="M14" s="898"/>
    </row>
    <row r="15" spans="1:37" s="1531" customFormat="1" ht="18" customHeight="1" thickBot="1">
      <c r="A15" s="1094" t="s">
        <v>823</v>
      </c>
      <c r="B15" s="308" t="s">
        <v>1144</v>
      </c>
      <c r="C15" s="24">
        <f ca="1">ROUND(C14*F15,0)</f>
        <v>331</v>
      </c>
      <c r="D15" s="3230" t="s">
        <v>1145</v>
      </c>
      <c r="E15" s="3230"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200</v>
      </c>
      <c r="K16" s="1200" t="s">
        <v>1149</v>
      </c>
      <c r="L16" s="3234"/>
      <c r="M16" s="1185"/>
    </row>
    <row r="17" spans="1:37" s="1531" customFormat="1" ht="18" customHeight="1">
      <c r="A17" s="1094" t="s">
        <v>1114</v>
      </c>
      <c r="B17" s="308" t="s">
        <v>1150</v>
      </c>
      <c r="C17" s="24">
        <f ca="1">ROUND(F17*(F43+INDIRECT("'数据-取费表'!S"&amp;$G$1))/10000,0)</f>
        <v>306</v>
      </c>
      <c r="D17" s="308" t="s">
        <v>1151</v>
      </c>
      <c r="E17" s="308" t="s">
        <v>1152</v>
      </c>
      <c r="F17" s="26">
        <f>'数据-取费表'!B35</f>
        <v>100</v>
      </c>
      <c r="G17" s="1530"/>
      <c r="H17" s="1094" t="s">
        <v>822</v>
      </c>
      <c r="I17" s="308" t="s">
        <v>1153</v>
      </c>
      <c r="J17" s="2483">
        <f ca="1">ROUND(IF(AND(项目基本情况!B11="自然人",项目基本情况!B10="北京市"),J6*M17/(1+'数据-取费表'!C42),J18+J19+J20),0)</f>
        <v>126</v>
      </c>
      <c r="K17" s="3233" t="s">
        <v>1154</v>
      </c>
      <c r="L17" s="3232"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165</v>
      </c>
      <c r="D18" s="308" t="s">
        <v>1145</v>
      </c>
      <c r="E18" s="308" t="s">
        <v>1146</v>
      </c>
      <c r="F18" s="328">
        <f>'数据-取费表'!B36</f>
        <v>1.4999999999999999E-2</v>
      </c>
      <c r="G18" s="1530"/>
      <c r="H18" s="1094" t="s">
        <v>821</v>
      </c>
      <c r="I18" s="308" t="s">
        <v>1157</v>
      </c>
      <c r="J18" s="24">
        <f ca="1">ROUND(J6*M18/(1+'数据-取费表'!C42),2)</f>
        <v>0</v>
      </c>
      <c r="K18" s="3232"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11819</v>
      </c>
      <c r="D19" s="136" t="s">
        <v>1160</v>
      </c>
      <c r="E19" s="3239"/>
      <c r="F19" s="26"/>
      <c r="G19" s="1518"/>
      <c r="H19" s="1094" t="s">
        <v>823</v>
      </c>
      <c r="I19" s="308" t="s">
        <v>1161</v>
      </c>
      <c r="J19" s="24">
        <f ca="1">IF(K19="按租金收入计税",ROUND(J6*M19/(1+'数据-取费表'!C42),2),ROUND(C29*M19*0.7,2))</f>
        <v>123.69</v>
      </c>
      <c r="K19" s="1504" t="s">
        <v>1162</v>
      </c>
      <c r="L19" s="308" t="s">
        <v>1146</v>
      </c>
      <c r="M19" s="328">
        <f>IF(K19="按租金收入计税",'数据-取费表'!B51,'数据-取费表'!B50)</f>
        <v>1.2E-2</v>
      </c>
    </row>
    <row r="20" spans="1:37" s="1531" customFormat="1" ht="18" customHeight="1">
      <c r="A20" s="1094" t="s">
        <v>826</v>
      </c>
      <c r="B20" s="308" t="s">
        <v>1163</v>
      </c>
      <c r="C20" s="24">
        <f ca="1">ROUND(C19*F20,0)</f>
        <v>236</v>
      </c>
      <c r="D20" s="329" t="s">
        <v>1164</v>
      </c>
      <c r="E20" s="308" t="s">
        <v>1146</v>
      </c>
      <c r="F20" s="328">
        <f>'数据-取费表'!B37</f>
        <v>0.02</v>
      </c>
      <c r="G20" s="1530"/>
      <c r="H20" s="1094" t="s">
        <v>1113</v>
      </c>
      <c r="I20" s="160" t="s">
        <v>1165</v>
      </c>
      <c r="J20" s="25">
        <f ca="1">ROUND(M20*M21/10000,2)</f>
        <v>2.2400000000000002</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0.01</v>
      </c>
      <c r="G21" s="1530"/>
      <c r="H21" s="332"/>
      <c r="I21" s="317"/>
      <c r="J21" s="29"/>
      <c r="K21" s="333"/>
      <c r="L21" s="308" t="s">
        <v>1171</v>
      </c>
      <c r="M21" s="309">
        <f ca="1">INDIRECT("'数据-取费表'!r"&amp;$G$1)</f>
        <v>14904.94</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39"/>
      <c r="F22" s="26"/>
      <c r="G22" s="1518"/>
      <c r="H22" s="1094" t="s">
        <v>826</v>
      </c>
      <c r="I22" s="308" t="s">
        <v>1173</v>
      </c>
      <c r="J22" s="24">
        <f ca="1">ROUND(J14*M22,1)</f>
        <v>73.599999999999994</v>
      </c>
      <c r="K22" s="3232" t="s">
        <v>1174</v>
      </c>
      <c r="L22" s="308" t="s">
        <v>1146</v>
      </c>
      <c r="M22" s="334">
        <f ca="1">INDIRECT("'数据-取费表'!Ak"&amp;$G$1)</f>
        <v>5.0000000000000001E-3</v>
      </c>
    </row>
    <row r="23" spans="1:37" s="1531" customFormat="1" ht="18" customHeight="1">
      <c r="A23" s="1094" t="s">
        <v>821</v>
      </c>
      <c r="B23" s="308" t="s">
        <v>1175</v>
      </c>
      <c r="C23" s="24">
        <f ca="1">IF('数据-取费表'!B22&lt;=1,ROUND(C19*F24*F23/2,0)+ROUND(C20*F24*F23/2,0),ROUND(C19*(POWER((1+F24),F23/2)-1),0)+ROUND(C20*(POWER((1+F24),F23/2)-1),0))</f>
        <v>767</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ROUND(J13*M23,1)</f>
        <v>0</v>
      </c>
      <c r="K23" s="3232" t="s">
        <v>1178</v>
      </c>
      <c r="L23" s="308" t="s">
        <v>1146</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823</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0"/>
      <c r="H24" s="1202" t="s">
        <v>1116</v>
      </c>
      <c r="I24" s="1203" t="s">
        <v>1163</v>
      </c>
      <c r="J24" s="1204">
        <f ca="1">ROUND(J5*M24,1)</f>
        <v>0</v>
      </c>
      <c r="K24" s="1205" t="s">
        <v>1183</v>
      </c>
      <c r="L24" s="1203" t="s">
        <v>1146</v>
      </c>
      <c r="M24" s="1199">
        <f ca="1">INDIRECT("'数据-取费表'!Am"&amp;$G$1)</f>
        <v>1.4999999999999999E-2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3239"/>
      <c r="F25" s="26"/>
      <c r="G25" s="1518"/>
      <c r="H25" s="1192" t="s">
        <v>818</v>
      </c>
      <c r="I25" s="1207" t="s">
        <v>1187</v>
      </c>
      <c r="J25" s="316">
        <f ca="1">J5-J16</f>
        <v>-200</v>
      </c>
      <c r="K25" s="1208" t="s">
        <v>1188</v>
      </c>
      <c r="L25" s="1209"/>
      <c r="M25" s="1210"/>
    </row>
    <row r="26" spans="1:37">
      <c r="A26" s="1094" t="s">
        <v>821</v>
      </c>
      <c r="B26" s="308" t="s">
        <v>1189</v>
      </c>
      <c r="C26" s="24">
        <f ca="1">ROUND((C19+C20)*F26,0)</f>
        <v>964</v>
      </c>
      <c r="D26" s="329" t="s">
        <v>1190</v>
      </c>
      <c r="E26" s="319" t="s">
        <v>1191</v>
      </c>
      <c r="F26" s="318">
        <f ca="1">INDIRECT("'数据-取费表'!q"&amp;$G$1)</f>
        <v>0.08</v>
      </c>
      <c r="G26" s="1518"/>
      <c r="H26" s="305" t="s">
        <v>819</v>
      </c>
      <c r="I26" s="306" t="s">
        <v>1192</v>
      </c>
      <c r="J26" s="307">
        <f ca="1">IF(J5&lt;&gt;0,ROUND(J25*(1-((1+M28)/(1+M26))^M27)/(M26-M28),0),0)</f>
        <v>0</v>
      </c>
      <c r="K26" s="330" t="s">
        <v>1193</v>
      </c>
      <c r="L26" s="308" t="s">
        <v>1194</v>
      </c>
      <c r="M26" s="318">
        <f ca="1">INDIRECT("'数据-取费表'!I"&amp;$G$1)</f>
        <v>4.9999999999999996E-2</v>
      </c>
    </row>
    <row r="27" spans="1:37" ht="18" customHeight="1">
      <c r="A27" s="1094" t="s">
        <v>823</v>
      </c>
      <c r="B27" s="308" t="s">
        <v>1195</v>
      </c>
      <c r="C27" s="24">
        <f ca="1">ROUND(F21*F26,4)</f>
        <v>8.0000000000000004E-4</v>
      </c>
      <c r="D27" s="329" t="s">
        <v>1196</v>
      </c>
      <c r="E27" s="3230"/>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14725</v>
      </c>
      <c r="D29" s="1205"/>
      <c r="E29" s="1203"/>
      <c r="F29" s="1206"/>
      <c r="G29" s="1530"/>
      <c r="H29" s="340" t="s">
        <v>820</v>
      </c>
      <c r="I29" s="341" t="s">
        <v>1203</v>
      </c>
      <c r="J29" s="342">
        <f ca="1">ROUND(J26/(1+F40)^F41,0)</f>
        <v>0</v>
      </c>
      <c r="K29" s="343" t="s">
        <v>1204</v>
      </c>
      <c r="L29" s="344"/>
      <c r="M29" s="345">
        <f ca="1">INDIRECT("'数据-取费表'!k"&amp;$G$1)</f>
        <v>29778.85</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233</v>
      </c>
      <c r="D30" s="1200" t="s">
        <v>1149</v>
      </c>
      <c r="E30" s="3234"/>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133</v>
      </c>
      <c r="D31" s="3233" t="s">
        <v>1154</v>
      </c>
      <c r="E31" s="3232"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IF(项目基本情况!B11="自然人","——",ROUND(C6*F32/(1+'数据-取费表'!C42),2))</f>
        <v>41.01</v>
      </c>
      <c r="D32" s="3232"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89.49</v>
      </c>
      <c r="D33" s="1504" t="s">
        <v>3493</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2.2400000000000002</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14904.94</v>
      </c>
      <c r="G35" s="1518"/>
      <c r="H35" s="2874"/>
      <c r="I35" s="1532"/>
      <c r="J35" s="1533"/>
      <c r="K35" s="2878"/>
      <c r="L35" s="2877"/>
      <c r="M35" s="2877"/>
    </row>
    <row r="36" spans="1:18" ht="18" customHeight="1">
      <c r="A36" s="1215" t="s">
        <v>826</v>
      </c>
      <c r="B36" s="308" t="s">
        <v>1173</v>
      </c>
      <c r="C36" s="24">
        <f ca="1">ROUND(C29*F36,1)</f>
        <v>73.599999999999994</v>
      </c>
      <c r="D36" s="3232" t="s">
        <v>1206</v>
      </c>
      <c r="E36" s="308" t="s">
        <v>1146</v>
      </c>
      <c r="F36" s="334">
        <f ca="1">INDIRECT("'数据-取费表'!Ak"&amp;$G$1)</f>
        <v>5.0000000000000001E-3</v>
      </c>
      <c r="G36" s="1518"/>
      <c r="H36" s="2877"/>
      <c r="I36" s="1532"/>
      <c r="J36" s="1533"/>
      <c r="K36" s="2718"/>
      <c r="L36" s="2877"/>
      <c r="M36" s="2877"/>
    </row>
    <row r="37" spans="1:18" ht="18" customHeight="1">
      <c r="A37" s="1094" t="s">
        <v>862</v>
      </c>
      <c r="B37" s="308" t="s">
        <v>1177</v>
      </c>
      <c r="C37" s="24">
        <f ca="1">ROUND(C13*F37,1)</f>
        <v>14.3</v>
      </c>
      <c r="D37" s="3232" t="s">
        <v>1178</v>
      </c>
      <c r="E37" s="308" t="s">
        <v>1146</v>
      </c>
      <c r="F37" s="336">
        <f ca="1">INDIRECT("'数据-取费表'!Al"&amp;$G$1)</f>
        <v>1E-3</v>
      </c>
      <c r="G37" s="1518"/>
      <c r="H37" s="2877"/>
      <c r="I37" s="1532"/>
      <c r="J37" s="1533"/>
      <c r="K37" s="2718"/>
      <c r="L37" s="2877"/>
      <c r="M37" s="2877"/>
    </row>
    <row r="38" spans="1:18" ht="18" customHeight="1" thickBot="1">
      <c r="A38" s="1202" t="s">
        <v>1116</v>
      </c>
      <c r="B38" s="1203" t="s">
        <v>1163</v>
      </c>
      <c r="C38" s="1204">
        <f ca="1">ROUND(C5*F38,1)</f>
        <v>11.8</v>
      </c>
      <c r="D38" s="1205" t="s">
        <v>1183</v>
      </c>
      <c r="E38" s="1203" t="s">
        <v>1146</v>
      </c>
      <c r="F38" s="1199">
        <f ca="1">INDIRECT("'数据-取费表'!Am"&amp;$G$1)</f>
        <v>1.4999999999999999E-2</v>
      </c>
      <c r="G38" s="1518"/>
      <c r="H38" s="2877"/>
      <c r="I38" s="1532"/>
      <c r="J38" s="1533"/>
      <c r="K38" s="2881"/>
      <c r="L38" s="2877"/>
      <c r="M38" s="2877"/>
    </row>
    <row r="39" spans="1:18" ht="24.6" customHeight="1" thickTop="1">
      <c r="A39" s="1192" t="s">
        <v>818</v>
      </c>
      <c r="B39" s="1207" t="s">
        <v>1187</v>
      </c>
      <c r="C39" s="316">
        <f ca="1">C5-C30</f>
        <v>551</v>
      </c>
      <c r="D39" s="1208" t="s">
        <v>1188</v>
      </c>
      <c r="E39" s="1209"/>
      <c r="F39" s="1210"/>
      <c r="G39" s="1518"/>
      <c r="H39" s="2877"/>
      <c r="I39" s="1532"/>
      <c r="J39" s="1533"/>
      <c r="K39" s="2881"/>
      <c r="L39" s="2877"/>
      <c r="M39" s="2877"/>
    </row>
    <row r="40" spans="1:18" ht="18" customHeight="1">
      <c r="A40" s="305" t="s">
        <v>819</v>
      </c>
      <c r="B40" s="306" t="s">
        <v>1209</v>
      </c>
      <c r="C40" s="307">
        <f ca="1">ROUND(C39*(1-((1+F42)/(1+F40))^F41)/(F40-F42),0)</f>
        <v>12854</v>
      </c>
      <c r="D40" s="330" t="s">
        <v>1193</v>
      </c>
      <c r="E40" s="308" t="s">
        <v>1194</v>
      </c>
      <c r="F40" s="318">
        <f ca="1">INDIRECT("'数据-取费表'!I"&amp;$G$1)</f>
        <v>4.9999999999999996E-2</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41.52</v>
      </c>
      <c r="G41" s="1518"/>
      <c r="H41" s="1305"/>
      <c r="I41" s="1532"/>
      <c r="J41" s="1533"/>
      <c r="K41" s="2718"/>
      <c r="L41" s="1305"/>
      <c r="M41" s="1305"/>
    </row>
    <row r="42" spans="1:18" ht="18" customHeight="1">
      <c r="A42" s="314"/>
      <c r="B42" s="315"/>
      <c r="C42" s="316"/>
      <c r="D42" s="333"/>
      <c r="E42" s="308" t="s">
        <v>1201</v>
      </c>
      <c r="F42" s="318">
        <f ca="1">INDIRECT("'数据-取费表'!v"&amp;$G$1)</f>
        <v>0.02</v>
      </c>
      <c r="G42" s="1518"/>
      <c r="H42" s="1305"/>
      <c r="I42" s="1532"/>
      <c r="J42" s="1533"/>
      <c r="K42" s="2718"/>
      <c r="L42" s="1305"/>
      <c r="M42" s="1305"/>
    </row>
    <row r="43" spans="1:18" ht="18" customHeight="1" thickBot="1">
      <c r="A43" s="340" t="s">
        <v>820</v>
      </c>
      <c r="B43" s="341" t="s">
        <v>1211</v>
      </c>
      <c r="C43" s="342">
        <f ca="1">ROUND(C40*10000/F43,0)</f>
        <v>4316</v>
      </c>
      <c r="D43" s="343" t="s">
        <v>1212</v>
      </c>
      <c r="E43" s="344" t="s">
        <v>1213</v>
      </c>
      <c r="F43" s="345">
        <f ca="1">INDIRECT("'数据-取费表'!k"&amp;$G$1)</f>
        <v>29778.85</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f ca="1">C68-C40</f>
        <v>-35894</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3494</v>
      </c>
      <c r="K47" s="1550" t="s">
        <v>1251</v>
      </c>
      <c r="L47" s="1551">
        <f ca="1">INDIRECT("'数据-取费表'!d"&amp;$G$1)</f>
        <v>50</v>
      </c>
      <c r="M47" s="1514" t="str">
        <f>IF(ISNUMBER(FIND("住宅",C1)),"住宅","非住宅")</f>
        <v>非住宅</v>
      </c>
      <c r="O47" s="1552" t="s">
        <v>827</v>
      </c>
      <c r="P47" s="1553" t="s">
        <v>1252</v>
      </c>
      <c r="Q47" s="1554">
        <f ca="1">C40+J29</f>
        <v>12854</v>
      </c>
      <c r="R47" s="1554" t="s">
        <v>1253</v>
      </c>
    </row>
    <row r="48" spans="1:18" s="1518" customFormat="1" ht="28.5" thickBot="1">
      <c r="A48" s="1223" t="s">
        <v>863</v>
      </c>
      <c r="B48" s="306" t="s">
        <v>1125</v>
      </c>
      <c r="C48" s="3238">
        <f ca="1">C49+C53+C55</f>
        <v>0</v>
      </c>
      <c r="D48" s="1225"/>
      <c r="E48" s="1226"/>
      <c r="F48" s="1074"/>
      <c r="G48" s="731"/>
      <c r="H48" s="732"/>
      <c r="I48" s="1555" t="s">
        <v>1254</v>
      </c>
      <c r="J48" s="1556" t="s">
        <v>3495</v>
      </c>
      <c r="K48" s="1557" t="s">
        <v>1255</v>
      </c>
      <c r="L48" s="1558">
        <f ca="1">INDIRECT("'数据-取费表'!f"&amp;$G$1)</f>
        <v>41.52</v>
      </c>
      <c r="O48" s="1552" t="s">
        <v>828</v>
      </c>
      <c r="P48" s="1553" t="s">
        <v>1256</v>
      </c>
      <c r="Q48" s="1554" t="str">
        <f ca="1">J60</f>
        <v>0</v>
      </c>
      <c r="R48" s="1554" t="s">
        <v>1257</v>
      </c>
    </row>
    <row r="49" spans="1:18" s="1518" customFormat="1" ht="13.5" thickBot="1">
      <c r="A49" s="1087" t="s">
        <v>864</v>
      </c>
      <c r="B49" s="1505" t="s">
        <v>1214</v>
      </c>
      <c r="C49" s="1227">
        <f ca="1">ROUND(F49*F51*F50*(1-F52)/10000,0)</f>
        <v>0</v>
      </c>
      <c r="D49" s="1167" t="s">
        <v>2605</v>
      </c>
      <c r="E49" s="1506" t="s">
        <v>1215</v>
      </c>
      <c r="F49" s="1172"/>
      <c r="G49" s="1559"/>
      <c r="H49" s="732"/>
      <c r="I49" s="1555" t="s">
        <v>1258</v>
      </c>
      <c r="J49" s="1560">
        <v>2020</v>
      </c>
      <c r="K49" s="1557" t="s">
        <v>1259</v>
      </c>
      <c r="L49" s="1561"/>
      <c r="O49" s="1562" t="s">
        <v>829</v>
      </c>
      <c r="P49" s="1553" t="s">
        <v>1260</v>
      </c>
      <c r="Q49" s="1554">
        <f ca="1">C29</f>
        <v>14725</v>
      </c>
      <c r="R49" s="1554" t="s">
        <v>1253</v>
      </c>
    </row>
    <row r="50" spans="1:18" s="1518" customFormat="1" ht="13.5" thickBot="1">
      <c r="A50" s="1088"/>
      <c r="B50" s="1091"/>
      <c r="C50" s="1231"/>
      <c r="D50" s="1065"/>
      <c r="E50" s="1168" t="s">
        <v>1130</v>
      </c>
      <c r="F50" s="1169">
        <f ca="1">F7</f>
        <v>29778.85</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365</v>
      </c>
      <c r="I51" s="1566" t="s">
        <v>1264</v>
      </c>
      <c r="J51" s="1567">
        <f>IF(J49="",J50,J49+J50-YEAR('数据-取费表'!B2))</f>
        <v>58</v>
      </c>
      <c r="K51" s="1568" t="s">
        <v>1265</v>
      </c>
      <c r="L51" s="1569">
        <f ca="1">ROUND(-PV(INDIRECT("'数据-取费表'!h"&amp;$G$1),J51,(C39-C13*C76),0),0)</f>
        <v>-12124</v>
      </c>
      <c r="M51" s="1570"/>
      <c r="O51" s="1562" t="s">
        <v>831</v>
      </c>
      <c r="P51" s="1553" t="s">
        <v>1266</v>
      </c>
      <c r="Q51" s="1565">
        <f>J52</f>
        <v>8.5000000000000006E-2</v>
      </c>
      <c r="R51" s="1554"/>
    </row>
    <row r="52" spans="1:18" s="1518" customFormat="1" ht="13.5" thickBot="1">
      <c r="A52" s="1089"/>
      <c r="B52" s="1091"/>
      <c r="C52" s="1092"/>
      <c r="D52" s="1065"/>
      <c r="E52" s="1093" t="s">
        <v>1132</v>
      </c>
      <c r="F52" s="1166"/>
      <c r="I52" s="1571" t="s">
        <v>1267</v>
      </c>
      <c r="J52" s="1572">
        <v>8.5000000000000006E-2</v>
      </c>
      <c r="K52" s="1571" t="s">
        <v>1268</v>
      </c>
      <c r="L52" s="1572"/>
      <c r="O52" s="1562" t="s">
        <v>832</v>
      </c>
      <c r="P52" s="1553" t="s">
        <v>1269</v>
      </c>
      <c r="Q52" s="1554">
        <f ca="1">J53</f>
        <v>41.52</v>
      </c>
      <c r="R52" s="1554" t="s">
        <v>1270</v>
      </c>
    </row>
    <row r="53" spans="1:18" s="1518" customFormat="1" ht="24.75" thickBot="1">
      <c r="A53" s="1267" t="s">
        <v>865</v>
      </c>
      <c r="B53" s="1507" t="s">
        <v>1133</v>
      </c>
      <c r="C53" s="322">
        <f ca="1">ROUND(IF(F53="押一",C49/12*F11,IF(F53="押二",C49/12*2*F11,IF(F53="押三",C49/12*3*F11,C54*F11))),0)</f>
        <v>0</v>
      </c>
      <c r="D53" s="1500" t="s">
        <v>2613</v>
      </c>
      <c r="E53" s="319" t="s">
        <v>1134</v>
      </c>
      <c r="F53" s="1229"/>
      <c r="I53" s="1573" t="s">
        <v>1271</v>
      </c>
      <c r="J53" s="2335">
        <f ca="1">IF(M47="住宅",IF(D1="——",MAX(J51,L48),MAX(J51,L48-'数据-取费表'!B24)),IF(D1="——",MIN(J51,L48),MIN(J51,L48-'数据-取费表'!B24)))</f>
        <v>41.52</v>
      </c>
      <c r="K53" s="3494" t="s">
        <v>1272</v>
      </c>
      <c r="L53" s="3495"/>
      <c r="O53" s="1552" t="s">
        <v>833</v>
      </c>
      <c r="P53" s="1553" t="s">
        <v>1273</v>
      </c>
      <c r="Q53" s="1554">
        <f ca="1">Q47+Q48</f>
        <v>12854</v>
      </c>
      <c r="R53" s="1554" t="s">
        <v>834</v>
      </c>
    </row>
    <row r="54" spans="1:18" s="1518" customFormat="1" ht="13.5" thickBot="1">
      <c r="A54" s="1268"/>
      <c r="B54" s="1501" t="s">
        <v>1112</v>
      </c>
      <c r="C54" s="1071"/>
      <c r="D54" s="1500"/>
      <c r="E54" s="3235"/>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3235"/>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14283</v>
      </c>
      <c r="D56" s="1581"/>
      <c r="E56" s="1582"/>
      <c r="F56" s="1574"/>
      <c r="I56" s="1583" t="s">
        <v>1278</v>
      </c>
      <c r="J56" s="1584" t="s">
        <v>3243</v>
      </c>
      <c r="K56" s="1555" t="s">
        <v>1279</v>
      </c>
      <c r="L56" s="1558" t="str">
        <f ca="1">IF(L48&lt;J51,"——",L48-J53)</f>
        <v>——</v>
      </c>
      <c r="O56" s="1552" t="s">
        <v>827</v>
      </c>
      <c r="P56" s="1553" t="s">
        <v>1252</v>
      </c>
      <c r="Q56" s="1554">
        <f ca="1">C40+J29</f>
        <v>12854</v>
      </c>
      <c r="R56" s="1554" t="s">
        <v>1253</v>
      </c>
    </row>
    <row r="57" spans="1:18" s="1518" customFormat="1" ht="24.75" thickBot="1">
      <c r="A57" s="1585"/>
      <c r="B57" s="1062" t="s">
        <v>1202</v>
      </c>
      <c r="C57" s="244">
        <f ca="1">C29</f>
        <v>14725</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1327</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1239</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1161</v>
      </c>
      <c r="C61" s="24">
        <f ca="1">IF(项目基本情况!B11="自然人","——",IF(D61="按租金收入计税",ROUND(C49*F61/(1+'数据-取费表'!C42),2),IF(D61="按房产原值计税",ROUND(C57*F61*0.7,2),INDIRECT("'数据-取费表'!Aj"&amp;$G$1))))</f>
        <v>1236.9000000000001</v>
      </c>
      <c r="D61" s="1504" t="s">
        <v>1162</v>
      </c>
      <c r="E61" s="1062" t="s">
        <v>1146</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4" t="s">
        <v>1219</v>
      </c>
      <c r="B62" s="1061" t="s">
        <v>1165</v>
      </c>
      <c r="C62" s="25">
        <f ca="1">IF(项目基本情况!B11="自然人","——",ROUND(F62*F63/10000,2))</f>
        <v>2.2400000000000002</v>
      </c>
      <c r="D62" s="1077" t="s">
        <v>1166</v>
      </c>
      <c r="E62" s="1062" t="s">
        <v>1167</v>
      </c>
      <c r="F62" s="331">
        <f t="shared" si="0"/>
        <v>1.5</v>
      </c>
      <c r="I62" s="1596" t="s">
        <v>1294</v>
      </c>
      <c r="J62" s="1597" t="s">
        <v>1295</v>
      </c>
      <c r="K62" s="1597" t="s">
        <v>1296</v>
      </c>
      <c r="L62" s="1597" t="s">
        <v>1297</v>
      </c>
      <c r="M62" s="1598" t="s">
        <v>1298</v>
      </c>
      <c r="O62" s="1552" t="s">
        <v>833</v>
      </c>
      <c r="P62" s="1553" t="s">
        <v>1273</v>
      </c>
      <c r="Q62" s="1554">
        <f ca="1">Q56+Q57</f>
        <v>12854</v>
      </c>
      <c r="R62" s="1554" t="s">
        <v>834</v>
      </c>
    </row>
    <row r="63" spans="1:18" s="1518" customFormat="1" ht="13.5" thickBot="1">
      <c r="A63" s="332"/>
      <c r="B63" s="1068"/>
      <c r="C63" s="29"/>
      <c r="D63" s="1078"/>
      <c r="E63" s="1062" t="s">
        <v>1171</v>
      </c>
      <c r="F63" s="309">
        <f t="shared" ca="1" si="0"/>
        <v>14904.94</v>
      </c>
      <c r="I63" s="1596" t="s">
        <v>1300</v>
      </c>
      <c r="J63" s="1597">
        <v>70</v>
      </c>
      <c r="K63" s="1597">
        <v>50</v>
      </c>
      <c r="L63" s="1597">
        <v>80</v>
      </c>
      <c r="M63" s="1599">
        <v>0.02</v>
      </c>
      <c r="O63" s="1537" t="s">
        <v>1301</v>
      </c>
      <c r="P63" s="1515"/>
      <c r="Q63" s="1515"/>
      <c r="R63" s="1515"/>
    </row>
    <row r="64" spans="1:18" s="1518" customFormat="1" ht="13.5" thickBot="1">
      <c r="A64" s="1094" t="s">
        <v>826</v>
      </c>
      <c r="B64" s="1062" t="s">
        <v>1173</v>
      </c>
      <c r="C64" s="24">
        <f ca="1">ROUND(C57*F64,1)</f>
        <v>73.599999999999994</v>
      </c>
      <c r="D64" s="1076" t="s">
        <v>1206</v>
      </c>
      <c r="E64" s="1062" t="s">
        <v>1146</v>
      </c>
      <c r="F64" s="334">
        <f t="shared" ca="1" si="0"/>
        <v>5.0000000000000001E-3</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14.3</v>
      </c>
      <c r="D65" s="1076" t="s">
        <v>1178</v>
      </c>
      <c r="E65" s="1062" t="s">
        <v>1146</v>
      </c>
      <c r="F65" s="336">
        <f t="shared" ca="1" si="0"/>
        <v>1E-3</v>
      </c>
      <c r="I65" s="1596" t="s">
        <v>1303</v>
      </c>
      <c r="J65" s="1597">
        <v>40</v>
      </c>
      <c r="K65" s="1597">
        <v>30</v>
      </c>
      <c r="L65" s="1597">
        <v>50</v>
      </c>
      <c r="M65" s="1599">
        <v>0.02</v>
      </c>
      <c r="O65" s="1552" t="s">
        <v>827</v>
      </c>
      <c r="P65" s="1553" t="s">
        <v>1252</v>
      </c>
      <c r="Q65" s="1554">
        <f ca="1">C40+J29</f>
        <v>12854</v>
      </c>
      <c r="R65" s="1554" t="s">
        <v>1253</v>
      </c>
    </row>
    <row r="66" spans="1:18" s="1518" customFormat="1" ht="16.5" thickBot="1">
      <c r="A66" s="1094" t="s">
        <v>1228</v>
      </c>
      <c r="B66" s="1062" t="s">
        <v>1163</v>
      </c>
      <c r="C66" s="24">
        <f ca="1">ROUND(C48*F66,1)</f>
        <v>0</v>
      </c>
      <c r="D66" s="1076" t="s">
        <v>1183</v>
      </c>
      <c r="E66" s="1062" t="s">
        <v>1146</v>
      </c>
      <c r="F66" s="318">
        <f t="shared" ca="1" si="0"/>
        <v>1.4999999999999999E-2</v>
      </c>
      <c r="O66" s="1552" t="s">
        <v>828</v>
      </c>
      <c r="P66" s="1553" t="s">
        <v>1282</v>
      </c>
      <c r="Q66" s="1554">
        <f ca="1">L60</f>
        <v>0</v>
      </c>
      <c r="R66" s="1554" t="s">
        <v>1305</v>
      </c>
    </row>
    <row r="67" spans="1:18" s="1518" customFormat="1" ht="16.5" thickBot="1">
      <c r="A67" s="1069" t="s">
        <v>818</v>
      </c>
      <c r="B67" s="1079" t="s">
        <v>1187</v>
      </c>
      <c r="C67" s="322">
        <f ca="1">C48-C58</f>
        <v>-1327</v>
      </c>
      <c r="D67" s="1075" t="s">
        <v>1188</v>
      </c>
      <c r="E67" s="1080"/>
      <c r="F67" s="1081"/>
      <c r="O67" s="1562" t="s">
        <v>829</v>
      </c>
      <c r="P67" s="1553" t="s">
        <v>1286</v>
      </c>
      <c r="Q67" s="1600">
        <f ca="1">L51</f>
        <v>-12124</v>
      </c>
      <c r="R67" s="1554" t="s">
        <v>1306</v>
      </c>
    </row>
    <row r="68" spans="1:18" s="1518" customFormat="1" ht="16.5" thickBot="1">
      <c r="A68" s="1059" t="s">
        <v>819</v>
      </c>
      <c r="B68" s="1060" t="s">
        <v>1209</v>
      </c>
      <c r="C68" s="307">
        <f ca="1">ROUND(C67*(1-((1+F70)/(1+F68))^F69)/(F68-F70),0)</f>
        <v>-23040</v>
      </c>
      <c r="D68" s="1077" t="s">
        <v>1193</v>
      </c>
      <c r="E68" s="1062" t="s">
        <v>1194</v>
      </c>
      <c r="F68" s="318">
        <f ca="1">F40</f>
        <v>4.9999999999999996E-2</v>
      </c>
      <c r="O68" s="1562" t="s">
        <v>830</v>
      </c>
      <c r="P68" s="1601" t="s">
        <v>1307</v>
      </c>
      <c r="Q68" s="1554">
        <f ca="1">ROUND(Q69-Q70*Q71,0)</f>
        <v>-592</v>
      </c>
      <c r="R68" s="1554" t="s">
        <v>838</v>
      </c>
    </row>
    <row r="69" spans="1:18" s="1518" customFormat="1" ht="13.5" thickBot="1">
      <c r="A69" s="1063"/>
      <c r="B69" s="1064"/>
      <c r="C69" s="312"/>
      <c r="D69" s="1082" t="s">
        <v>1197</v>
      </c>
      <c r="E69" s="1062" t="s">
        <v>1198</v>
      </c>
      <c r="F69" s="339">
        <f ca="1">F41</f>
        <v>41.52</v>
      </c>
      <c r="O69" s="1562" t="s">
        <v>835</v>
      </c>
      <c r="P69" s="1601" t="s">
        <v>1308</v>
      </c>
      <c r="Q69" s="1554">
        <f ca="1">C39</f>
        <v>551</v>
      </c>
      <c r="R69" s="1554" t="s">
        <v>1253</v>
      </c>
    </row>
    <row r="70" spans="1:18" s="1518" customFormat="1" ht="13.5" thickBot="1">
      <c r="A70" s="1066"/>
      <c r="B70" s="1067"/>
      <c r="C70" s="316"/>
      <c r="D70" s="1078"/>
      <c r="E70" s="1062" t="s">
        <v>1201</v>
      </c>
      <c r="F70" s="1166"/>
      <c r="O70" s="1562" t="s">
        <v>836</v>
      </c>
      <c r="P70" s="1601" t="s">
        <v>1309</v>
      </c>
      <c r="Q70" s="1554">
        <f ca="1">C13</f>
        <v>14283</v>
      </c>
      <c r="R70" s="1554" t="s">
        <v>1253</v>
      </c>
    </row>
    <row r="71" spans="1:18" s="1518" customFormat="1" ht="13.5" thickBot="1">
      <c r="A71" s="1083" t="s">
        <v>820</v>
      </c>
      <c r="B71" s="1084" t="s">
        <v>1211</v>
      </c>
      <c r="C71" s="342">
        <f ca="1">ROUND(C68*10000/F71,0)</f>
        <v>-7737</v>
      </c>
      <c r="D71" s="1085" t="s">
        <v>1212</v>
      </c>
      <c r="E71" s="1086" t="s">
        <v>1213</v>
      </c>
      <c r="F71" s="345">
        <f ca="1">F43</f>
        <v>29778.85</v>
      </c>
      <c r="O71" s="1562" t="s">
        <v>837</v>
      </c>
      <c r="P71" s="1601" t="s">
        <v>1310</v>
      </c>
      <c r="Q71" s="1565">
        <f ca="1">C76</f>
        <v>0.08</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1143</v>
      </c>
      <c r="D75" s="1518"/>
      <c r="E75" s="1518"/>
      <c r="F75" s="1518"/>
      <c r="K75" s="1536"/>
      <c r="L75" s="1518"/>
      <c r="O75" s="1552" t="s">
        <v>833</v>
      </c>
      <c r="P75" s="1553" t="s">
        <v>1273</v>
      </c>
      <c r="Q75" s="1554">
        <f ca="1">Q65+Q66</f>
        <v>12854</v>
      </c>
      <c r="R75" s="1554" t="s">
        <v>834</v>
      </c>
    </row>
    <row r="76" spans="1:18">
      <c r="B76" s="348" t="s">
        <v>1231</v>
      </c>
      <c r="C76" s="349">
        <f ca="1">INDIRECT("'数据-取费表'!j"&amp;$G$1)</f>
        <v>0.08</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-1.0739999999999998</v>
      </c>
    </row>
    <row r="80" spans="1:18">
      <c r="B80" s="346" t="s">
        <v>1235</v>
      </c>
      <c r="C80" s="280">
        <f ca="1">ROUND(C75/C39,3)</f>
        <v>2.0739999999999998</v>
      </c>
    </row>
    <row r="81" spans="2:3">
      <c r="B81" s="276" t="s">
        <v>1236</v>
      </c>
      <c r="C81" s="244"/>
    </row>
    <row r="82" spans="2:3">
      <c r="B82" s="279" t="s">
        <v>1237</v>
      </c>
      <c r="C82" s="281">
        <f ca="1">1-C83</f>
        <v>-0.11099999999999999</v>
      </c>
    </row>
    <row r="83" spans="2:3">
      <c r="B83" s="279" t="s">
        <v>1238</v>
      </c>
      <c r="C83" s="280">
        <f ca="1">ROUND(C13/C40,3)</f>
        <v>1.111</v>
      </c>
    </row>
  </sheetData>
  <sheetProtection formatCells="0" formatColumns="0" formatRows="0"/>
  <mergeCells count="3">
    <mergeCell ref="B6:B9"/>
    <mergeCell ref="I6:I9"/>
    <mergeCell ref="K53:L53"/>
  </mergeCells>
  <phoneticPr fontId="140"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4">
        <f ca="1">J53</f>
        <v>0</v>
      </c>
      <c r="G1" s="1512">
        <f>MATCH(C1,'数据-取费表'!A6:A16,0)+5</f>
        <v>9</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83"/>
      <c r="H2" s="2872"/>
      <c r="I2" s="2872"/>
      <c r="J2" s="2872"/>
      <c r="K2" s="2873"/>
      <c r="L2" s="2872"/>
      <c r="M2" s="2872"/>
    </row>
    <row r="3" spans="1:37" ht="18" customHeight="1" thickBot="1">
      <c r="A3" s="1524" t="s">
        <v>1317</v>
      </c>
      <c r="B3" s="1525">
        <f ca="1">IF(ISERROR(D2/F43),0,ROUND(D2/F43,0))</f>
        <v>0</v>
      </c>
      <c r="C3" s="1521" t="s">
        <v>1318</v>
      </c>
      <c r="D3" s="1521"/>
      <c r="E3" s="1522"/>
      <c r="F3" s="1523"/>
      <c r="G3" s="2883"/>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3">
        <f ca="1">C6+C10+C12</f>
        <v>0</v>
      </c>
      <c r="D5" s="1498" t="s">
        <v>1325</v>
      </c>
      <c r="E5" s="1184"/>
      <c r="F5" s="1185"/>
      <c r="G5" s="1518"/>
      <c r="H5" s="305">
        <v>1</v>
      </c>
      <c r="I5" s="306" t="s">
        <v>1324</v>
      </c>
      <c r="J5" s="1183">
        <f ca="1">J6+J10+J12</f>
        <v>0</v>
      </c>
      <c r="K5" s="1498" t="s">
        <v>1325</v>
      </c>
      <c r="L5" s="1184"/>
      <c r="M5" s="1185"/>
    </row>
    <row r="6" spans="1:37" ht="18" customHeight="1">
      <c r="A6" s="1182" t="s">
        <v>822</v>
      </c>
      <c r="B6" s="3491" t="s">
        <v>1127</v>
      </c>
      <c r="C6" s="1187">
        <f ca="1">ROUND(F6*F8*F7*(1-F9),0)</f>
        <v>0</v>
      </c>
      <c r="D6" s="160" t="s">
        <v>2603</v>
      </c>
      <c r="E6" s="308" t="s">
        <v>1129</v>
      </c>
      <c r="F6" s="309">
        <f ca="1">INDIRECT("'数据-取费表'!u"&amp;$G$1)</f>
        <v>0</v>
      </c>
      <c r="G6" s="1518"/>
      <c r="H6" s="1182" t="s">
        <v>822</v>
      </c>
      <c r="I6" s="3491" t="s">
        <v>1127</v>
      </c>
      <c r="J6" s="307">
        <f ca="1">ROUND(M6*M8*M7*(1-M9),0)</f>
        <v>0</v>
      </c>
      <c r="K6" s="1510" t="s">
        <v>2604</v>
      </c>
      <c r="L6" s="308" t="s">
        <v>1129</v>
      </c>
      <c r="M6" s="309">
        <f ca="1">INDIRECT("'数据-取费表'!z"&amp;$G$1)</f>
        <v>0</v>
      </c>
    </row>
    <row r="7" spans="1:37" ht="18" customHeight="1">
      <c r="A7" s="1186"/>
      <c r="B7" s="3492"/>
      <c r="C7" s="1188"/>
      <c r="D7" s="313"/>
      <c r="E7" s="1189" t="s">
        <v>1130</v>
      </c>
      <c r="F7" s="309">
        <f ca="1">IF(INDIRECT("'数据-取费表'!ah"&amp;$G$1)="",INDIRECT("'数据-取费表'!k"&amp;$G$1),INDIRECT("'数据-取费表'!ah"&amp;$G$1))</f>
        <v>0</v>
      </c>
      <c r="G7" s="1518"/>
      <c r="H7" s="310"/>
      <c r="I7" s="3492"/>
      <c r="J7" s="312"/>
      <c r="K7" s="313"/>
      <c r="L7" s="308" t="s">
        <v>1130</v>
      </c>
      <c r="M7" s="309">
        <f ca="1">F7</f>
        <v>0</v>
      </c>
    </row>
    <row r="8" spans="1:37" ht="18" customHeight="1">
      <c r="A8" s="310"/>
      <c r="B8" s="3492"/>
      <c r="C8" s="312"/>
      <c r="D8" s="313"/>
      <c r="E8" s="308" t="s">
        <v>1131</v>
      </c>
      <c r="F8" s="309">
        <f ca="1">INDIRECT("'数据-取费表'!ai"&amp;$G$1)</f>
        <v>0</v>
      </c>
      <c r="G8" s="1518"/>
      <c r="H8" s="310"/>
      <c r="I8" s="3492"/>
      <c r="J8" s="312"/>
      <c r="K8" s="313"/>
      <c r="L8" s="308" t="s">
        <v>1131</v>
      </c>
      <c r="M8" s="309">
        <f ca="1">INDIRECT("'数据-取费表'!ai"&amp;$G$1)</f>
        <v>0</v>
      </c>
    </row>
    <row r="9" spans="1:37" ht="18" customHeight="1">
      <c r="A9" s="310"/>
      <c r="B9" s="3493"/>
      <c r="C9" s="312"/>
      <c r="D9" s="313"/>
      <c r="E9" s="308" t="s">
        <v>1132</v>
      </c>
      <c r="F9" s="318">
        <f ca="1">INDIRECT("'数据-取费表'!w"&amp;$G$1)</f>
        <v>0</v>
      </c>
      <c r="G9" s="1518"/>
      <c r="H9" s="310"/>
      <c r="I9" s="3493"/>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2613</v>
      </c>
      <c r="E10" s="319" t="s">
        <v>1134</v>
      </c>
      <c r="F10" s="1229"/>
      <c r="G10" s="1518"/>
      <c r="H10" s="1182" t="s">
        <v>826</v>
      </c>
      <c r="I10" s="1499" t="s">
        <v>1133</v>
      </c>
      <c r="J10" s="307">
        <f ca="1">ROUND(IF(M10="押一",J6/12*M11,IF(M10="押二",J6/12*2*M11,IF(M10="押三",J6/12*3*M11,J11*M11))),0)</f>
        <v>0</v>
      </c>
      <c r="K10" s="1511" t="s">
        <v>2615</v>
      </c>
      <c r="L10" s="319" t="s">
        <v>1134</v>
      </c>
      <c r="M10" s="1229"/>
    </row>
    <row r="11" spans="1:37" ht="18" customHeight="1">
      <c r="A11" s="314"/>
      <c r="B11" s="1501" t="s">
        <v>1326</v>
      </c>
      <c r="C11" s="1071"/>
      <c r="D11" s="313"/>
      <c r="E11" s="319" t="s">
        <v>1136</v>
      </c>
      <c r="F11" s="320">
        <f ca="1">'数据-取费表'!B39</f>
        <v>1.4999999999999999E-2</v>
      </c>
      <c r="G11" s="1518"/>
      <c r="H11" s="1190"/>
      <c r="I11" s="1501" t="s">
        <v>1327</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8"/>
      <c r="H13" s="1192">
        <v>2</v>
      </c>
      <c r="I13" s="1193" t="s">
        <v>1138</v>
      </c>
      <c r="J13" s="1181">
        <f ca="1">ROUND(J14*J15,0)</f>
        <v>0</v>
      </c>
      <c r="K13" s="1200" t="s">
        <v>1139</v>
      </c>
      <c r="L13" s="1526"/>
      <c r="M13" s="1527"/>
    </row>
    <row r="14" spans="1:37" ht="18" customHeight="1">
      <c r="A14" s="1094" t="s">
        <v>821</v>
      </c>
      <c r="B14" s="308" t="s">
        <v>1141</v>
      </c>
      <c r="C14" s="324">
        <f ca="1">ROUND(INDIRECT("'数据-取费表'!l"&amp;$G$1)*F43+'数据-取费表'!L14*INDIRECT("'数据-取费表'!S"&amp;$G$1),0)</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2" t="s">
        <v>817</v>
      </c>
      <c r="I16" s="1193" t="s">
        <v>1148</v>
      </c>
      <c r="J16" s="316">
        <f ca="1">ROUND(J17+J22+J23+J24,0)</f>
        <v>0</v>
      </c>
      <c r="K16" s="1200" t="s">
        <v>1149</v>
      </c>
      <c r="L16" s="1201"/>
      <c r="M16" s="1185"/>
    </row>
    <row r="17" spans="1:37" s="1531" customFormat="1" ht="18" customHeight="1">
      <c r="A17" s="1094" t="s">
        <v>1114</v>
      </c>
      <c r="B17" s="308" t="s">
        <v>1150</v>
      </c>
      <c r="C17" s="24">
        <f ca="1">ROUND(F17*(F43+INDIRECT("'数据-取费表'!S"&amp;$G$1)),0)</f>
        <v>0</v>
      </c>
      <c r="D17" s="308" t="s">
        <v>1151</v>
      </c>
      <c r="E17" s="308" t="s">
        <v>1152</v>
      </c>
      <c r="F17" s="26">
        <f>'数据-取费表'!B35</f>
        <v>100</v>
      </c>
      <c r="G17" s="1530"/>
      <c r="H17" s="1094" t="s">
        <v>822</v>
      </c>
      <c r="I17" s="308" t="s">
        <v>1153</v>
      </c>
      <c r="J17" s="2483">
        <f ca="1">ROUND(IF(AND(项目基本情况!B11="自然人",项目基本情况!B10="北京市"),J6*M17/(1+'数据-取费表'!C42),J18+J19+J20),0)</f>
        <v>0</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0.02</v>
      </c>
      <c r="G20" s="1530"/>
      <c r="H20" s="1094" t="s">
        <v>1113</v>
      </c>
      <c r="I20" s="160" t="s">
        <v>1165</v>
      </c>
      <c r="J20" s="25">
        <f ca="1">ROUND(M20*M21,0)</f>
        <v>0</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0.01</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ROUND(J14*M22,0)</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0"/>
      <c r="H24" s="1202" t="s">
        <v>1117</v>
      </c>
      <c r="I24" s="1203" t="s">
        <v>1163</v>
      </c>
      <c r="J24" s="1204">
        <f ca="1">ROUND(J5*M24,0)</f>
        <v>0</v>
      </c>
      <c r="K24" s="1205" t="s">
        <v>1183</v>
      </c>
      <c r="L24" s="1203" t="s">
        <v>1179</v>
      </c>
      <c r="M24" s="1199">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0</v>
      </c>
      <c r="D29" s="1205"/>
      <c r="E29" s="1203"/>
      <c r="F29" s="1206"/>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0</v>
      </c>
      <c r="D30" s="1200" t="s">
        <v>1149</v>
      </c>
      <c r="E30" s="1201"/>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0</v>
      </c>
      <c r="D31" s="1479" t="s">
        <v>1154</v>
      </c>
      <c r="E31" s="1478"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IF(项目基本情况!B11="自然人","——",ROUND(C6*F32/(1+'数据-取费表'!C42),0))</f>
        <v>0</v>
      </c>
      <c r="D32" s="1478"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7"/>
      <c r="I33" s="1532"/>
      <c r="J33" s="1533"/>
      <c r="K33" s="2878"/>
      <c r="L33" s="2877"/>
      <c r="M33" s="2877"/>
    </row>
    <row r="34" spans="1:18" ht="18" customHeight="1">
      <c r="A34" s="1182" t="s">
        <v>1113</v>
      </c>
      <c r="B34" s="160" t="s">
        <v>1165</v>
      </c>
      <c r="C34" s="25">
        <f ca="1">IF(项目基本情况!B11="自然人","——",ROUND(F34*F35,))</f>
        <v>0</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0</v>
      </c>
      <c r="G35" s="1518"/>
      <c r="H35" s="2874"/>
      <c r="I35" s="1532"/>
      <c r="J35" s="1533"/>
      <c r="K35" s="2878"/>
      <c r="L35" s="2877"/>
      <c r="M35" s="2877"/>
    </row>
    <row r="36" spans="1:18" ht="18" customHeight="1">
      <c r="A36" s="1215" t="s">
        <v>826</v>
      </c>
      <c r="B36" s="308" t="s">
        <v>1173</v>
      </c>
      <c r="C36" s="24">
        <f ca="1">ROUND(C29*F36,0)</f>
        <v>0</v>
      </c>
      <c r="D36" s="1478" t="s">
        <v>1206</v>
      </c>
      <c r="E36" s="308" t="s">
        <v>1146</v>
      </c>
      <c r="F36" s="334">
        <f ca="1">INDIRECT("'数据-取费表'!Ak"&amp;$G$1)</f>
        <v>0</v>
      </c>
      <c r="G36" s="1518"/>
      <c r="H36" s="2877"/>
      <c r="I36" s="1532"/>
      <c r="J36" s="1533"/>
      <c r="K36" s="2718"/>
      <c r="L36" s="2877"/>
      <c r="M36" s="2877"/>
    </row>
    <row r="37" spans="1:18" ht="18" customHeight="1">
      <c r="A37" s="1094" t="s">
        <v>862</v>
      </c>
      <c r="B37" s="308" t="s">
        <v>1177</v>
      </c>
      <c r="C37" s="24">
        <f ca="1">ROUND(C13*F37,0)</f>
        <v>0</v>
      </c>
      <c r="D37" s="1478" t="s">
        <v>1178</v>
      </c>
      <c r="E37" s="308" t="s">
        <v>1179</v>
      </c>
      <c r="F37" s="336">
        <f ca="1">INDIRECT("'数据-取费表'!Al"&amp;$G$1)</f>
        <v>0</v>
      </c>
      <c r="G37" s="1518"/>
      <c r="H37" s="2877"/>
      <c r="I37" s="1532"/>
      <c r="J37" s="1533"/>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8"/>
      <c r="H38" s="2877"/>
      <c r="I38" s="1532"/>
      <c r="J38" s="1533"/>
      <c r="K38" s="2881"/>
      <c r="L38" s="2877"/>
      <c r="M38" s="2877"/>
    </row>
    <row r="39" spans="1:18" ht="24.6" customHeight="1" thickTop="1">
      <c r="A39" s="1192" t="s">
        <v>818</v>
      </c>
      <c r="B39" s="1207" t="s">
        <v>1207</v>
      </c>
      <c r="C39" s="316">
        <f ca="1">C5-C30</f>
        <v>0</v>
      </c>
      <c r="D39" s="1208" t="s">
        <v>1208</v>
      </c>
      <c r="E39" s="1209"/>
      <c r="F39" s="1210"/>
      <c r="G39" s="1518"/>
      <c r="H39" s="2877"/>
      <c r="I39" s="1532"/>
      <c r="J39" s="1533"/>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8"/>
      <c r="L41" s="1305"/>
      <c r="M41" s="1305"/>
    </row>
    <row r="42" spans="1:18" ht="18" customHeight="1">
      <c r="A42" s="314"/>
      <c r="B42" s="315"/>
      <c r="C42" s="316"/>
      <c r="D42" s="333"/>
      <c r="E42" s="308" t="s">
        <v>1201</v>
      </c>
      <c r="F42" s="318">
        <f ca="1">INDIRECT("'数据-取费表'!v"&amp;$G$1)</f>
        <v>0</v>
      </c>
      <c r="G42" s="1518"/>
      <c r="H42" s="1305"/>
      <c r="I42" s="1532"/>
      <c r="J42" s="1533"/>
      <c r="K42" s="2718"/>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090" t="s">
        <v>1122</v>
      </c>
      <c r="D47" s="1090" t="s">
        <v>1123</v>
      </c>
      <c r="E47" s="1170" t="s">
        <v>1124</v>
      </c>
      <c r="F47" s="1171"/>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3" t="s">
        <v>863</v>
      </c>
      <c r="B48" s="306" t="s">
        <v>1125</v>
      </c>
      <c r="C48" s="1493">
        <f ca="1">C49+C53+C55</f>
        <v>0</v>
      </c>
      <c r="D48" s="1225"/>
      <c r="E48" s="1226"/>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7">
        <f ca="1">ROUND(F49*F51*F50*(1-F52),0)</f>
        <v>0</v>
      </c>
      <c r="D49" s="1167" t="s">
        <v>1128</v>
      </c>
      <c r="E49" s="1506" t="s">
        <v>1215</v>
      </c>
      <c r="F49" s="1172"/>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092"/>
      <c r="D50" s="1065"/>
      <c r="E50" s="1168" t="s">
        <v>1130</v>
      </c>
      <c r="F50" s="1169">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6"/>
      <c r="I52" s="1571" t="s">
        <v>1267</v>
      </c>
      <c r="J52" s="1572"/>
      <c r="K52" s="1571" t="s">
        <v>1268</v>
      </c>
      <c r="L52" s="1572"/>
      <c r="O52" s="1562" t="s">
        <v>832</v>
      </c>
      <c r="P52" s="1553" t="s">
        <v>1269</v>
      </c>
      <c r="Q52" s="1554">
        <f ca="1">J53</f>
        <v>0</v>
      </c>
      <c r="R52" s="1554" t="s">
        <v>1270</v>
      </c>
    </row>
    <row r="53" spans="1:18" s="1518" customFormat="1" ht="30.75" customHeight="1" thickBot="1">
      <c r="A53" s="1224" t="s">
        <v>865</v>
      </c>
      <c r="B53" s="329" t="s">
        <v>1133</v>
      </c>
      <c r="C53" s="322">
        <f ca="1">ROUND(IF(F53="押一",C49/12*F11,IF(F53="押二",C49/12*2*F11,IF(F53="押三",C49/12*3*F11,C54*F11))),0)</f>
        <v>0</v>
      </c>
      <c r="D53" s="1500" t="s">
        <v>2616</v>
      </c>
      <c r="E53" s="319" t="s">
        <v>1134</v>
      </c>
      <c r="F53" s="1229"/>
      <c r="I53" s="1573" t="s">
        <v>1271</v>
      </c>
      <c r="J53" s="2335">
        <f ca="1">IF(M47="住宅",IF(D1="——",MAX(J51,L48),MAX(J51,L48-'数据-取费表'!B24)),IF(D1="——",MIN(J51,L48),MIN(J51,L48-'数据-取费表'!B24)))</f>
        <v>0</v>
      </c>
      <c r="K53" s="3494" t="s">
        <v>1272</v>
      </c>
      <c r="L53" s="3495"/>
      <c r="O53" s="1552" t="s">
        <v>833</v>
      </c>
      <c r="P53" s="1553" t="s">
        <v>1273</v>
      </c>
      <c r="Q53" s="1554" t="e">
        <f ca="1">Q47+Q48</f>
        <v>#DIV/0!</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0</v>
      </c>
      <c r="D59" s="1075" t="s">
        <v>1154</v>
      </c>
      <c r="E59" s="1076" t="s">
        <v>1155</v>
      </c>
      <c r="F59" s="2482"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IF(项目基本情况!B11="自然人","——",ROUND(F62*F63,0))</f>
        <v>0</v>
      </c>
      <c r="D62" s="1077" t="s">
        <v>1221</v>
      </c>
      <c r="E62" s="1062" t="s">
        <v>1222</v>
      </c>
      <c r="F62" s="331">
        <f t="shared" si="0"/>
        <v>1.5</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ROUND(C48*F66,0)</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6">
        <f ca="1">F42</f>
        <v>0</v>
      </c>
      <c r="O70" s="1562" t="s">
        <v>836</v>
      </c>
      <c r="P70" s="1601" t="s">
        <v>1309</v>
      </c>
      <c r="Q70" s="1554">
        <f ca="1">C13</f>
        <v>0</v>
      </c>
      <c r="R70" s="1554" t="s">
        <v>1253</v>
      </c>
    </row>
    <row r="71" spans="1:18" s="1518" customFormat="1" ht="13.5" thickBot="1">
      <c r="A71" s="1083" t="s">
        <v>820</v>
      </c>
      <c r="B71" s="1084" t="s">
        <v>1211</v>
      </c>
      <c r="C71" s="342" t="e">
        <f ca="1">ROUND(C68/F71,0)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2937</v>
      </c>
      <c r="B1" s="3011"/>
      <c r="C1" s="3023"/>
      <c r="D1" s="3023"/>
      <c r="E1" s="3012"/>
      <c r="F1" s="3013"/>
      <c r="G1" s="3014"/>
      <c r="J1" s="3017" t="s">
        <v>2816</v>
      </c>
      <c r="K1" s="3018"/>
      <c r="L1" s="3018"/>
      <c r="M1" s="3018"/>
      <c r="N1" s="3018"/>
      <c r="O1" s="3018"/>
      <c r="P1" s="3018"/>
      <c r="Q1" s="3018"/>
      <c r="R1" s="3019"/>
      <c r="S1" s="3020"/>
      <c r="T1" s="3020"/>
      <c r="U1" s="3020"/>
    </row>
    <row r="2" spans="1:22" s="3032" customFormat="1" ht="13.15" customHeight="1">
      <c r="A2" s="1519" t="s">
        <v>2817</v>
      </c>
      <c r="B2" s="3022" t="e">
        <f>C40</f>
        <v>#DIV/0!</v>
      </c>
      <c r="C2" s="3023" t="s">
        <v>2818</v>
      </c>
      <c r="D2" s="3023"/>
      <c r="E2" s="3024"/>
      <c r="F2" s="3025"/>
      <c r="G2" s="3026"/>
      <c r="H2" s="3027"/>
      <c r="I2" s="3028"/>
      <c r="J2" s="3502" t="s">
        <v>2819</v>
      </c>
      <c r="K2" s="3503"/>
      <c r="L2" s="3029" t="s">
        <v>2820</v>
      </c>
      <c r="M2" s="3029" t="s">
        <v>2821</v>
      </c>
      <c r="N2" s="3029" t="s">
        <v>2822</v>
      </c>
      <c r="O2" s="3029" t="s">
        <v>2823</v>
      </c>
      <c r="P2" s="3029" t="s">
        <v>2824</v>
      </c>
      <c r="Q2" s="3030" t="s">
        <v>2825</v>
      </c>
      <c r="R2" s="3031" t="s">
        <v>2826</v>
      </c>
      <c r="S2" s="3020"/>
      <c r="T2" s="3020"/>
      <c r="U2" s="3020"/>
      <c r="V2" s="3028"/>
    </row>
    <row r="3" spans="1:22" s="3032" customFormat="1" ht="13.15" customHeight="1">
      <c r="A3" s="3033" t="s">
        <v>2827</v>
      </c>
      <c r="B3" s="3034" t="e">
        <f>ROUND(B2*10000/B4,0)</f>
        <v>#DIV/0!</v>
      </c>
      <c r="C3" s="3023" t="s">
        <v>2828</v>
      </c>
      <c r="D3" s="3023"/>
      <c r="E3" s="3024"/>
      <c r="F3" s="3025"/>
      <c r="G3" s="3026"/>
      <c r="H3" s="3027"/>
      <c r="I3" s="3028"/>
      <c r="J3" s="3504" t="s">
        <v>2829</v>
      </c>
      <c r="K3" s="3505"/>
      <c r="L3" s="3035"/>
      <c r="M3" s="3035"/>
      <c r="N3" s="3035"/>
      <c r="O3" s="3035"/>
      <c r="P3" s="3035"/>
      <c r="Q3" s="3036"/>
      <c r="R3" s="3037">
        <f>SUM(L3:Q3)</f>
        <v>0</v>
      </c>
      <c r="S3" s="3020"/>
      <c r="T3" s="3020"/>
      <c r="U3" s="3020"/>
      <c r="V3" s="3028"/>
    </row>
    <row r="4" spans="1:22" s="3032" customFormat="1" ht="13.15" customHeight="1">
      <c r="A4" s="3038" t="s">
        <v>2830</v>
      </c>
      <c r="B4" s="3039"/>
      <c r="C4" s="3023"/>
      <c r="D4" s="3023"/>
      <c r="E4" s="3024"/>
      <c r="F4" s="3025"/>
      <c r="G4" s="3026"/>
      <c r="H4" s="3027"/>
      <c r="I4" s="3028"/>
      <c r="J4" s="3504" t="s">
        <v>2831</v>
      </c>
      <c r="K4" s="3505"/>
      <c r="L4" s="3040"/>
      <c r="M4" s="3040"/>
      <c r="N4" s="3040"/>
      <c r="O4" s="3040"/>
      <c r="P4" s="3040"/>
      <c r="Q4" s="3041"/>
      <c r="R4" s="3042">
        <f>SUM(L4:Q4)</f>
        <v>0</v>
      </c>
      <c r="S4" s="3020"/>
      <c r="T4" s="3020"/>
      <c r="U4" s="3020"/>
      <c r="V4" s="3028"/>
    </row>
    <row r="5" spans="1:22" s="3032" customFormat="1" ht="13.15" customHeight="1" thickBot="1">
      <c r="A5" s="3043" t="s">
        <v>2832</v>
      </c>
      <c r="B5" s="3044"/>
      <c r="C5" s="3023"/>
      <c r="D5" s="3045"/>
      <c r="E5" s="3025"/>
      <c r="F5" s="3025"/>
      <c r="G5" s="3026"/>
      <c r="H5" s="3027"/>
      <c r="I5" s="3028"/>
      <c r="J5" s="3046" t="s">
        <v>2833</v>
      </c>
      <c r="K5" s="3047"/>
      <c r="L5" s="3047"/>
      <c r="M5" s="3048"/>
      <c r="N5" s="3048"/>
      <c r="O5" s="3048"/>
      <c r="P5" s="3048"/>
      <c r="Q5" s="3048"/>
      <c r="R5" s="3031">
        <f>SUM(R14,R19,R24,R25,R27,R28)</f>
        <v>0</v>
      </c>
      <c r="S5" s="3020"/>
      <c r="T5" s="3020" t="s">
        <v>2834</v>
      </c>
      <c r="U5" s="3020" t="e">
        <f>ROUND(R5*10000/365/R3,1)</f>
        <v>#DIV/0!</v>
      </c>
      <c r="V5" s="3028"/>
    </row>
    <row r="6" spans="1:22" s="3032" customFormat="1" ht="13.15" customHeight="1" thickBot="1">
      <c r="A6" s="3510" t="s">
        <v>2835</v>
      </c>
      <c r="B6" s="3511"/>
      <c r="C6" s="3512"/>
      <c r="D6" s="3049"/>
      <c r="E6" s="3050"/>
      <c r="F6" s="3051"/>
      <c r="G6" s="3052"/>
      <c r="H6" s="3027"/>
      <c r="I6" s="3028"/>
      <c r="J6" s="3496">
        <v>1</v>
      </c>
      <c r="K6" s="3497" t="s">
        <v>2836</v>
      </c>
      <c r="L6" s="3053" t="s">
        <v>2837</v>
      </c>
      <c r="M6" s="3054" t="s">
        <v>2838</v>
      </c>
      <c r="N6" s="3054" t="s">
        <v>2839</v>
      </c>
      <c r="O6" s="3054" t="s">
        <v>2840</v>
      </c>
      <c r="P6" s="3054" t="s">
        <v>2841</v>
      </c>
      <c r="Q6" s="3054" t="s">
        <v>2842</v>
      </c>
      <c r="R6" s="3037" t="s">
        <v>2843</v>
      </c>
      <c r="S6" s="3020"/>
      <c r="T6" s="3020" t="s">
        <v>2844</v>
      </c>
      <c r="U6" s="3020"/>
      <c r="V6" s="3028"/>
    </row>
    <row r="7" spans="1:22" s="3032" customFormat="1" ht="13.15" customHeight="1">
      <c r="A7" s="3055" t="s">
        <v>2845</v>
      </c>
      <c r="B7" s="3056"/>
      <c r="C7" s="3057"/>
      <c r="D7" s="3058">
        <f>SUM(D9,D10,D11,D17,0)</f>
        <v>0</v>
      </c>
      <c r="E7" s="3059" t="e">
        <f>E9+E10+E11+E17</f>
        <v>#DIV/0!</v>
      </c>
      <c r="F7" s="3060"/>
      <c r="G7" s="3061"/>
      <c r="H7" s="3027"/>
      <c r="I7" s="3028"/>
      <c r="J7" s="3496"/>
      <c r="K7" s="3498"/>
      <c r="L7" s="3062" t="s">
        <v>2846</v>
      </c>
      <c r="M7" s="3063"/>
      <c r="N7" s="3039"/>
      <c r="O7" s="3064"/>
      <c r="P7" s="3064"/>
      <c r="Q7" s="3065">
        <v>365</v>
      </c>
      <c r="R7" s="3066">
        <f>ROUND(M7*N7*O7*P7*Q7/10000,0)</f>
        <v>0</v>
      </c>
      <c r="S7" s="3020"/>
      <c r="T7" s="3020" t="s">
        <v>2847</v>
      </c>
      <c r="U7" s="3020"/>
      <c r="V7" s="3028"/>
    </row>
    <row r="8" spans="1:22" s="3032" customFormat="1" ht="13.15" customHeight="1">
      <c r="A8" s="3067" t="s">
        <v>2848</v>
      </c>
      <c r="B8" s="3513" t="s">
        <v>2849</v>
      </c>
      <c r="C8" s="3514"/>
      <c r="D8" s="3068" t="s">
        <v>2850</v>
      </c>
      <c r="E8" s="3069" t="s">
        <v>2851</v>
      </c>
      <c r="F8" s="3070" t="s">
        <v>2852</v>
      </c>
      <c r="G8" s="3071"/>
      <c r="H8" s="3027"/>
      <c r="I8" s="3028"/>
      <c r="J8" s="3496"/>
      <c r="K8" s="3498"/>
      <c r="L8" s="3062" t="s">
        <v>2853</v>
      </c>
      <c r="M8" s="3063"/>
      <c r="N8" s="3039"/>
      <c r="O8" s="3064"/>
      <c r="P8" s="3064"/>
      <c r="Q8" s="3065">
        <v>365</v>
      </c>
      <c r="R8" s="3066">
        <f t="shared" ref="R8:R13" si="0">ROUND(M8*N8*O8*P8*Q8/10000,0)</f>
        <v>0</v>
      </c>
      <c r="S8" s="3020"/>
      <c r="T8" s="3020" t="s">
        <v>2854</v>
      </c>
      <c r="U8" s="3020"/>
      <c r="V8" s="3028"/>
    </row>
    <row r="9" spans="1:22" s="3032" customFormat="1" ht="13.15" customHeight="1">
      <c r="A9" s="3067">
        <v>1</v>
      </c>
      <c r="B9" s="3513" t="s">
        <v>2855</v>
      </c>
      <c r="C9" s="3514"/>
      <c r="D9" s="3068">
        <f>ROUND(D6*E9,0)</f>
        <v>0</v>
      </c>
      <c r="E9" s="3072"/>
      <c r="F9" s="3073" t="s">
        <v>2856</v>
      </c>
      <c r="G9" s="3052"/>
      <c r="H9" s="3027"/>
      <c r="I9" s="3028"/>
      <c r="J9" s="3496"/>
      <c r="K9" s="3498"/>
      <c r="L9" s="3062" t="s">
        <v>2857</v>
      </c>
      <c r="M9" s="3063"/>
      <c r="N9" s="3039"/>
      <c r="O9" s="3064"/>
      <c r="P9" s="3064"/>
      <c r="Q9" s="3065">
        <v>365</v>
      </c>
      <c r="R9" s="3066">
        <f t="shared" si="0"/>
        <v>0</v>
      </c>
      <c r="S9" s="3020"/>
      <c r="T9" s="3020"/>
      <c r="U9" s="3020"/>
      <c r="V9" s="3028"/>
    </row>
    <row r="10" spans="1:22" s="3032" customFormat="1" ht="13.15" customHeight="1">
      <c r="A10" s="3067">
        <v>2</v>
      </c>
      <c r="B10" s="3513" t="s">
        <v>2858</v>
      </c>
      <c r="C10" s="3514"/>
      <c r="D10" s="3068">
        <f>ROUND(D6*E10,0)</f>
        <v>0</v>
      </c>
      <c r="E10" s="3072"/>
      <c r="F10" s="3073" t="s">
        <v>2859</v>
      </c>
      <c r="G10" s="3052"/>
      <c r="H10" s="3027"/>
      <c r="I10" s="3028"/>
      <c r="J10" s="3496"/>
      <c r="K10" s="3498"/>
      <c r="L10" s="3062" t="s">
        <v>2860</v>
      </c>
      <c r="M10" s="3063"/>
      <c r="N10" s="3039"/>
      <c r="O10" s="3064"/>
      <c r="P10" s="3064"/>
      <c r="Q10" s="3065">
        <v>365</v>
      </c>
      <c r="R10" s="3066">
        <f t="shared" si="0"/>
        <v>0</v>
      </c>
      <c r="S10" s="3020"/>
      <c r="T10" s="3020"/>
      <c r="U10" s="3020"/>
      <c r="V10" s="3028"/>
    </row>
    <row r="11" spans="1:22" s="3032" customFormat="1" ht="13.15" customHeight="1">
      <c r="A11" s="3067">
        <v>3</v>
      </c>
      <c r="B11" s="3513" t="s">
        <v>2861</v>
      </c>
      <c r="C11" s="3514"/>
      <c r="D11" s="3068">
        <f>D12+D14+D15+D16</f>
        <v>0</v>
      </c>
      <c r="E11" s="3074" t="e">
        <f>D11/D6</f>
        <v>#DIV/0!</v>
      </c>
      <c r="F11" s="3070"/>
      <c r="G11" s="3071"/>
      <c r="H11" s="3027"/>
      <c r="I11" s="3028"/>
      <c r="J11" s="3496"/>
      <c r="K11" s="3498"/>
      <c r="L11" s="3062" t="s">
        <v>2862</v>
      </c>
      <c r="M11" s="3063"/>
      <c r="N11" s="3039"/>
      <c r="O11" s="3064"/>
      <c r="P11" s="3064"/>
      <c r="Q11" s="3065">
        <v>365</v>
      </c>
      <c r="R11" s="3066">
        <f t="shared" si="0"/>
        <v>0</v>
      </c>
      <c r="S11" s="3020"/>
      <c r="T11" s="3020"/>
      <c r="U11" s="3020"/>
      <c r="V11" s="3028"/>
    </row>
    <row r="12" spans="1:22" s="3032" customFormat="1" ht="13.15" customHeight="1">
      <c r="A12" s="3075" t="s">
        <v>2863</v>
      </c>
      <c r="B12" s="3506" t="s">
        <v>2864</v>
      </c>
      <c r="C12" s="3507"/>
      <c r="D12" s="3076">
        <f>ROUND(D13*1.2%*(1-30%),0)</f>
        <v>0</v>
      </c>
      <c r="E12" s="3077">
        <v>1.2E-2</v>
      </c>
      <c r="F12" s="3070" t="s">
        <v>2865</v>
      </c>
      <c r="G12" s="3071"/>
      <c r="H12" s="3027"/>
      <c r="I12" s="3028"/>
      <c r="J12" s="3496"/>
      <c r="K12" s="3498"/>
      <c r="L12" s="3062" t="s">
        <v>2866</v>
      </c>
      <c r="M12" s="3063"/>
      <c r="N12" s="3039"/>
      <c r="O12" s="3064"/>
      <c r="P12" s="3064"/>
      <c r="Q12" s="3065">
        <v>365</v>
      </c>
      <c r="R12" s="3066">
        <f t="shared" si="0"/>
        <v>0</v>
      </c>
      <c r="S12" s="3020"/>
      <c r="T12" s="3020"/>
      <c r="U12" s="3020"/>
      <c r="V12" s="3028"/>
    </row>
    <row r="13" spans="1:22" s="3032" customFormat="1" ht="13.15" customHeight="1">
      <c r="A13" s="3075"/>
      <c r="B13" s="3078"/>
      <c r="C13" s="3079" t="s">
        <v>2867</v>
      </c>
      <c r="D13" s="3080"/>
      <c r="E13" s="3081"/>
      <c r="F13" s="3070"/>
      <c r="G13" s="3071"/>
      <c r="H13" s="3027"/>
      <c r="I13" s="3028"/>
      <c r="J13" s="3496"/>
      <c r="K13" s="3498"/>
      <c r="L13" s="3062" t="s">
        <v>2868</v>
      </c>
      <c r="M13" s="3063"/>
      <c r="N13" s="3039"/>
      <c r="O13" s="3064"/>
      <c r="P13" s="3064"/>
      <c r="Q13" s="3065">
        <v>365</v>
      </c>
      <c r="R13" s="3066">
        <f t="shared" si="0"/>
        <v>0</v>
      </c>
      <c r="S13" s="3020"/>
      <c r="T13" s="3020"/>
      <c r="U13" s="3020"/>
      <c r="V13" s="3028"/>
    </row>
    <row r="14" spans="1:22" s="3032" customFormat="1" ht="13.15" customHeight="1">
      <c r="A14" s="3075" t="s">
        <v>2869</v>
      </c>
      <c r="B14" s="3506" t="s">
        <v>2870</v>
      </c>
      <c r="C14" s="3507"/>
      <c r="D14" s="3076">
        <f>ROUND(E14*B5/10000,0)</f>
        <v>0</v>
      </c>
      <c r="E14" s="3065"/>
      <c r="F14" s="3070" t="s">
        <v>2871</v>
      </c>
      <c r="G14" s="3071"/>
      <c r="H14" s="3027"/>
      <c r="I14" s="3028"/>
      <c r="J14" s="3496"/>
      <c r="K14" s="3499"/>
      <c r="L14" s="3082" t="s">
        <v>2872</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2873</v>
      </c>
      <c r="B15" s="3506" t="s">
        <v>2874</v>
      </c>
      <c r="C15" s="3507"/>
      <c r="D15" s="3076">
        <f>ROUND(D6*E15,0)</f>
        <v>0</v>
      </c>
      <c r="E15" s="3077">
        <v>5.5E-2</v>
      </c>
      <c r="F15" s="3070" t="s">
        <v>2875</v>
      </c>
      <c r="G15" s="3052"/>
      <c r="H15" s="3027"/>
      <c r="I15" s="3028"/>
      <c r="J15" s="3496">
        <v>2</v>
      </c>
      <c r="K15" s="3497" t="s">
        <v>2876</v>
      </c>
      <c r="L15" s="3062" t="s">
        <v>2877</v>
      </c>
      <c r="M15" s="3063" t="s">
        <v>2878</v>
      </c>
      <c r="N15" s="3063" t="s">
        <v>2879</v>
      </c>
      <c r="O15" s="3064" t="s">
        <v>2880</v>
      </c>
      <c r="P15" s="3064" t="s">
        <v>2842</v>
      </c>
      <c r="Q15" s="3039" t="s">
        <v>2881</v>
      </c>
      <c r="R15" s="3086" t="s">
        <v>2843</v>
      </c>
      <c r="S15" s="3020"/>
      <c r="T15" s="3020"/>
      <c r="U15" s="3020"/>
      <c r="V15" s="3028"/>
    </row>
    <row r="16" spans="1:22" s="3032" customFormat="1" ht="13.15" customHeight="1">
      <c r="A16" s="3075" t="s">
        <v>2882</v>
      </c>
      <c r="B16" s="3506" t="s">
        <v>2883</v>
      </c>
      <c r="C16" s="3507"/>
      <c r="D16" s="3087">
        <f>D6*E16</f>
        <v>0</v>
      </c>
      <c r="E16" s="3088"/>
      <c r="F16" s="3073" t="s">
        <v>2884</v>
      </c>
      <c r="G16" s="3052"/>
      <c r="H16" s="3027"/>
      <c r="I16" s="3028"/>
      <c r="J16" s="3496"/>
      <c r="K16" s="3498"/>
      <c r="L16" s="3062" t="s">
        <v>2885</v>
      </c>
      <c r="M16" s="3063"/>
      <c r="N16" s="3063"/>
      <c r="O16" s="3064"/>
      <c r="P16" s="3065">
        <v>365</v>
      </c>
      <c r="Q16" s="3039"/>
      <c r="R16" s="3086">
        <f>ROUND(M16*N16*O16*P16/10000,0)</f>
        <v>0</v>
      </c>
      <c r="S16" s="3020"/>
      <c r="T16" s="3020"/>
      <c r="U16" s="3020"/>
      <c r="V16" s="3028"/>
    </row>
    <row r="17" spans="1:22" s="3032" customFormat="1" ht="13.15" customHeight="1" thickBot="1">
      <c r="A17" s="3089">
        <v>4</v>
      </c>
      <c r="B17" s="3508" t="s">
        <v>2886</v>
      </c>
      <c r="C17" s="3509"/>
      <c r="D17" s="3090">
        <f>ROUND(D6*E17,0)</f>
        <v>0</v>
      </c>
      <c r="E17" s="3091"/>
      <c r="F17" s="3092" t="s">
        <v>2887</v>
      </c>
      <c r="G17" s="3052"/>
      <c r="H17" s="3027"/>
      <c r="I17" s="3028"/>
      <c r="J17" s="3496"/>
      <c r="K17" s="3498"/>
      <c r="L17" s="3062" t="s">
        <v>2888</v>
      </c>
      <c r="M17" s="3063"/>
      <c r="N17" s="3063"/>
      <c r="O17" s="3064"/>
      <c r="P17" s="3065">
        <v>365</v>
      </c>
      <c r="Q17" s="3039"/>
      <c r="R17" s="3086">
        <f>ROUND(M17*N17*O17*P17/10000,0)</f>
        <v>0</v>
      </c>
      <c r="S17" s="3020"/>
      <c r="T17" s="3020"/>
      <c r="U17" s="3020"/>
      <c r="V17" s="3028"/>
    </row>
    <row r="18" spans="1:22" s="3032" customFormat="1" ht="13.15" customHeight="1" thickBot="1">
      <c r="A18" s="3055" t="s">
        <v>2889</v>
      </c>
      <c r="B18" s="3056"/>
      <c r="C18" s="3056"/>
      <c r="D18" s="3093">
        <f>ROUND(D6*E18,0)</f>
        <v>0</v>
      </c>
      <c r="E18" s="3094"/>
      <c r="F18" s="3095" t="s">
        <v>2890</v>
      </c>
      <c r="G18" s="3052"/>
      <c r="H18" s="3027"/>
      <c r="I18" s="3028"/>
      <c r="J18" s="3496"/>
      <c r="K18" s="3498"/>
      <c r="L18" s="3062" t="s">
        <v>2891</v>
      </c>
      <c r="M18" s="3063"/>
      <c r="N18" s="3063"/>
      <c r="O18" s="3064"/>
      <c r="P18" s="3065">
        <v>365</v>
      </c>
      <c r="Q18" s="3039"/>
      <c r="R18" s="3086">
        <f>ROUND(M18*N18*O18*P18/10000,0)</f>
        <v>0</v>
      </c>
      <c r="S18" s="3020"/>
      <c r="T18" s="3020"/>
      <c r="U18" s="3020"/>
      <c r="V18" s="3028"/>
    </row>
    <row r="19" spans="1:22" s="3032" customFormat="1" ht="13.15" customHeight="1" thickBot="1">
      <c r="A19" s="3096" t="s">
        <v>2892</v>
      </c>
      <c r="B19" s="3050"/>
      <c r="C19" s="3050"/>
      <c r="D19" s="3050"/>
      <c r="E19" s="3050"/>
      <c r="F19" s="3051"/>
      <c r="G19" s="3071"/>
      <c r="H19" s="3027"/>
      <c r="I19" s="3028"/>
      <c r="J19" s="3496"/>
      <c r="K19" s="3499"/>
      <c r="L19" s="3082" t="s">
        <v>2872</v>
      </c>
      <c r="M19" s="3083"/>
      <c r="N19" s="3083">
        <f>SUM(N16:N18)</f>
        <v>0</v>
      </c>
      <c r="O19" s="3084"/>
      <c r="P19" s="3097" t="s">
        <v>2936</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496">
        <v>3</v>
      </c>
      <c r="K20" s="3497" t="s">
        <v>2893</v>
      </c>
      <c r="L20" s="3062" t="s">
        <v>2894</v>
      </c>
      <c r="M20" s="3063" t="s">
        <v>2895</v>
      </c>
      <c r="N20" s="3100" t="s">
        <v>2896</v>
      </c>
      <c r="O20" s="3064" t="s">
        <v>2897</v>
      </c>
      <c r="P20" s="3065" t="s">
        <v>2898</v>
      </c>
      <c r="Q20" s="3039" t="s">
        <v>2899</v>
      </c>
      <c r="R20" s="3086" t="s">
        <v>2900</v>
      </c>
      <c r="S20" s="3101"/>
      <c r="T20" s="3101"/>
      <c r="U20" s="3101"/>
      <c r="V20" s="3028"/>
    </row>
    <row r="21" spans="1:22" s="3032" customFormat="1" ht="13.15" customHeight="1">
      <c r="A21" s="3055"/>
      <c r="B21" s="3056"/>
      <c r="C21" s="3102" t="s">
        <v>2901</v>
      </c>
      <c r="D21" s="3103" t="s">
        <v>2902</v>
      </c>
      <c r="E21" s="3104" t="s">
        <v>2903</v>
      </c>
      <c r="F21" s="3099"/>
      <c r="G21" s="3071"/>
      <c r="H21" s="3027"/>
      <c r="I21" s="3028"/>
      <c r="J21" s="3496"/>
      <c r="K21" s="3498"/>
      <c r="L21" s="3062" t="s">
        <v>2904</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2905</v>
      </c>
      <c r="D22" s="3107" t="s">
        <v>2906</v>
      </c>
      <c r="E22" s="3108" t="s">
        <v>2907</v>
      </c>
      <c r="F22" s="3099"/>
      <c r="G22" s="3109"/>
      <c r="H22" s="3027"/>
      <c r="I22" s="3028"/>
      <c r="J22" s="3496"/>
      <c r="K22" s="3498"/>
      <c r="L22" s="3062" t="s">
        <v>2908</v>
      </c>
      <c r="M22" s="3063"/>
      <c r="N22" s="3063"/>
      <c r="O22" s="3064"/>
      <c r="P22" s="3065">
        <v>365</v>
      </c>
      <c r="Q22" s="3039"/>
      <c r="R22" s="3105">
        <f>ROUND(M22*N22*O22*P22/10000,0)</f>
        <v>0</v>
      </c>
      <c r="S22" s="3101"/>
      <c r="T22" s="3101"/>
      <c r="U22" s="3101"/>
      <c r="V22" s="3028"/>
    </row>
    <row r="23" spans="1:22" s="3032" customFormat="1" ht="13.15" customHeight="1">
      <c r="A23" s="3110">
        <v>1</v>
      </c>
      <c r="B23" s="3111" t="s">
        <v>2909</v>
      </c>
      <c r="C23" s="3112">
        <f>D6</f>
        <v>0</v>
      </c>
      <c r="D23" s="3113">
        <f>C23*(1+D24)</f>
        <v>0</v>
      </c>
      <c r="E23" s="3114">
        <f>D23*(1+E24)</f>
        <v>0</v>
      </c>
      <c r="F23" s="3115"/>
      <c r="G23" s="3116"/>
      <c r="H23" s="3027"/>
      <c r="I23" s="3028"/>
      <c r="J23" s="3496"/>
      <c r="K23" s="3498"/>
      <c r="L23" s="3062" t="s">
        <v>2910</v>
      </c>
      <c r="M23" s="3063"/>
      <c r="N23" s="3063"/>
      <c r="O23" s="3064"/>
      <c r="P23" s="3065">
        <v>365</v>
      </c>
      <c r="Q23" s="3039"/>
      <c r="R23" s="3105">
        <f>ROUND(M23*N23*O23*P23/10000,0)</f>
        <v>0</v>
      </c>
      <c r="S23" s="3020"/>
      <c r="T23" s="3020"/>
      <c r="U23" s="3020"/>
      <c r="V23" s="3028"/>
    </row>
    <row r="24" spans="1:22" s="3032" customFormat="1" ht="13.15" customHeight="1">
      <c r="A24" s="3117"/>
      <c r="B24" s="3118" t="s">
        <v>2911</v>
      </c>
      <c r="C24" s="3119"/>
      <c r="D24" s="3120"/>
      <c r="E24" s="3121"/>
      <c r="F24" s="3122"/>
      <c r="G24" s="3116"/>
      <c r="H24" s="3027"/>
      <c r="I24" s="3028"/>
      <c r="J24" s="3496"/>
      <c r="K24" s="3499"/>
      <c r="L24" s="3082" t="s">
        <v>2872</v>
      </c>
      <c r="M24" s="3083">
        <f>SUM(M21:M23)</f>
        <v>0</v>
      </c>
      <c r="N24" s="3083"/>
      <c r="O24" s="3084"/>
      <c r="P24" s="3097" t="s">
        <v>2936</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2912</v>
      </c>
      <c r="L25" s="3125"/>
      <c r="M25" s="3125"/>
      <c r="N25" s="3125"/>
      <c r="O25" s="3125"/>
      <c r="P25" s="3126"/>
      <c r="Q25" s="3127">
        <v>0</v>
      </c>
      <c r="R25" s="3098">
        <f>ROUND(R14*Q25,0)</f>
        <v>0</v>
      </c>
      <c r="S25" s="3020"/>
      <c r="T25" s="3020"/>
      <c r="U25" s="3020"/>
      <c r="V25" s="3128"/>
    </row>
    <row r="26" spans="1:22" s="3129" customFormat="1" ht="13.15" customHeight="1">
      <c r="A26" s="3110">
        <v>2</v>
      </c>
      <c r="B26" s="3111" t="s">
        <v>2913</v>
      </c>
      <c r="C26" s="3112">
        <f>D7</f>
        <v>0</v>
      </c>
      <c r="D26" s="3113">
        <f>D23*D27</f>
        <v>0</v>
      </c>
      <c r="E26" s="3114">
        <f>E23*E27</f>
        <v>0</v>
      </c>
      <c r="F26" s="3115"/>
      <c r="G26" s="3116"/>
      <c r="H26" s="3027"/>
      <c r="I26" s="3028"/>
      <c r="J26" s="3500">
        <v>5</v>
      </c>
      <c r="K26" s="3130" t="s">
        <v>2914</v>
      </c>
      <c r="L26" s="3131"/>
      <c r="M26" s="3132"/>
      <c r="N26" s="3133" t="s">
        <v>2915</v>
      </c>
      <c r="O26" s="3133" t="s">
        <v>2916</v>
      </c>
      <c r="P26" s="3134" t="s">
        <v>2917</v>
      </c>
      <c r="Q26" s="3134" t="s">
        <v>2918</v>
      </c>
      <c r="R26" s="3037" t="s">
        <v>2843</v>
      </c>
      <c r="S26" s="3135"/>
      <c r="T26" s="3135"/>
      <c r="U26" s="3135"/>
      <c r="V26" s="3128"/>
    </row>
    <row r="27" spans="1:22" s="3032" customFormat="1" ht="13.15" customHeight="1">
      <c r="A27" s="3117"/>
      <c r="B27" s="3118" t="s">
        <v>2919</v>
      </c>
      <c r="C27" s="3136" t="e">
        <f>E7</f>
        <v>#DIV/0!</v>
      </c>
      <c r="D27" s="3120"/>
      <c r="E27" s="3121"/>
      <c r="F27" s="3122"/>
      <c r="G27" s="3116"/>
      <c r="H27" s="3137"/>
      <c r="I27" s="3128"/>
      <c r="J27" s="3501"/>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2920</v>
      </c>
      <c r="F28" s="3122"/>
      <c r="G28" s="3109"/>
      <c r="H28" s="3137"/>
      <c r="I28" s="3128"/>
      <c r="J28" s="3143">
        <v>6</v>
      </c>
      <c r="K28" s="3144" t="s">
        <v>2921</v>
      </c>
      <c r="L28" s="3145" t="s">
        <v>2922</v>
      </c>
      <c r="M28" s="3146"/>
      <c r="N28" s="3145" t="s">
        <v>2923</v>
      </c>
      <c r="O28" s="3147"/>
      <c r="P28" s="3145" t="s">
        <v>2924</v>
      </c>
      <c r="Q28" s="3148">
        <v>1.4999999999999999E-2</v>
      </c>
      <c r="R28" s="3149"/>
      <c r="S28" s="3101"/>
      <c r="T28" s="3101"/>
      <c r="U28" s="3101"/>
      <c r="V28" s="3128"/>
    </row>
    <row r="29" spans="1:22" s="3129" customFormat="1" ht="13.15" customHeight="1">
      <c r="A29" s="3110">
        <v>3</v>
      </c>
      <c r="B29" s="3111" t="s">
        <v>2925</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2919</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2926</v>
      </c>
      <c r="K31" s="3018"/>
      <c r="L31" s="3018"/>
      <c r="M31" s="3018"/>
      <c r="N31" s="3018"/>
      <c r="O31" s="3018"/>
      <c r="P31" s="3018"/>
      <c r="Q31" s="3018"/>
      <c r="R31" s="3019"/>
      <c r="S31" s="3101"/>
      <c r="T31" s="3020"/>
      <c r="U31" s="3020"/>
      <c r="V31" s="3128"/>
    </row>
    <row r="32" spans="1:22" s="3129" customFormat="1" ht="13.15" customHeight="1">
      <c r="A32" s="3110">
        <v>4</v>
      </c>
      <c r="B32" s="3111" t="s">
        <v>2927</v>
      </c>
      <c r="C32" s="3112">
        <f>C23-C26-C29</f>
        <v>0</v>
      </c>
      <c r="D32" s="3113">
        <f>D23-D26-D29</f>
        <v>0</v>
      </c>
      <c r="E32" s="3114">
        <f>E23-E26-E29</f>
        <v>0</v>
      </c>
      <c r="F32" s="3115"/>
      <c r="G32" s="3109"/>
      <c r="H32" s="3027"/>
      <c r="I32" s="3028"/>
      <c r="J32" s="3502" t="s">
        <v>2819</v>
      </c>
      <c r="K32" s="3503"/>
      <c r="L32" s="3029" t="s">
        <v>2820</v>
      </c>
      <c r="M32" s="3029" t="s">
        <v>2821</v>
      </c>
      <c r="N32" s="3029" t="s">
        <v>2822</v>
      </c>
      <c r="O32" s="3029" t="s">
        <v>2823</v>
      </c>
      <c r="P32" s="3029" t="s">
        <v>2824</v>
      </c>
      <c r="Q32" s="3030" t="s">
        <v>2825</v>
      </c>
      <c r="R32" s="3152" t="s">
        <v>2826</v>
      </c>
      <c r="S32" s="3101"/>
      <c r="T32" s="3020"/>
      <c r="U32" s="3020"/>
      <c r="V32" s="3128"/>
    </row>
    <row r="33" spans="1:23" s="3032" customFormat="1" ht="13.15" customHeight="1">
      <c r="A33" s="3110"/>
      <c r="B33" s="3111"/>
      <c r="C33" s="3112"/>
      <c r="D33" s="3153"/>
      <c r="E33" s="3154"/>
      <c r="F33" s="3115"/>
      <c r="G33" s="3109"/>
      <c r="H33" s="3137"/>
      <c r="I33" s="3128"/>
      <c r="J33" s="3504" t="s">
        <v>2829</v>
      </c>
      <c r="K33" s="3505"/>
      <c r="L33" s="3035"/>
      <c r="M33" s="3035"/>
      <c r="N33" s="3035"/>
      <c r="O33" s="3035"/>
      <c r="P33" s="3035"/>
      <c r="Q33" s="3036"/>
      <c r="R33" s="3155">
        <f>SUM(L33:Q33)</f>
        <v>0</v>
      </c>
      <c r="S33" s="3101"/>
      <c r="T33" s="3020"/>
      <c r="U33" s="3020"/>
      <c r="V33" s="3028"/>
    </row>
    <row r="34" spans="1:23" s="3032" customFormat="1" ht="13.15" customHeight="1">
      <c r="A34" s="3110">
        <v>5</v>
      </c>
      <c r="B34" s="3111" t="s">
        <v>2928</v>
      </c>
      <c r="C34" s="3156"/>
      <c r="D34" s="3157"/>
      <c r="E34" s="3158"/>
      <c r="F34" s="3115"/>
      <c r="G34" s="3109"/>
      <c r="H34" s="3137"/>
      <c r="I34" s="3128"/>
      <c r="J34" s="3504" t="s">
        <v>2831</v>
      </c>
      <c r="K34" s="3505"/>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2929</v>
      </c>
      <c r="C35" s="3160"/>
      <c r="D35" s="3161"/>
      <c r="E35" s="3162"/>
      <c r="F35" s="3115"/>
      <c r="G35" s="3163"/>
      <c r="H35" s="3027"/>
      <c r="I35" s="3128"/>
      <c r="J35" s="3046" t="s">
        <v>2833</v>
      </c>
      <c r="K35" s="3047"/>
      <c r="L35" s="3047"/>
      <c r="M35" s="3048"/>
      <c r="N35" s="3048"/>
      <c r="O35" s="3048"/>
      <c r="P35" s="3048"/>
      <c r="Q35" s="3048"/>
      <c r="R35" s="3164">
        <f>R40+R41+R43</f>
        <v>0</v>
      </c>
      <c r="S35" s="3101"/>
      <c r="T35" s="3020" t="s">
        <v>2834</v>
      </c>
      <c r="U35" s="3020"/>
      <c r="V35" s="3028"/>
    </row>
    <row r="36" spans="1:23" s="3032" customFormat="1" ht="13.15" customHeight="1" thickBot="1">
      <c r="A36" s="3110">
        <v>7</v>
      </c>
      <c r="B36" s="3165" t="s">
        <v>2930</v>
      </c>
      <c r="C36" s="3166"/>
      <c r="D36" s="3167"/>
      <c r="E36" s="3168"/>
      <c r="F36" s="3169">
        <f>C36+D36+E36</f>
        <v>0</v>
      </c>
      <c r="G36" s="3109"/>
      <c r="H36" s="3027"/>
      <c r="I36" s="3028"/>
      <c r="J36" s="3496">
        <v>1</v>
      </c>
      <c r="K36" s="3497" t="s">
        <v>2931</v>
      </c>
      <c r="L36" s="3053"/>
      <c r="M36" s="3054"/>
      <c r="N36" s="3054"/>
      <c r="O36" s="3054"/>
      <c r="P36" s="3054"/>
      <c r="Q36" s="3054"/>
      <c r="R36" s="3037" t="s">
        <v>2843</v>
      </c>
      <c r="S36" s="3101"/>
      <c r="T36" s="3020" t="s">
        <v>2844</v>
      </c>
      <c r="U36" s="3020"/>
      <c r="V36" s="3028"/>
    </row>
    <row r="37" spans="1:23" s="3032" customFormat="1" ht="13.15" customHeight="1">
      <c r="A37" s="3110"/>
      <c r="B37" s="3111"/>
      <c r="C37" s="3111"/>
      <c r="D37" s="3111"/>
      <c r="E37" s="3111"/>
      <c r="F37" s="3115"/>
      <c r="G37" s="3109"/>
      <c r="H37" s="3027"/>
      <c r="I37" s="3028"/>
      <c r="J37" s="3496"/>
      <c r="K37" s="3498"/>
      <c r="L37" s="3062"/>
      <c r="M37" s="3063"/>
      <c r="N37" s="3039"/>
      <c r="O37" s="3064"/>
      <c r="P37" s="3064"/>
      <c r="Q37" s="3065"/>
      <c r="R37" s="3066"/>
      <c r="S37" s="3101"/>
      <c r="T37" s="3020" t="s">
        <v>2847</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496"/>
      <c r="K38" s="3498"/>
      <c r="L38" s="3062"/>
      <c r="M38" s="3063"/>
      <c r="N38" s="3039"/>
      <c r="O38" s="3064"/>
      <c r="P38" s="3064"/>
      <c r="Q38" s="3065"/>
      <c r="R38" s="3066"/>
      <c r="S38" s="3101"/>
      <c r="T38" s="3020" t="s">
        <v>2854</v>
      </c>
      <c r="U38" s="3020"/>
      <c r="V38" s="3028"/>
    </row>
    <row r="39" spans="1:23" s="3032" customFormat="1" ht="13.15" customHeight="1">
      <c r="A39" s="3110">
        <v>9</v>
      </c>
      <c r="B39" s="3111" t="s">
        <v>2932</v>
      </c>
      <c r="C39" s="3076" t="e">
        <f>C38</f>
        <v>#DIV/0!</v>
      </c>
      <c r="D39" s="3111">
        <f>D38/(1+D34)^C36</f>
        <v>0</v>
      </c>
      <c r="E39" s="3111">
        <f>E38/(1+E34)^(C36+D36)</f>
        <v>0</v>
      </c>
      <c r="F39" s="3115"/>
      <c r="G39" s="3170"/>
      <c r="H39" s="3027"/>
      <c r="I39" s="3028"/>
      <c r="J39" s="3496"/>
      <c r="K39" s="3498"/>
      <c r="L39" s="3062"/>
      <c r="M39" s="3063"/>
      <c r="N39" s="3039"/>
      <c r="O39" s="3064"/>
      <c r="P39" s="3064"/>
      <c r="Q39" s="3065"/>
      <c r="R39" s="3066"/>
      <c r="S39" s="3101"/>
      <c r="T39" s="3020"/>
      <c r="U39" s="3020"/>
      <c r="V39" s="3028"/>
    </row>
    <row r="40" spans="1:23" s="3032" customFormat="1" ht="13.15" customHeight="1">
      <c r="A40" s="3171">
        <v>10</v>
      </c>
      <c r="B40" s="3111" t="s">
        <v>2933</v>
      </c>
      <c r="C40" s="3172" t="e">
        <f>C39+D39+E39</f>
        <v>#DIV/0!</v>
      </c>
      <c r="D40" s="3173"/>
      <c r="E40" s="3173"/>
      <c r="F40" s="3174"/>
      <c r="G40" s="3109"/>
      <c r="H40" s="3027"/>
      <c r="I40" s="3028"/>
      <c r="J40" s="3496"/>
      <c r="K40" s="3499"/>
      <c r="L40" s="3082" t="s">
        <v>2872</v>
      </c>
      <c r="M40" s="3083"/>
      <c r="N40" s="3083"/>
      <c r="O40" s="3084"/>
      <c r="P40" s="3084"/>
      <c r="Q40" s="3085"/>
      <c r="R40" s="3031">
        <f>SUM(R37:R39)</f>
        <v>0</v>
      </c>
      <c r="S40" s="3101"/>
      <c r="T40" s="3020"/>
      <c r="U40" s="3020"/>
      <c r="V40" s="3028"/>
    </row>
    <row r="41" spans="1:23" s="3032" customFormat="1" ht="13.15" customHeight="1" thickBot="1">
      <c r="A41" s="3175">
        <v>11</v>
      </c>
      <c r="B41" s="3176" t="s">
        <v>2934</v>
      </c>
      <c r="C41" s="3176" t="e">
        <f>ROUND(C40*10000/B4,0)</f>
        <v>#DIV/0!</v>
      </c>
      <c r="D41" s="3177"/>
      <c r="E41" s="3177"/>
      <c r="F41" s="3178"/>
      <c r="G41" s="3179"/>
      <c r="H41" s="3027"/>
      <c r="I41" s="3028"/>
      <c r="J41" s="3123">
        <v>2</v>
      </c>
      <c r="K41" s="3124" t="s">
        <v>2912</v>
      </c>
      <c r="L41" s="3125"/>
      <c r="M41" s="3125"/>
      <c r="N41" s="3125"/>
      <c r="O41" s="3125"/>
      <c r="P41" s="3126"/>
      <c r="Q41" s="3127"/>
      <c r="R41" s="3098">
        <f>ROUND(R40*Q41,0)</f>
        <v>0</v>
      </c>
      <c r="S41" s="3101"/>
      <c r="T41" s="3020"/>
      <c r="U41" s="3135"/>
      <c r="V41" s="3028"/>
    </row>
    <row r="42" spans="1:23" s="3032" customFormat="1" ht="13.15" customHeight="1">
      <c r="G42" s="3179"/>
      <c r="H42" s="3027"/>
      <c r="I42" s="3028"/>
      <c r="J42" s="3500">
        <v>3</v>
      </c>
      <c r="K42" s="3130" t="s">
        <v>2914</v>
      </c>
      <c r="L42" s="3131"/>
      <c r="M42" s="3132"/>
      <c r="N42" s="3133" t="s">
        <v>2915</v>
      </c>
      <c r="O42" s="3133" t="s">
        <v>2916</v>
      </c>
      <c r="P42" s="3134" t="s">
        <v>2917</v>
      </c>
      <c r="Q42" s="3134" t="s">
        <v>2918</v>
      </c>
      <c r="R42" s="3037" t="s">
        <v>2843</v>
      </c>
      <c r="S42" s="3135"/>
      <c r="T42" s="3135"/>
      <c r="U42" s="3020"/>
      <c r="V42" s="3028"/>
    </row>
    <row r="43" spans="1:23" ht="13.15" customHeight="1">
      <c r="A43" s="3032"/>
      <c r="B43" s="3032"/>
      <c r="C43" s="3032"/>
      <c r="D43" s="3032"/>
      <c r="E43" s="3032"/>
      <c r="F43" s="3032"/>
      <c r="I43" s="3015"/>
      <c r="J43" s="3501"/>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2921</v>
      </c>
      <c r="L44" s="3183" t="s">
        <v>2922</v>
      </c>
      <c r="M44" s="3146"/>
      <c r="N44" s="3183" t="s">
        <v>2923</v>
      </c>
      <c r="O44" s="3146"/>
      <c r="P44" s="3183" t="s">
        <v>2924</v>
      </c>
      <c r="Q44" s="3148">
        <v>1.4999999999999999E-2</v>
      </c>
      <c r="R44" s="31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topLeftCell="A4" zoomScaleNormal="100" zoomScaleSheetLayoutView="100" workbookViewId="0">
      <selection activeCell="A40" sqref="A40:A42"/>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2" t="s">
        <v>2104</v>
      </c>
      <c r="B1" s="2003"/>
      <c r="C1" s="2003"/>
      <c r="D1" s="2003"/>
      <c r="E1" s="2004"/>
      <c r="F1" s="2884"/>
      <c r="G1" s="1624"/>
      <c r="H1" s="1624"/>
      <c r="I1" s="1624"/>
      <c r="J1" s="1624"/>
      <c r="K1" s="1624"/>
      <c r="L1" s="1624"/>
      <c r="M1" s="1624"/>
      <c r="N1" s="1624"/>
      <c r="O1" s="1624"/>
      <c r="P1" s="1624"/>
      <c r="Q1" s="1624"/>
      <c r="R1" s="1624"/>
      <c r="S1" s="1624"/>
    </row>
    <row r="2" spans="1:22" ht="15.75">
      <c r="A2" s="2005" t="s">
        <v>1905</v>
      </c>
      <c r="B2" s="2006">
        <f ca="1">SUMIF(B6:B13,"&lt;&gt;#ref!",B6:B13)</f>
        <v>164464</v>
      </c>
      <c r="C2" s="2007" t="s">
        <v>2097</v>
      </c>
      <c r="D2" s="2008" t="s">
        <v>2098</v>
      </c>
      <c r="E2" s="2781">
        <f>SUM(E6:E13)</f>
        <v>242531.24000000005</v>
      </c>
      <c r="F2" s="2884"/>
      <c r="G2" s="1624"/>
      <c r="H2" s="1624"/>
      <c r="I2" s="1624"/>
      <c r="J2" s="1624"/>
      <c r="K2" s="1624"/>
      <c r="L2" s="1624"/>
      <c r="M2" s="1624"/>
      <c r="N2" s="1624"/>
      <c r="O2" s="1624"/>
      <c r="P2" s="1624"/>
      <c r="Q2" s="1624"/>
      <c r="R2" s="1624"/>
      <c r="S2" s="1624"/>
    </row>
    <row r="3" spans="1:22" ht="15.75">
      <c r="A3" s="2005" t="s">
        <v>1119</v>
      </c>
      <c r="B3" s="2775">
        <f ca="1">ROUND(B2*10000/E2,0)</f>
        <v>6781</v>
      </c>
      <c r="C3" s="2007" t="s">
        <v>2105</v>
      </c>
      <c r="D3" s="2886"/>
      <c r="E3" s="2888"/>
      <c r="F3" s="2884"/>
      <c r="G3" s="1624"/>
      <c r="H3" s="1624"/>
      <c r="I3" s="1624"/>
      <c r="J3" s="1624"/>
      <c r="K3" s="1624"/>
      <c r="L3" s="1624"/>
      <c r="M3" s="1624"/>
      <c r="N3" s="1624"/>
      <c r="O3" s="1624"/>
      <c r="P3" s="1624"/>
      <c r="Q3" s="1624"/>
      <c r="R3" s="1624"/>
      <c r="S3" s="1624"/>
    </row>
    <row r="4" spans="1:22" ht="15.75">
      <c r="A4" s="2889"/>
      <c r="B4" s="2886"/>
      <c r="C4" s="2886"/>
      <c r="D4" s="2886"/>
      <c r="E4" s="2888"/>
      <c r="F4" s="2884"/>
      <c r="G4" s="1624"/>
      <c r="H4" s="1624"/>
      <c r="I4" s="1624"/>
      <c r="J4" s="1624"/>
      <c r="K4" s="1624"/>
      <c r="L4" s="1624"/>
      <c r="M4" s="1624"/>
      <c r="N4" s="1624"/>
      <c r="O4" s="1624"/>
      <c r="P4" s="1624"/>
      <c r="Q4" s="1624"/>
      <c r="R4" s="1624"/>
      <c r="S4" s="1624"/>
    </row>
    <row r="5" spans="1:22" ht="15">
      <c r="A5" s="2777" t="s">
        <v>2099</v>
      </c>
      <c r="B5" s="3515" t="s">
        <v>2100</v>
      </c>
      <c r="C5" s="3516"/>
      <c r="D5" s="2885"/>
      <c r="E5" s="2009" t="s">
        <v>2101</v>
      </c>
      <c r="F5" s="2010" t="s">
        <v>2102</v>
      </c>
      <c r="G5" s="1624"/>
      <c r="H5" s="3285" t="s">
        <v>3668</v>
      </c>
      <c r="I5" s="1624"/>
      <c r="J5" s="3285" t="s">
        <v>3674</v>
      </c>
      <c r="K5" s="1624"/>
      <c r="L5" s="1624"/>
      <c r="M5" s="1624"/>
      <c r="N5" s="1624"/>
      <c r="O5" s="1624"/>
      <c r="P5" s="1624"/>
      <c r="Q5" s="1624"/>
      <c r="R5" s="1624"/>
      <c r="S5" s="1624"/>
    </row>
    <row r="6" spans="1:22">
      <c r="A6" s="2778" t="str">
        <f>'数据-取费表'!AN6</f>
        <v>收益法</v>
      </c>
      <c r="B6" s="2776">
        <f ca="1">IF(F6="是",'数据-取费表'!AO6,0)</f>
        <v>144168</v>
      </c>
      <c r="C6" s="2007" t="s">
        <v>2097</v>
      </c>
      <c r="D6" s="2886"/>
      <c r="E6" s="2780">
        <f>IF(OR(A6=0,F6="否"),0,'数据-取费表'!K6+'数据-取费表'!S6)</f>
        <v>180833.00000000003</v>
      </c>
      <c r="F6" s="2011" t="s">
        <v>2103</v>
      </c>
      <c r="G6" s="1624"/>
      <c r="H6" s="1624">
        <f ca="1">B6*10000/E6</f>
        <v>7972.4386588731022</v>
      </c>
      <c r="I6" s="1624"/>
      <c r="J6" s="1624">
        <f ca="1">B6/B2</f>
        <v>0.87659305379900765</v>
      </c>
      <c r="K6" s="1624"/>
      <c r="L6" s="1624"/>
      <c r="M6" s="1624"/>
      <c r="N6" s="1624"/>
      <c r="O6" s="1624"/>
      <c r="P6" s="1624"/>
      <c r="Q6" s="1624"/>
      <c r="R6" s="1624"/>
      <c r="S6" s="1624"/>
    </row>
    <row r="7" spans="1:22">
      <c r="A7" s="2778" t="str">
        <f>'数据-取费表'!AN7</f>
        <v>收益法地下厂房</v>
      </c>
      <c r="B7" s="2776">
        <f ca="1">IF(F7="是",'数据-取费表'!AO7,0)</f>
        <v>12854</v>
      </c>
      <c r="C7" s="2007" t="s">
        <v>2097</v>
      </c>
      <c r="D7" s="2886"/>
      <c r="E7" s="2780">
        <f>IF(OR(A7=0,F7="否"),0,'数据-取费表'!K7+'数据-取费表'!S7)</f>
        <v>30603.07</v>
      </c>
      <c r="F7" s="2011" t="s">
        <v>2103</v>
      </c>
      <c r="G7" s="1624"/>
      <c r="H7" s="1624">
        <f t="shared" ref="H7:H8" ca="1" si="0">B7*10000/E7</f>
        <v>4200.2321989264474</v>
      </c>
      <c r="I7" s="1624"/>
      <c r="J7" s="1624">
        <f ca="1">B7/B2</f>
        <v>7.8156921879560262E-2</v>
      </c>
      <c r="K7" s="1624"/>
      <c r="L7" s="1624"/>
      <c r="M7" s="1624"/>
      <c r="N7" s="1624"/>
      <c r="O7" s="1624"/>
      <c r="P7" s="1624"/>
      <c r="Q7" s="1624"/>
      <c r="R7" s="1624"/>
      <c r="S7" s="1624"/>
    </row>
    <row r="8" spans="1:22">
      <c r="A8" s="2778" t="str">
        <f>'数据-取费表'!AN8</f>
        <v>收益法地下车库</v>
      </c>
      <c r="B8" s="2776">
        <f ca="1">IF(F8="是",'数据-取费表'!AO8,0)</f>
        <v>7442</v>
      </c>
      <c r="C8" s="2007" t="s">
        <v>2097</v>
      </c>
      <c r="D8" s="2886"/>
      <c r="E8" s="2780">
        <f>IF(OR(A8=0,F8="否"),0,'数据-取费表'!K8+'数据-取费表'!S8)</f>
        <v>31095.17</v>
      </c>
      <c r="F8" s="2011" t="s">
        <v>2103</v>
      </c>
      <c r="G8" s="1624"/>
      <c r="H8" s="1624">
        <f t="shared" ca="1" si="0"/>
        <v>2393.2977372370051</v>
      </c>
      <c r="I8" s="1624"/>
      <c r="J8" s="1624">
        <f ca="1">1-J6-J7</f>
        <v>4.5250024321432089E-2</v>
      </c>
      <c r="K8" s="1624"/>
      <c r="L8" s="1624"/>
      <c r="M8" s="1624"/>
      <c r="N8" s="1624"/>
      <c r="O8" s="1624"/>
      <c r="P8" s="1624"/>
      <c r="Q8" s="1624"/>
      <c r="R8" s="1624"/>
      <c r="S8" s="1624"/>
    </row>
    <row r="9" spans="1:22">
      <c r="A9" s="2778">
        <f>'数据-取费表'!AN9</f>
        <v>0</v>
      </c>
      <c r="B9" s="2776" t="e">
        <f ca="1">IF(F9="是",'数据-取费表'!AO9,0)</f>
        <v>#REF!</v>
      </c>
      <c r="C9" s="2007" t="s">
        <v>2097</v>
      </c>
      <c r="D9" s="2886"/>
      <c r="E9" s="2780">
        <f>IF(OR(A9=0,F9="否"),0,'数据-取费表'!K9+'数据-取费表'!S9)</f>
        <v>0</v>
      </c>
      <c r="F9" s="2011" t="s">
        <v>2103</v>
      </c>
      <c r="G9" s="1624"/>
      <c r="H9" s="1624"/>
      <c r="I9" s="1624"/>
      <c r="J9" s="1624"/>
      <c r="K9" s="1624"/>
      <c r="L9" s="1624"/>
      <c r="M9" s="1624"/>
      <c r="N9" s="1624"/>
      <c r="O9" s="1624"/>
      <c r="P9" s="1624"/>
      <c r="Q9" s="1624"/>
      <c r="R9" s="1624"/>
      <c r="S9" s="1624"/>
    </row>
    <row r="10" spans="1:22">
      <c r="A10" s="2778">
        <f>'数据-取费表'!AN10</f>
        <v>0</v>
      </c>
      <c r="B10" s="2776" t="e">
        <f ca="1">IF(F10="是",'数据-取费表'!AO10,0)</f>
        <v>#REF!</v>
      </c>
      <c r="C10" s="2007" t="s">
        <v>2097</v>
      </c>
      <c r="D10" s="2886"/>
      <c r="E10" s="2780">
        <f>IF(OR(A10=0,F10="否"),0,'数据-取费表'!K10+'数据-取费表'!S10)</f>
        <v>0</v>
      </c>
      <c r="F10" s="2011" t="s">
        <v>2103</v>
      </c>
      <c r="G10" s="1624"/>
      <c r="H10" s="1624"/>
      <c r="I10" s="1624"/>
      <c r="J10" s="1624"/>
      <c r="K10" s="1624"/>
      <c r="L10" s="1624"/>
      <c r="M10" s="1624"/>
      <c r="N10" s="1624"/>
      <c r="O10" s="1624"/>
      <c r="P10" s="1624"/>
      <c r="Q10" s="1624"/>
      <c r="R10" s="1624"/>
      <c r="S10" s="1624"/>
    </row>
    <row r="11" spans="1:22">
      <c r="A11" s="2778">
        <f>'数据-取费表'!AN11</f>
        <v>0</v>
      </c>
      <c r="B11" s="2776" t="e">
        <f ca="1">IF(F11="是",'数据-取费表'!AO11,0)</f>
        <v>#REF!</v>
      </c>
      <c r="C11" s="2007" t="s">
        <v>2097</v>
      </c>
      <c r="D11" s="2886"/>
      <c r="E11" s="2780">
        <f>IF(OR(A11=0,F11="否"),0,'数据-取费表'!K11+'数据-取费表'!S11)</f>
        <v>0</v>
      </c>
      <c r="F11" s="2011" t="s">
        <v>2103</v>
      </c>
      <c r="G11" s="1624"/>
      <c r="H11" s="1624"/>
      <c r="I11" s="1624"/>
      <c r="J11" s="1624"/>
      <c r="K11" s="1624"/>
      <c r="L11" s="1624"/>
      <c r="M11" s="1624"/>
      <c r="N11" s="1624"/>
      <c r="O11" s="1624"/>
      <c r="P11" s="1624"/>
      <c r="Q11" s="1624"/>
      <c r="R11" s="1624"/>
      <c r="S11" s="1624"/>
    </row>
    <row r="12" spans="1:22">
      <c r="A12" s="2778">
        <f>'数据-取费表'!AN12</f>
        <v>0</v>
      </c>
      <c r="B12" s="2776" t="e">
        <f ca="1">IF(F12="是",'数据-取费表'!AO12,0)</f>
        <v>#REF!</v>
      </c>
      <c r="C12" s="2007" t="s">
        <v>2097</v>
      </c>
      <c r="D12" s="2886"/>
      <c r="E12" s="2780">
        <f>IF(OR(A12=0,F12="否"),0,'数据-取费表'!K12+'数据-取费表'!S12)</f>
        <v>0</v>
      </c>
      <c r="F12" s="2011" t="s">
        <v>2103</v>
      </c>
      <c r="G12" s="1624"/>
      <c r="H12" s="1624"/>
      <c r="I12" s="1624"/>
      <c r="J12" s="1624"/>
      <c r="K12" s="1624"/>
      <c r="L12" s="1624"/>
      <c r="M12" s="1624"/>
      <c r="N12" s="1624"/>
      <c r="O12" s="1624"/>
      <c r="P12" s="1624"/>
      <c r="Q12" s="1624"/>
      <c r="R12" s="1624"/>
      <c r="S12" s="1624"/>
    </row>
    <row r="13" spans="1:22" ht="15" thickBot="1">
      <c r="A13" s="2779">
        <f>'数据-取费表'!AN13</f>
        <v>0</v>
      </c>
      <c r="B13" s="2776" t="e">
        <f ca="1">IF(F13="是",'数据-取费表'!AO13,0)</f>
        <v>#REF!</v>
      </c>
      <c r="C13" s="2012" t="s">
        <v>2097</v>
      </c>
      <c r="D13" s="2887"/>
      <c r="E13" s="2780">
        <f>IF(OR(A13=0,F13="否"),0,'数据-取费表'!K13+'数据-取费表'!S13)</f>
        <v>0</v>
      </c>
      <c r="F13" s="2011" t="s">
        <v>2103</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13" t="s">
        <v>2107</v>
      </c>
      <c r="C1" s="1358" t="s">
        <v>2108</v>
      </c>
      <c r="D1" s="1345"/>
      <c r="E1" s="2493"/>
      <c r="F1" s="2014" t="s">
        <v>2109</v>
      </c>
      <c r="G1" s="1355" t="s">
        <v>2110</v>
      </c>
      <c r="H1" s="1354"/>
      <c r="I1" s="1354"/>
      <c r="J1" s="1354"/>
      <c r="K1" s="1356"/>
      <c r="L1" s="1357"/>
      <c r="M1" s="1358"/>
      <c r="N1" s="1358"/>
      <c r="O1" s="1358"/>
      <c r="P1" s="2015"/>
      <c r="Q1" s="1344"/>
      <c r="R1" s="1344"/>
      <c r="S1" s="1344"/>
      <c r="T1" s="1344"/>
      <c r="U1" s="1344"/>
      <c r="V1" s="1344"/>
      <c r="W1" s="1344"/>
      <c r="X1" s="1344"/>
      <c r="Y1" s="1344"/>
      <c r="Z1" s="1344"/>
      <c r="AA1" s="1344"/>
      <c r="AB1" s="1344"/>
      <c r="AC1" s="1352"/>
    </row>
    <row r="2" spans="1:29" s="353" customFormat="1" ht="28.5" customHeight="1" thickTop="1">
      <c r="A2" s="1341" t="s">
        <v>1118</v>
      </c>
      <c r="B2" s="1279" t="e">
        <f ca="1">IF(C2="——",ROUND(C49*D3/10000,0),ROUND(C49*D3/10000,0)-D2)</f>
        <v>#DIV/0!</v>
      </c>
      <c r="C2" s="2016"/>
      <c r="D2" s="1228" t="e">
        <f ca="1">SUMIF(INDIRECT("'"&amp;F2&amp;"'"&amp;"!A:A"),"承租人权益价值",INDIRECT("'"&amp;F2&amp;"'"&amp;"!c:c"))</f>
        <v>#REF!</v>
      </c>
      <c r="E2" s="2017" t="s">
        <v>2111</v>
      </c>
      <c r="F2" s="2018"/>
      <c r="G2" s="1019"/>
      <c r="H2" s="1019"/>
      <c r="I2" s="1019"/>
      <c r="J2" s="1019"/>
      <c r="K2" s="2019"/>
      <c r="L2" s="2890"/>
      <c r="M2" s="2891"/>
      <c r="N2" s="2891"/>
      <c r="O2" s="2891"/>
      <c r="P2" s="2020"/>
      <c r="Q2" s="2021"/>
      <c r="R2" s="2021"/>
      <c r="S2" s="2021"/>
      <c r="T2" s="2021"/>
      <c r="U2" s="2021"/>
      <c r="V2" s="2021"/>
      <c r="W2" s="2021"/>
      <c r="X2" s="2021"/>
      <c r="Y2" s="2021"/>
      <c r="Z2" s="2021"/>
      <c r="AA2" s="2021"/>
      <c r="AB2" s="2021"/>
      <c r="AC2" s="2022"/>
    </row>
    <row r="3" spans="1:29" s="353" customFormat="1" ht="28.5" customHeight="1" thickBot="1">
      <c r="A3" s="209" t="s">
        <v>1119</v>
      </c>
      <c r="B3" s="359" t="e">
        <f ca="1">IF(C2="——",C49,ROUND(B2*10000/D3,0))</f>
        <v>#DIV/0!</v>
      </c>
      <c r="C3" s="360" t="s">
        <v>2112</v>
      </c>
      <c r="D3" s="359">
        <f>IF(D1="",'数据-汇总表'!E3,SUMIF('数据-汇总表'!$C19:$C33,D1,'数据-汇总表'!$E19:$E33))</f>
        <v>242531.24000000002</v>
      </c>
      <c r="E3" s="1019"/>
      <c r="F3" s="2023"/>
      <c r="G3" s="1019"/>
      <c r="H3" s="1019"/>
      <c r="I3" s="1019"/>
      <c r="J3" s="1019"/>
      <c r="K3" s="2019"/>
      <c r="L3" s="2890"/>
      <c r="M3" s="2891"/>
      <c r="N3" s="2891"/>
      <c r="O3" s="2891"/>
      <c r="P3" s="2020"/>
      <c r="Q3" s="2021"/>
      <c r="R3" s="2021"/>
      <c r="S3" s="2021"/>
      <c r="T3" s="2021"/>
      <c r="U3" s="2021"/>
      <c r="V3" s="2021"/>
      <c r="W3" s="2021"/>
      <c r="X3" s="2021"/>
      <c r="Y3" s="2021"/>
      <c r="Z3" s="2021"/>
      <c r="AA3" s="2021"/>
      <c r="AB3" s="2021"/>
      <c r="AC3" s="1173"/>
    </row>
    <row r="4" spans="1:29" ht="15">
      <c r="A4" s="361" t="s">
        <v>2113</v>
      </c>
      <c r="B4" s="362"/>
      <c r="C4" s="3535" t="s">
        <v>2114</v>
      </c>
      <c r="D4" s="3536"/>
      <c r="E4" s="3537" t="s">
        <v>2115</v>
      </c>
      <c r="F4" s="3538"/>
      <c r="G4" s="3535" t="s">
        <v>2116</v>
      </c>
      <c r="H4" s="3536"/>
      <c r="I4" s="3535" t="s">
        <v>2117</v>
      </c>
      <c r="J4" s="3536"/>
      <c r="K4" s="2024" t="s">
        <v>2118</v>
      </c>
      <c r="L4" s="2892"/>
      <c r="M4" s="2893"/>
      <c r="N4" s="2893"/>
      <c r="O4" s="2893"/>
      <c r="P4" s="3539" t="s">
        <v>2119</v>
      </c>
      <c r="Q4" s="3540"/>
      <c r="R4" s="3545" t="s">
        <v>2115</v>
      </c>
      <c r="S4" s="3546"/>
      <c r="T4" s="3545" t="s">
        <v>2116</v>
      </c>
      <c r="U4" s="3546"/>
      <c r="V4" s="3551" t="s">
        <v>2117</v>
      </c>
      <c r="W4" s="3551"/>
      <c r="X4" s="1489"/>
      <c r="Y4" s="3545" t="s">
        <v>2119</v>
      </c>
      <c r="Z4" s="3546"/>
      <c r="AA4" s="3532" t="s">
        <v>2115</v>
      </c>
      <c r="AB4" s="3532" t="s">
        <v>2116</v>
      </c>
      <c r="AC4" s="3532" t="s">
        <v>2117</v>
      </c>
    </row>
    <row r="5" spans="1:29" ht="15">
      <c r="A5" s="364"/>
      <c r="B5" s="365"/>
      <c r="C5" s="3554" t="s">
        <v>2120</v>
      </c>
      <c r="D5" s="3555"/>
      <c r="E5" s="3561" t="s">
        <v>2121</v>
      </c>
      <c r="F5" s="3562"/>
      <c r="G5" s="3554" t="s">
        <v>2122</v>
      </c>
      <c r="H5" s="3555"/>
      <c r="I5" s="3554" t="s">
        <v>2123</v>
      </c>
      <c r="J5" s="3555"/>
      <c r="K5" s="2025"/>
      <c r="L5" s="2892"/>
      <c r="M5" s="2893"/>
      <c r="N5" s="2893"/>
      <c r="O5" s="2893"/>
      <c r="P5" s="3541"/>
      <c r="Q5" s="3542"/>
      <c r="R5" s="3547"/>
      <c r="S5" s="3548"/>
      <c r="T5" s="3547"/>
      <c r="U5" s="3548"/>
      <c r="V5" s="3551"/>
      <c r="W5" s="3551"/>
      <c r="X5" s="1489"/>
      <c r="Y5" s="3547"/>
      <c r="Z5" s="3548"/>
      <c r="AA5" s="3533"/>
      <c r="AB5" s="3533"/>
      <c r="AC5" s="3533"/>
    </row>
    <row r="6" spans="1:29" ht="15.75" thickBot="1">
      <c r="A6" s="366"/>
      <c r="B6" s="367"/>
      <c r="C6" s="3552" t="s">
        <v>2124</v>
      </c>
      <c r="D6" s="3553"/>
      <c r="E6" s="3559" t="s">
        <v>2124</v>
      </c>
      <c r="F6" s="3560"/>
      <c r="G6" s="3552" t="s">
        <v>2124</v>
      </c>
      <c r="H6" s="3553"/>
      <c r="I6" s="3552" t="s">
        <v>2124</v>
      </c>
      <c r="J6" s="3553"/>
      <c r="K6" s="2025" t="s">
        <v>2125</v>
      </c>
      <c r="L6" s="2892"/>
      <c r="M6" s="2893"/>
      <c r="N6" s="2893"/>
      <c r="O6" s="2893"/>
      <c r="P6" s="3543"/>
      <c r="Q6" s="3544"/>
      <c r="R6" s="3547"/>
      <c r="S6" s="3548"/>
      <c r="T6" s="3549"/>
      <c r="U6" s="3550"/>
      <c r="V6" s="3551"/>
      <c r="W6" s="3551"/>
      <c r="X6" s="1489"/>
      <c r="Y6" s="3549"/>
      <c r="Z6" s="3550"/>
      <c r="AA6" s="3534"/>
      <c r="AB6" s="3534"/>
      <c r="AC6" s="3534"/>
    </row>
    <row r="7" spans="1:29" s="113" customFormat="1" ht="15.75" thickBot="1">
      <c r="A7" s="368" t="s">
        <v>2126</v>
      </c>
      <c r="B7" s="369"/>
      <c r="C7" s="370">
        <f>'数据-取费表'!B2</f>
        <v>44769</v>
      </c>
      <c r="D7" s="371">
        <v>100</v>
      </c>
      <c r="E7" s="372"/>
      <c r="F7" s="373">
        <f>SUMIF(58:58,YEAR(E7)&amp;"-"&amp;MONTH(E7),59:59)</f>
        <v>0</v>
      </c>
      <c r="G7" s="372"/>
      <c r="H7" s="371">
        <f>SUMIF(58:58,YEAR(G7)&amp;"-"&amp;MONTH(G7),59:59)</f>
        <v>0</v>
      </c>
      <c r="I7" s="372"/>
      <c r="J7" s="371">
        <f>SUMIF(58:58,YEAR(I7)&amp;"-"&amp;MONTH(I7),59:59)</f>
        <v>0</v>
      </c>
      <c r="K7" s="2026"/>
      <c r="L7" s="2894"/>
      <c r="M7" s="2895"/>
      <c r="N7" s="2895"/>
      <c r="O7" s="2895"/>
      <c r="P7" s="3556" t="s">
        <v>2127</v>
      </c>
      <c r="Q7" s="3558"/>
      <c r="R7" s="710" t="s">
        <v>23</v>
      </c>
      <c r="S7" s="711">
        <f t="shared" ref="S7:S15" si="0">F7</f>
        <v>0</v>
      </c>
      <c r="T7" s="710" t="s">
        <v>23</v>
      </c>
      <c r="U7" s="711">
        <f t="shared" ref="U7:U15" si="1">H7</f>
        <v>0</v>
      </c>
      <c r="V7" s="710" t="s">
        <v>23</v>
      </c>
      <c r="W7" s="711">
        <f t="shared" ref="W7:W15" si="2">J7</f>
        <v>0</v>
      </c>
      <c r="X7" s="712"/>
      <c r="Y7" s="3556" t="s">
        <v>2127</v>
      </c>
      <c r="Z7" s="3557"/>
      <c r="AA7" s="713" t="e">
        <f>D7/F7</f>
        <v>#DIV/0!</v>
      </c>
      <c r="AB7" s="713" t="e">
        <f>D7/H7</f>
        <v>#DIV/0!</v>
      </c>
      <c r="AC7" s="713" t="e">
        <f>D7/J7</f>
        <v>#DIV/0!</v>
      </c>
    </row>
    <row r="8" spans="1:29" s="113" customFormat="1" ht="15.75" thickBot="1">
      <c r="A8" s="368" t="s">
        <v>2128</v>
      </c>
      <c r="B8" s="369"/>
      <c r="C8" s="374" t="s">
        <v>2129</v>
      </c>
      <c r="D8" s="371">
        <v>100</v>
      </c>
      <c r="E8" s="2027"/>
      <c r="F8" s="373">
        <f>SUMIF(61:61,E8,62:62)-SUMIF(61:61,C8,62:62)+100</f>
        <v>0</v>
      </c>
      <c r="G8" s="374"/>
      <c r="H8" s="371">
        <f>SUMIF(61:61,G8,62:62)-SUMIF(61:61,C8,62:62)+100</f>
        <v>0</v>
      </c>
      <c r="I8" s="2027"/>
      <c r="J8" s="371">
        <f>SUMIF(61:61,I8,62:62)-SUMIF(61:61,C8,62:62)+100</f>
        <v>0</v>
      </c>
      <c r="K8" s="2026"/>
      <c r="L8" s="2894"/>
      <c r="M8" s="2895"/>
      <c r="N8" s="2895"/>
      <c r="O8" s="2895"/>
      <c r="P8" s="3556" t="s">
        <v>2130</v>
      </c>
      <c r="Q8" s="3557"/>
      <c r="R8" s="710" t="s">
        <v>23</v>
      </c>
      <c r="S8" s="711">
        <f t="shared" si="0"/>
        <v>0</v>
      </c>
      <c r="T8" s="710" t="s">
        <v>23</v>
      </c>
      <c r="U8" s="711">
        <f t="shared" si="1"/>
        <v>0</v>
      </c>
      <c r="V8" s="710" t="s">
        <v>23</v>
      </c>
      <c r="W8" s="711">
        <f t="shared" si="2"/>
        <v>0</v>
      </c>
      <c r="X8" s="712"/>
      <c r="Y8" s="3556" t="s">
        <v>2130</v>
      </c>
      <c r="Z8" s="3557"/>
      <c r="AA8" s="713" t="e">
        <f t="shared" ref="AA8:AA19" si="3">D8/F8</f>
        <v>#DIV/0!</v>
      </c>
      <c r="AB8" s="713" t="e">
        <f t="shared" ref="AB8:AB19" si="4">D8/H8</f>
        <v>#DIV/0!</v>
      </c>
      <c r="AC8" s="713" t="e">
        <f t="shared" ref="AC8:AC19" si="5">D8/J8</f>
        <v>#DIV/0!</v>
      </c>
    </row>
    <row r="9" spans="1:29" s="113" customFormat="1">
      <c r="A9" s="375" t="s">
        <v>2131</v>
      </c>
      <c r="B9" s="67" t="s">
        <v>2132</v>
      </c>
      <c r="C9" s="376"/>
      <c r="D9" s="131">
        <v>100</v>
      </c>
      <c r="E9" s="377"/>
      <c r="F9" s="378">
        <f>SUMIF(63:63,E9,64:64)-SUMIF(63:63,C9,64:64)+100</f>
        <v>100</v>
      </c>
      <c r="G9" s="379"/>
      <c r="H9" s="131">
        <f>SUMIF(63:63,G9,64:64)-SUMIF(63:63,C9,64:64)+100</f>
        <v>100</v>
      </c>
      <c r="I9" s="379"/>
      <c r="J9" s="131">
        <f>SUMIF(63:63,I9,64:64)-SUMIF(63:63,C9,64:64)+100</f>
        <v>100</v>
      </c>
      <c r="K9" s="2026"/>
      <c r="L9" s="2894"/>
      <c r="M9" s="2895"/>
      <c r="N9" s="2895"/>
      <c r="O9" s="2895"/>
      <c r="P9" s="3531" t="s">
        <v>2133</v>
      </c>
      <c r="Q9" s="1477" t="str">
        <f t="shared" ref="Q9:Q15" si="6">B9</f>
        <v>用途</v>
      </c>
      <c r="R9" s="710" t="s">
        <v>17</v>
      </c>
      <c r="S9" s="711">
        <f t="shared" si="0"/>
        <v>100</v>
      </c>
      <c r="T9" s="710" t="s">
        <v>17</v>
      </c>
      <c r="U9" s="711">
        <f t="shared" si="1"/>
        <v>100</v>
      </c>
      <c r="V9" s="710" t="s">
        <v>17</v>
      </c>
      <c r="W9" s="711">
        <f t="shared" si="2"/>
        <v>100</v>
      </c>
      <c r="X9" s="712"/>
      <c r="Y9" s="3392"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531"/>
      <c r="Q10" s="1477" t="str">
        <f t="shared" si="6"/>
        <v>土地使用年限（年）</v>
      </c>
      <c r="R10" s="710" t="s">
        <v>17</v>
      </c>
      <c r="S10" s="711">
        <f t="shared" si="0"/>
        <v>100</v>
      </c>
      <c r="T10" s="710" t="s">
        <v>17</v>
      </c>
      <c r="U10" s="711">
        <f t="shared" si="1"/>
        <v>100</v>
      </c>
      <c r="V10" s="710" t="s">
        <v>17</v>
      </c>
      <c r="W10" s="711">
        <f t="shared" si="2"/>
        <v>100</v>
      </c>
      <c r="X10" s="712"/>
      <c r="Y10" s="3392"/>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531"/>
      <c r="Q11" s="1477" t="str">
        <f t="shared" si="6"/>
        <v>容积率</v>
      </c>
      <c r="R11" s="710" t="s">
        <v>21</v>
      </c>
      <c r="S11" s="711" t="e">
        <f t="shared" si="0"/>
        <v>#N/A</v>
      </c>
      <c r="T11" s="710" t="s">
        <v>21</v>
      </c>
      <c r="U11" s="711" t="e">
        <f t="shared" si="1"/>
        <v>#N/A</v>
      </c>
      <c r="V11" s="710" t="s">
        <v>21</v>
      </c>
      <c r="W11" s="711" t="e">
        <f t="shared" si="2"/>
        <v>#N/A</v>
      </c>
      <c r="X11" s="712"/>
      <c r="Y11" s="3392"/>
      <c r="Z11" s="55" t="str">
        <f t="shared" si="7"/>
        <v>容积率</v>
      </c>
      <c r="AA11" s="713" t="e">
        <f t="shared" si="3"/>
        <v>#N/A</v>
      </c>
      <c r="AB11" s="713" t="e">
        <f t="shared" si="4"/>
        <v>#N/A</v>
      </c>
      <c r="AC11" s="713" t="e">
        <f t="shared" si="5"/>
        <v>#N/A</v>
      </c>
    </row>
    <row r="12" spans="1:29" s="113" customFormat="1" ht="15">
      <c r="A12" s="390"/>
      <c r="B12" s="2028">
        <v>111</v>
      </c>
      <c r="C12" s="391"/>
      <c r="D12" s="392">
        <v>100</v>
      </c>
      <c r="E12" s="391"/>
      <c r="F12" s="384">
        <f>SUMIF(70:70,E12,71:71)-SUMIF(70:70,C12,71:71)+100</f>
        <v>100</v>
      </c>
      <c r="G12" s="391"/>
      <c r="H12" s="132">
        <f>SUMIF(70:70,G12,71:71)-SUMIF(70:70,C12,71:71)+100</f>
        <v>100</v>
      </c>
      <c r="I12" s="391"/>
      <c r="J12" s="132">
        <f>SUMIF(70:70,I12,71:71)-SUMIF(70:70,C12,71:71)+100</f>
        <v>100</v>
      </c>
      <c r="K12" s="2029"/>
      <c r="L12" s="2894"/>
      <c r="M12" s="2895"/>
      <c r="N12" s="2895"/>
      <c r="O12" s="2895"/>
      <c r="P12" s="3531"/>
      <c r="Q12" s="1477">
        <f t="shared" si="6"/>
        <v>111</v>
      </c>
      <c r="R12" s="710" t="s">
        <v>21</v>
      </c>
      <c r="S12" s="711">
        <f t="shared" si="0"/>
        <v>100</v>
      </c>
      <c r="T12" s="710" t="s">
        <v>21</v>
      </c>
      <c r="U12" s="711">
        <f t="shared" si="1"/>
        <v>100</v>
      </c>
      <c r="V12" s="710" t="s">
        <v>21</v>
      </c>
      <c r="W12" s="711">
        <f t="shared" si="2"/>
        <v>100</v>
      </c>
      <c r="X12" s="712"/>
      <c r="Y12" s="3392"/>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2029"/>
      <c r="L13" s="2899"/>
      <c r="M13" s="2893"/>
      <c r="N13" s="2893"/>
      <c r="O13" s="2893"/>
      <c r="P13" s="3531"/>
      <c r="Q13" s="1477">
        <f t="shared" si="6"/>
        <v>111</v>
      </c>
      <c r="R13" s="710" t="s">
        <v>21</v>
      </c>
      <c r="S13" s="711">
        <f t="shared" si="0"/>
        <v>100</v>
      </c>
      <c r="T13" s="710" t="s">
        <v>21</v>
      </c>
      <c r="U13" s="711">
        <f t="shared" si="1"/>
        <v>100</v>
      </c>
      <c r="V13" s="710" t="s">
        <v>21</v>
      </c>
      <c r="W13" s="711">
        <f t="shared" si="2"/>
        <v>100</v>
      </c>
      <c r="X13" s="712"/>
      <c r="Y13" s="3392"/>
      <c r="Z13" s="55">
        <f t="shared" si="7"/>
        <v>111</v>
      </c>
      <c r="AA13" s="713">
        <f t="shared" si="3"/>
        <v>1</v>
      </c>
      <c r="AB13" s="713">
        <f t="shared" si="4"/>
        <v>1</v>
      </c>
      <c r="AC13" s="713">
        <f t="shared" si="5"/>
        <v>1</v>
      </c>
    </row>
    <row r="14" spans="1:29" ht="15.75" thickBot="1">
      <c r="A14" s="395"/>
      <c r="B14" s="2030">
        <v>111</v>
      </c>
      <c r="C14" s="396"/>
      <c r="D14" s="397">
        <v>100</v>
      </c>
      <c r="E14" s="396"/>
      <c r="F14" s="398">
        <f>SUMIF(74:74,E14,75:75)-SUMIF(74:74,C14,75:75)+100</f>
        <v>100</v>
      </c>
      <c r="G14" s="396"/>
      <c r="H14" s="397">
        <f>SUMIF(74:74,G14,75:75)-SUMIF(74:74,C14,75:75)+100</f>
        <v>100</v>
      </c>
      <c r="I14" s="396"/>
      <c r="J14" s="397">
        <f>SUMIF(74:74,I14,75:75)-SUMIF(74:74,C14,75:75)+100</f>
        <v>100</v>
      </c>
      <c r="K14" s="2029"/>
      <c r="L14" s="2899"/>
      <c r="M14" s="2893"/>
      <c r="N14" s="2893"/>
      <c r="O14" s="2893"/>
      <c r="P14" s="3531"/>
      <c r="Q14" s="1477">
        <f t="shared" si="6"/>
        <v>111</v>
      </c>
      <c r="R14" s="710" t="s">
        <v>21</v>
      </c>
      <c r="S14" s="711">
        <f t="shared" si="0"/>
        <v>100</v>
      </c>
      <c r="T14" s="710" t="s">
        <v>21</v>
      </c>
      <c r="U14" s="711">
        <f t="shared" si="1"/>
        <v>100</v>
      </c>
      <c r="V14" s="710" t="s">
        <v>21</v>
      </c>
      <c r="W14" s="711">
        <f t="shared" si="2"/>
        <v>100</v>
      </c>
      <c r="X14" s="712"/>
      <c r="Y14" s="3392"/>
      <c r="Z14" s="55">
        <f t="shared" si="7"/>
        <v>111</v>
      </c>
      <c r="AA14" s="713">
        <f t="shared" si="3"/>
        <v>1</v>
      </c>
      <c r="AB14" s="713">
        <f t="shared" si="4"/>
        <v>1</v>
      </c>
      <c r="AC14" s="713">
        <f t="shared" si="5"/>
        <v>1</v>
      </c>
    </row>
    <row r="15" spans="1:29" ht="99.75">
      <c r="A15" s="399" t="s">
        <v>2137</v>
      </c>
      <c r="B15" s="65" t="s">
        <v>1700</v>
      </c>
      <c r="C15" s="203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529" t="s">
        <v>2138</v>
      </c>
      <c r="Q15" s="1486" t="str">
        <f t="shared" si="6"/>
        <v>居住社区成熟度</v>
      </c>
      <c r="R15" s="714" t="s">
        <v>21</v>
      </c>
      <c r="S15" s="715">
        <f t="shared" si="0"/>
        <v>100</v>
      </c>
      <c r="T15" s="714" t="s">
        <v>21</v>
      </c>
      <c r="U15" s="715">
        <f t="shared" si="1"/>
        <v>100</v>
      </c>
      <c r="V15" s="714" t="s">
        <v>21</v>
      </c>
      <c r="W15" s="715">
        <f t="shared" si="2"/>
        <v>100</v>
      </c>
      <c r="X15" s="1489"/>
      <c r="Y15" s="3522" t="s">
        <v>2138</v>
      </c>
      <c r="Z15" s="1490" t="str">
        <f t="shared" si="7"/>
        <v>居住社区成熟度</v>
      </c>
      <c r="AA15" s="1487">
        <f t="shared" si="3"/>
        <v>1</v>
      </c>
      <c r="AB15" s="1487">
        <f t="shared" si="4"/>
        <v>1</v>
      </c>
      <c r="AC15" s="1487">
        <f t="shared" si="5"/>
        <v>1</v>
      </c>
    </row>
    <row r="16" spans="1:29" ht="15">
      <c r="A16" s="387"/>
      <c r="B16" s="405"/>
      <c r="C16" s="406"/>
      <c r="D16" s="407"/>
      <c r="E16" s="2032"/>
      <c r="F16" s="407"/>
      <c r="G16" s="2033"/>
      <c r="H16" s="409"/>
      <c r="I16" s="2033"/>
      <c r="J16" s="407"/>
      <c r="K16" s="2034"/>
      <c r="L16" s="2899"/>
      <c r="M16" s="2893"/>
      <c r="N16" s="2893"/>
      <c r="O16" s="2893"/>
      <c r="P16" s="3530"/>
      <c r="Q16" s="1486"/>
      <c r="R16" s="714"/>
      <c r="S16" s="715"/>
      <c r="T16" s="714"/>
      <c r="U16" s="715"/>
      <c r="V16" s="714"/>
      <c r="W16" s="715"/>
      <c r="X16" s="1489"/>
      <c r="Y16" s="3523"/>
      <c r="Z16" s="1490"/>
      <c r="AA16" s="1487">
        <v>1</v>
      </c>
      <c r="AB16" s="1487">
        <v>1</v>
      </c>
      <c r="AC16" s="1487">
        <v>1</v>
      </c>
    </row>
    <row r="17" spans="1:29" ht="85.5">
      <c r="A17" s="387"/>
      <c r="B17" s="410" t="s">
        <v>1702</v>
      </c>
      <c r="C17" s="203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530"/>
      <c r="Q17" s="1486" t="str">
        <f>B17</f>
        <v>交通便捷度</v>
      </c>
      <c r="R17" s="714" t="s">
        <v>21</v>
      </c>
      <c r="S17" s="715">
        <f>F17</f>
        <v>100</v>
      </c>
      <c r="T17" s="714" t="s">
        <v>21</v>
      </c>
      <c r="U17" s="715">
        <f>H17</f>
        <v>100</v>
      </c>
      <c r="V17" s="714" t="s">
        <v>21</v>
      </c>
      <c r="W17" s="715">
        <f>J17</f>
        <v>100</v>
      </c>
      <c r="X17" s="1489"/>
      <c r="Y17" s="3523"/>
      <c r="Z17" s="1490" t="str">
        <f>Q17</f>
        <v>交通便捷度</v>
      </c>
      <c r="AA17" s="1487">
        <f t="shared" si="3"/>
        <v>1</v>
      </c>
      <c r="AB17" s="1487">
        <f t="shared" si="4"/>
        <v>1</v>
      </c>
      <c r="AC17" s="1487">
        <f t="shared" si="5"/>
        <v>1</v>
      </c>
    </row>
    <row r="18" spans="1:29" ht="15">
      <c r="A18" s="387"/>
      <c r="B18" s="415"/>
      <c r="C18" s="2036"/>
      <c r="D18" s="409"/>
      <c r="E18" s="2037"/>
      <c r="F18" s="409"/>
      <c r="G18" s="2038"/>
      <c r="H18" s="407"/>
      <c r="I18" s="2038"/>
      <c r="J18" s="407"/>
      <c r="K18" s="2034"/>
      <c r="L18" s="2899"/>
      <c r="M18" s="2893"/>
      <c r="N18" s="2893"/>
      <c r="O18" s="2893"/>
      <c r="P18" s="3530"/>
      <c r="Q18" s="1486"/>
      <c r="R18" s="714"/>
      <c r="S18" s="715"/>
      <c r="T18" s="714"/>
      <c r="U18" s="715"/>
      <c r="V18" s="714"/>
      <c r="W18" s="715"/>
      <c r="X18" s="1489"/>
      <c r="Y18" s="3523"/>
      <c r="Z18" s="1490"/>
      <c r="AA18" s="1487">
        <v>1</v>
      </c>
      <c r="AB18" s="1487">
        <v>1</v>
      </c>
      <c r="AC18" s="1487">
        <v>1</v>
      </c>
    </row>
    <row r="19" spans="1:29" ht="42.75">
      <c r="A19" s="387"/>
      <c r="B19" s="410" t="s">
        <v>1701</v>
      </c>
      <c r="C19" s="203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530"/>
      <c r="Q19" s="1486" t="str">
        <f>B19</f>
        <v>公共配套设施</v>
      </c>
      <c r="R19" s="714" t="s">
        <v>21</v>
      </c>
      <c r="S19" s="715">
        <f>F19</f>
        <v>100</v>
      </c>
      <c r="T19" s="714" t="s">
        <v>21</v>
      </c>
      <c r="U19" s="715">
        <f>H19</f>
        <v>100</v>
      </c>
      <c r="V19" s="714" t="s">
        <v>21</v>
      </c>
      <c r="W19" s="715">
        <f>J19</f>
        <v>100</v>
      </c>
      <c r="X19" s="1489"/>
      <c r="Y19" s="3523"/>
      <c r="Z19" s="1490" t="str">
        <f>Q19</f>
        <v>公共配套设施</v>
      </c>
      <c r="AA19" s="1487">
        <f t="shared" si="3"/>
        <v>1</v>
      </c>
      <c r="AB19" s="1487">
        <f t="shared" si="4"/>
        <v>1</v>
      </c>
      <c r="AC19" s="1487">
        <f t="shared" si="5"/>
        <v>1</v>
      </c>
    </row>
    <row r="20" spans="1:29" ht="15">
      <c r="A20" s="387"/>
      <c r="B20" s="415"/>
      <c r="C20" s="406"/>
      <c r="D20" s="407"/>
      <c r="E20" s="2032"/>
      <c r="F20" s="407"/>
      <c r="G20" s="2033"/>
      <c r="H20" s="407"/>
      <c r="I20" s="2033"/>
      <c r="J20" s="407"/>
      <c r="K20" s="2034"/>
      <c r="L20" s="2899"/>
      <c r="M20" s="2893"/>
      <c r="N20" s="2893"/>
      <c r="O20" s="2893"/>
      <c r="P20" s="3530"/>
      <c r="Q20" s="1486"/>
      <c r="R20" s="714"/>
      <c r="S20" s="715"/>
      <c r="T20" s="714"/>
      <c r="U20" s="715"/>
      <c r="V20" s="714"/>
      <c r="W20" s="715"/>
      <c r="X20" s="1489"/>
      <c r="Y20" s="3523"/>
      <c r="Z20" s="1490"/>
      <c r="AA20" s="1487">
        <v>1</v>
      </c>
      <c r="AB20" s="1487">
        <v>1</v>
      </c>
      <c r="AC20" s="1487">
        <v>1</v>
      </c>
    </row>
    <row r="21" spans="1:29" ht="28.5">
      <c r="A21" s="387"/>
      <c r="B21" s="1246" t="s">
        <v>1703</v>
      </c>
      <c r="C21" s="203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530"/>
      <c r="Q21" s="1486" t="str">
        <f>B21</f>
        <v>基础设施水平</v>
      </c>
      <c r="R21" s="714" t="s">
        <v>17</v>
      </c>
      <c r="S21" s="715">
        <f>F21</f>
        <v>100</v>
      </c>
      <c r="T21" s="714" t="s">
        <v>17</v>
      </c>
      <c r="U21" s="715">
        <f>H21</f>
        <v>100</v>
      </c>
      <c r="V21" s="714" t="s">
        <v>17</v>
      </c>
      <c r="W21" s="715">
        <f>J21</f>
        <v>100</v>
      </c>
      <c r="X21" s="1489"/>
      <c r="Y21" s="3523"/>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7"/>
      <c r="G22" s="2039"/>
      <c r="H22" s="407"/>
      <c r="I22" s="406"/>
      <c r="J22" s="407"/>
      <c r="K22" s="2040"/>
      <c r="L22" s="2899"/>
      <c r="M22" s="2893"/>
      <c r="N22" s="2893"/>
      <c r="O22" s="2893"/>
      <c r="P22" s="3530"/>
      <c r="Q22" s="1486"/>
      <c r="R22" s="714"/>
      <c r="S22" s="715"/>
      <c r="T22" s="714"/>
      <c r="U22" s="715"/>
      <c r="V22" s="714"/>
      <c r="W22" s="715"/>
      <c r="X22" s="1489"/>
      <c r="Y22" s="3523"/>
      <c r="Z22" s="1490"/>
      <c r="AA22" s="1487">
        <v>1</v>
      </c>
      <c r="AB22" s="1487">
        <v>1</v>
      </c>
      <c r="AC22" s="1487">
        <v>1</v>
      </c>
    </row>
    <row r="23" spans="1:29" ht="57">
      <c r="A23" s="387"/>
      <c r="B23" s="410" t="s">
        <v>1704</v>
      </c>
      <c r="C23" s="203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530"/>
      <c r="Q23" s="1486" t="str">
        <f>B23</f>
        <v>自然及人文环境</v>
      </c>
      <c r="R23" s="714" t="s">
        <v>21</v>
      </c>
      <c r="S23" s="715">
        <f>F23</f>
        <v>100</v>
      </c>
      <c r="T23" s="714" t="s">
        <v>21</v>
      </c>
      <c r="U23" s="715">
        <f>H23</f>
        <v>100</v>
      </c>
      <c r="V23" s="714" t="s">
        <v>21</v>
      </c>
      <c r="W23" s="715">
        <f>J23</f>
        <v>100</v>
      </c>
      <c r="X23" s="1489"/>
      <c r="Y23" s="3523"/>
      <c r="Z23" s="1490" t="str">
        <f>Q23</f>
        <v>自然及人文环境</v>
      </c>
      <c r="AA23" s="1487">
        <f>D23/F23</f>
        <v>1</v>
      </c>
      <c r="AB23" s="1487">
        <f>D23/H23</f>
        <v>1</v>
      </c>
      <c r="AC23" s="1487">
        <f>D23/J23</f>
        <v>1</v>
      </c>
    </row>
    <row r="24" spans="1:29" ht="15">
      <c r="A24" s="387"/>
      <c r="B24" s="415"/>
      <c r="C24" s="406"/>
      <c r="D24" s="407"/>
      <c r="E24" s="2032"/>
      <c r="F24" s="407"/>
      <c r="G24" s="2033"/>
      <c r="H24" s="407"/>
      <c r="I24" s="2033"/>
      <c r="J24" s="407"/>
      <c r="K24" s="2034"/>
      <c r="L24" s="2899"/>
      <c r="M24" s="2893"/>
      <c r="N24" s="2893"/>
      <c r="O24" s="2893"/>
      <c r="P24" s="3530"/>
      <c r="Q24" s="1486"/>
      <c r="R24" s="714"/>
      <c r="S24" s="715"/>
      <c r="T24" s="714"/>
      <c r="U24" s="715"/>
      <c r="V24" s="714"/>
      <c r="W24" s="715"/>
      <c r="X24" s="1489"/>
      <c r="Y24" s="3523"/>
      <c r="Z24" s="1490"/>
      <c r="AA24" s="1487">
        <v>1</v>
      </c>
      <c r="AB24" s="1487">
        <v>1</v>
      </c>
      <c r="AC24" s="1487">
        <v>1</v>
      </c>
    </row>
    <row r="25" spans="1:29" ht="15">
      <c r="A25" s="387"/>
      <c r="B25" s="381" t="s">
        <v>2139</v>
      </c>
      <c r="C25" s="419"/>
      <c r="D25" s="394">
        <v>100</v>
      </c>
      <c r="E25" s="2041"/>
      <c r="F25" s="394">
        <f>SUMIF(86:86,E25,87:87)-SUMIF(86:86,C25,87:87)+100</f>
        <v>100</v>
      </c>
      <c r="G25" s="2042"/>
      <c r="H25" s="394">
        <f>SUMIF(86:86,G25,87:87)-SUMIF(86:86,C25,87:87)+100</f>
        <v>100</v>
      </c>
      <c r="I25" s="2042"/>
      <c r="J25" s="394">
        <f>SUMIF(86:86,I25,87:87)-SUMIF(86:86,C25,87:87)+100</f>
        <v>100</v>
      </c>
      <c r="K25" s="385"/>
      <c r="L25" s="2899"/>
      <c r="M25" s="2893"/>
      <c r="N25" s="2893"/>
      <c r="O25" s="2893"/>
      <c r="P25" s="3530"/>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523"/>
      <c r="Z25" s="1490" t="str">
        <f>Q25</f>
        <v>楼层-1</v>
      </c>
      <c r="AA25" s="1487">
        <f t="shared" ref="AA25:AA46" si="15">D25/F25</f>
        <v>1</v>
      </c>
      <c r="AB25" s="1487">
        <f t="shared" ref="AB25:AB46" si="16">D25/H25</f>
        <v>1</v>
      </c>
      <c r="AC25" s="1487">
        <f t="shared" ref="AC25:AC46" si="17">D25/J25</f>
        <v>1</v>
      </c>
    </row>
    <row r="26" spans="1:29" ht="15">
      <c r="A26" s="387"/>
      <c r="B26" s="381" t="s">
        <v>2140</v>
      </c>
      <c r="C26" s="419"/>
      <c r="D26" s="394">
        <v>100</v>
      </c>
      <c r="E26" s="2041"/>
      <c r="F26" s="394">
        <f>SUMIF(88:88,E26,89:89)-SUMIF(88:88,C26,89:89)+100</f>
        <v>100</v>
      </c>
      <c r="G26" s="2042"/>
      <c r="H26" s="394">
        <f>SUMIF(88:88,G26,89:89)-SUMIF(88:88,C26,89:89)+100</f>
        <v>100</v>
      </c>
      <c r="I26" s="2042"/>
      <c r="J26" s="394">
        <f>SUMIF(88:88,I26,89:89)-SUMIF(88:88,C26,89:89)+100</f>
        <v>100</v>
      </c>
      <c r="K26" s="385"/>
      <c r="L26" s="2899"/>
      <c r="M26" s="2893"/>
      <c r="N26" s="2893"/>
      <c r="O26" s="2893"/>
      <c r="P26" s="3530"/>
      <c r="Q26" s="1486" t="str">
        <f t="shared" si="11"/>
        <v>朝向</v>
      </c>
      <c r="R26" s="714" t="s">
        <v>21</v>
      </c>
      <c r="S26" s="715">
        <f t="shared" si="12"/>
        <v>100</v>
      </c>
      <c r="T26" s="714" t="s">
        <v>21</v>
      </c>
      <c r="U26" s="715">
        <f t="shared" si="13"/>
        <v>100</v>
      </c>
      <c r="V26" s="714" t="s">
        <v>21</v>
      </c>
      <c r="W26" s="715">
        <f t="shared" si="14"/>
        <v>100</v>
      </c>
      <c r="X26" s="1489"/>
      <c r="Y26" s="3523"/>
      <c r="Z26" s="1490" t="str">
        <f>Q26</f>
        <v>朝向</v>
      </c>
      <c r="AA26" s="1487">
        <f t="shared" si="15"/>
        <v>1</v>
      </c>
      <c r="AB26" s="1487">
        <f t="shared" si="16"/>
        <v>1</v>
      </c>
      <c r="AC26" s="1487">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29"/>
      <c r="L27" s="2894"/>
      <c r="M27" s="2895"/>
      <c r="N27" s="2895"/>
      <c r="O27" s="2895"/>
      <c r="P27" s="3530"/>
      <c r="Q27" s="1477">
        <f t="shared" si="11"/>
        <v>111</v>
      </c>
      <c r="R27" s="710" t="s">
        <v>21</v>
      </c>
      <c r="S27" s="711">
        <f t="shared" si="12"/>
        <v>100</v>
      </c>
      <c r="T27" s="710" t="s">
        <v>21</v>
      </c>
      <c r="U27" s="711">
        <f t="shared" si="13"/>
        <v>100</v>
      </c>
      <c r="V27" s="710" t="s">
        <v>21</v>
      </c>
      <c r="W27" s="711">
        <f t="shared" si="14"/>
        <v>100</v>
      </c>
      <c r="X27" s="712"/>
      <c r="Y27" s="3523"/>
      <c r="Z27" s="55">
        <f>Q27</f>
        <v>111</v>
      </c>
      <c r="AA27" s="1487">
        <f t="shared" si="15"/>
        <v>1</v>
      </c>
      <c r="AB27" s="1487">
        <f t="shared" si="16"/>
        <v>1</v>
      </c>
      <c r="AC27" s="1487">
        <f t="shared" si="17"/>
        <v>1</v>
      </c>
    </row>
    <row r="28" spans="1:29" ht="15">
      <c r="A28" s="387"/>
      <c r="B28" s="1248">
        <v>111</v>
      </c>
      <c r="C28" s="393"/>
      <c r="D28" s="394">
        <v>100</v>
      </c>
      <c r="E28" s="393"/>
      <c r="F28" s="394">
        <f>SUMIF(92:92,E28,93:93)-SUMIF(92:92,C28,93:93)+100</f>
        <v>100</v>
      </c>
      <c r="G28" s="2043"/>
      <c r="H28" s="394">
        <f>SUMIF(92:92,G28,93:93)-SUMIF(92:92,C28,93:93)+100</f>
        <v>100</v>
      </c>
      <c r="I28" s="393"/>
      <c r="J28" s="394">
        <f>SUMIF(92:92,I28,93:93)-SUMIF(92:92,C28,93:93)+100</f>
        <v>100</v>
      </c>
      <c r="K28" s="2029"/>
      <c r="L28" s="2899"/>
      <c r="M28" s="2893"/>
      <c r="N28" s="2893"/>
      <c r="O28" s="2893"/>
      <c r="P28" s="3530"/>
      <c r="Q28" s="1486">
        <f t="shared" si="11"/>
        <v>111</v>
      </c>
      <c r="R28" s="714" t="s">
        <v>21</v>
      </c>
      <c r="S28" s="715">
        <f t="shared" si="12"/>
        <v>100</v>
      </c>
      <c r="T28" s="714" t="s">
        <v>21</v>
      </c>
      <c r="U28" s="715">
        <f t="shared" si="13"/>
        <v>100</v>
      </c>
      <c r="V28" s="714" t="s">
        <v>21</v>
      </c>
      <c r="W28" s="715">
        <f t="shared" si="14"/>
        <v>100</v>
      </c>
      <c r="X28" s="1489"/>
      <c r="Y28" s="3523"/>
      <c r="Z28" s="1490">
        <f t="shared" ref="Z28:Z46" si="18">Q28</f>
        <v>111</v>
      </c>
      <c r="AA28" s="1487">
        <f t="shared" si="15"/>
        <v>1</v>
      </c>
      <c r="AB28" s="1487">
        <f t="shared" si="16"/>
        <v>1</v>
      </c>
      <c r="AC28" s="1487">
        <f t="shared" si="17"/>
        <v>1</v>
      </c>
    </row>
    <row r="29" spans="1:29" ht="15">
      <c r="A29" s="387"/>
      <c r="B29" s="1248">
        <v>111</v>
      </c>
      <c r="C29" s="393"/>
      <c r="D29" s="394">
        <v>100</v>
      </c>
      <c r="E29" s="393"/>
      <c r="F29" s="394">
        <f>SUMIF(94:94,E29,95:95)-SUMIF(94:94,C29,95:95)+100</f>
        <v>100</v>
      </c>
      <c r="G29" s="2043"/>
      <c r="H29" s="394">
        <f>SUMIF(94:94,G29,95:95)-SUMIF(94:94,C29,95:95)+100</f>
        <v>100</v>
      </c>
      <c r="I29" s="393"/>
      <c r="J29" s="394">
        <f>SUMIF(94:94,I29,95:95)-SUMIF(94:94,C29,95:95)+100</f>
        <v>100</v>
      </c>
      <c r="K29" s="2029"/>
      <c r="L29" s="2899"/>
      <c r="M29" s="2893"/>
      <c r="N29" s="2893"/>
      <c r="O29" s="2893"/>
      <c r="P29" s="3530"/>
      <c r="Q29" s="1486">
        <f t="shared" si="11"/>
        <v>111</v>
      </c>
      <c r="R29" s="714" t="s">
        <v>21</v>
      </c>
      <c r="S29" s="715">
        <f t="shared" si="12"/>
        <v>100</v>
      </c>
      <c r="T29" s="714" t="s">
        <v>21</v>
      </c>
      <c r="U29" s="715">
        <f t="shared" si="13"/>
        <v>100</v>
      </c>
      <c r="V29" s="714" t="s">
        <v>21</v>
      </c>
      <c r="W29" s="715">
        <f t="shared" si="14"/>
        <v>100</v>
      </c>
      <c r="X29" s="1489"/>
      <c r="Y29" s="3523"/>
      <c r="Z29" s="1490">
        <f t="shared" si="18"/>
        <v>111</v>
      </c>
      <c r="AA29" s="1487">
        <f t="shared" si="15"/>
        <v>1</v>
      </c>
      <c r="AB29" s="1487">
        <f t="shared" si="16"/>
        <v>1</v>
      </c>
      <c r="AC29" s="1487">
        <f t="shared" si="17"/>
        <v>1</v>
      </c>
    </row>
    <row r="30" spans="1:29" ht="15">
      <c r="A30" s="387"/>
      <c r="B30" s="1248">
        <v>111</v>
      </c>
      <c r="C30" s="393"/>
      <c r="D30" s="394">
        <v>100</v>
      </c>
      <c r="E30" s="393"/>
      <c r="F30" s="394">
        <f>SUMIF(96:96,E30,97:97)-SUMIF(96:96,C30,97:97)+100</f>
        <v>100</v>
      </c>
      <c r="G30" s="2043"/>
      <c r="H30" s="394">
        <f>SUMIF(96:96,G30,97:97)-SUMIF(96:96,C30,97:97)+100</f>
        <v>100</v>
      </c>
      <c r="I30" s="393"/>
      <c r="J30" s="394">
        <f>SUMIF(96:96,I30,97:97)-SUMIF(96:96,C30,97:97)+100</f>
        <v>100</v>
      </c>
      <c r="K30" s="2029"/>
      <c r="L30" s="2899"/>
      <c r="M30" s="2893"/>
      <c r="N30" s="2893"/>
      <c r="O30" s="2893"/>
      <c r="P30" s="3530"/>
      <c r="Q30" s="1486">
        <f t="shared" si="11"/>
        <v>111</v>
      </c>
      <c r="R30" s="714" t="s">
        <v>21</v>
      </c>
      <c r="S30" s="715">
        <f t="shared" si="12"/>
        <v>100</v>
      </c>
      <c r="T30" s="714" t="s">
        <v>21</v>
      </c>
      <c r="U30" s="715">
        <f t="shared" si="13"/>
        <v>100</v>
      </c>
      <c r="V30" s="714" t="s">
        <v>21</v>
      </c>
      <c r="W30" s="715">
        <f t="shared" si="14"/>
        <v>100</v>
      </c>
      <c r="X30" s="1489"/>
      <c r="Y30" s="3523"/>
      <c r="Z30" s="1490">
        <f t="shared" si="18"/>
        <v>111</v>
      </c>
      <c r="AA30" s="1487">
        <f t="shared" si="15"/>
        <v>1</v>
      </c>
      <c r="AB30" s="1487">
        <f t="shared" si="16"/>
        <v>1</v>
      </c>
      <c r="AC30" s="1487">
        <f t="shared" si="17"/>
        <v>1</v>
      </c>
    </row>
    <row r="31" spans="1:29" ht="15.75" thickBot="1">
      <c r="A31" s="395"/>
      <c r="B31" s="1248">
        <v>111</v>
      </c>
      <c r="C31" s="396"/>
      <c r="D31" s="397">
        <v>100</v>
      </c>
      <c r="E31" s="396"/>
      <c r="F31" s="397">
        <f>SUMIF(98:98,E31,99:99)-SUMIF(98:98,C31,99:99)+100</f>
        <v>100</v>
      </c>
      <c r="G31" s="2044"/>
      <c r="H31" s="397">
        <f>SUMIF(98:98,G31,99:99)-SUMIF(98:98,C31,99:99)+100</f>
        <v>100</v>
      </c>
      <c r="I31" s="396"/>
      <c r="J31" s="397">
        <f>SUMIF(98:98,I31,99:99)-SUMIF(98:98,C31,99:99)+100</f>
        <v>100</v>
      </c>
      <c r="K31" s="2029"/>
      <c r="L31" s="2899"/>
      <c r="M31" s="2893"/>
      <c r="N31" s="2893"/>
      <c r="O31" s="2893"/>
      <c r="P31" s="3530"/>
      <c r="Q31" s="1486">
        <f t="shared" si="11"/>
        <v>111</v>
      </c>
      <c r="R31" s="714" t="s">
        <v>21</v>
      </c>
      <c r="S31" s="715">
        <f t="shared" si="12"/>
        <v>100</v>
      </c>
      <c r="T31" s="714" t="s">
        <v>21</v>
      </c>
      <c r="U31" s="715">
        <f t="shared" si="13"/>
        <v>100</v>
      </c>
      <c r="V31" s="714" t="s">
        <v>21</v>
      </c>
      <c r="W31" s="715">
        <f t="shared" si="14"/>
        <v>100</v>
      </c>
      <c r="X31" s="1489"/>
      <c r="Y31" s="3523"/>
      <c r="Z31" s="1490">
        <f t="shared" si="18"/>
        <v>111</v>
      </c>
      <c r="AA31" s="1487">
        <f t="shared" si="15"/>
        <v>1</v>
      </c>
      <c r="AB31" s="1487">
        <f t="shared" si="16"/>
        <v>1</v>
      </c>
      <c r="AC31" s="1487">
        <f t="shared" si="17"/>
        <v>1</v>
      </c>
    </row>
    <row r="32" spans="1:29" ht="15">
      <c r="A32" s="399" t="s">
        <v>2141</v>
      </c>
      <c r="B32" s="67" t="s">
        <v>2142</v>
      </c>
      <c r="C32" s="2045"/>
      <c r="D32" s="426">
        <v>100</v>
      </c>
      <c r="E32" s="2046"/>
      <c r="F32" s="420">
        <f>SUMIF(100:100,E32,101:101)-SUMIF(100:100,C32,101:101)+100</f>
        <v>100</v>
      </c>
      <c r="G32" s="2045"/>
      <c r="H32" s="426">
        <f>SUMIF(100:100,G32,101:101)-SUMIF(100:100,C32,101:101)+100</f>
        <v>100</v>
      </c>
      <c r="I32" s="2046"/>
      <c r="J32" s="394">
        <f>SUMIF(100:100,I32,101:101)-SUMIF(100:100,C32,101:101)+100</f>
        <v>100</v>
      </c>
      <c r="K32" s="385"/>
      <c r="L32" s="2899"/>
      <c r="M32" s="2893"/>
      <c r="N32" s="2893"/>
      <c r="O32" s="2893"/>
      <c r="P32" s="3524" t="s">
        <v>2143</v>
      </c>
      <c r="Q32" s="1486" t="str">
        <f t="shared" si="11"/>
        <v>建筑类型</v>
      </c>
      <c r="R32" s="714" t="s">
        <v>21</v>
      </c>
      <c r="S32" s="715">
        <f t="shared" si="12"/>
        <v>100</v>
      </c>
      <c r="T32" s="714" t="s">
        <v>21</v>
      </c>
      <c r="U32" s="715">
        <f t="shared" si="13"/>
        <v>100</v>
      </c>
      <c r="V32" s="714" t="s">
        <v>21</v>
      </c>
      <c r="W32" s="715">
        <f t="shared" si="14"/>
        <v>100</v>
      </c>
      <c r="X32" s="1489"/>
      <c r="Y32" s="3527" t="s">
        <v>2143</v>
      </c>
      <c r="Z32" s="1490" t="str">
        <f t="shared" si="18"/>
        <v>建筑类型</v>
      </c>
      <c r="AA32" s="1487">
        <f t="shared" si="15"/>
        <v>1</v>
      </c>
      <c r="AB32" s="1487">
        <f t="shared" si="16"/>
        <v>1</v>
      </c>
      <c r="AC32" s="1487">
        <f t="shared" si="17"/>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9"/>
      <c r="L33" s="2898"/>
      <c r="M33" s="2900"/>
      <c r="N33" s="2900"/>
      <c r="O33" s="2900"/>
      <c r="P33" s="3525"/>
      <c r="Q33" s="716" t="str">
        <f t="shared" si="11"/>
        <v>项目建筑规模</v>
      </c>
      <c r="R33" s="717" t="s">
        <v>21</v>
      </c>
      <c r="S33" s="718" t="e">
        <f t="shared" si="12"/>
        <v>#N/A</v>
      </c>
      <c r="T33" s="717" t="s">
        <v>21</v>
      </c>
      <c r="U33" s="718" t="e">
        <f t="shared" si="13"/>
        <v>#N/A</v>
      </c>
      <c r="V33" s="717" t="s">
        <v>21</v>
      </c>
      <c r="W33" s="718" t="e">
        <f t="shared" si="14"/>
        <v>#N/A</v>
      </c>
      <c r="X33" s="719"/>
      <c r="Y33" s="3527"/>
      <c r="Z33" s="720" t="str">
        <f t="shared" si="18"/>
        <v>项目建筑规模</v>
      </c>
      <c r="AA33" s="1487" t="e">
        <f t="shared" si="15"/>
        <v>#N/A</v>
      </c>
      <c r="AB33" s="1487" t="e">
        <f t="shared" si="16"/>
        <v>#N/A</v>
      </c>
      <c r="AC33" s="1487" t="e">
        <f t="shared" si="17"/>
        <v>#N/A</v>
      </c>
    </row>
    <row r="34" spans="1:29" ht="15">
      <c r="A34" s="431"/>
      <c r="B34" s="381" t="s">
        <v>2145</v>
      </c>
      <c r="C34" s="2047"/>
      <c r="D34" s="394">
        <v>100</v>
      </c>
      <c r="E34" s="2048"/>
      <c r="F34" s="420">
        <f>SUMIF(105:105,E34,106:106)-SUMIF(105:105,C34,106:106)+100</f>
        <v>100</v>
      </c>
      <c r="G34" s="2047"/>
      <c r="H34" s="394">
        <f>SUMIF(105:105,G34,106:106)-SUMIF(105:105,C34,106:106)+100</f>
        <v>100</v>
      </c>
      <c r="I34" s="2048"/>
      <c r="J34" s="394">
        <f>SUMIF(105:105,I34,106:106)-SUMIF(105:105,C34,106:106)+100</f>
        <v>100</v>
      </c>
      <c r="K34" s="385"/>
      <c r="L34" s="2899"/>
      <c r="M34" s="2893"/>
      <c r="N34" s="2893"/>
      <c r="O34" s="2893"/>
      <c r="P34" s="3525"/>
      <c r="Q34" s="1486" t="str">
        <f t="shared" si="11"/>
        <v>建筑结构</v>
      </c>
      <c r="R34" s="714" t="s">
        <v>21</v>
      </c>
      <c r="S34" s="715">
        <f t="shared" si="12"/>
        <v>100</v>
      </c>
      <c r="T34" s="714" t="s">
        <v>21</v>
      </c>
      <c r="U34" s="715">
        <f t="shared" si="13"/>
        <v>100</v>
      </c>
      <c r="V34" s="714" t="s">
        <v>21</v>
      </c>
      <c r="W34" s="715">
        <f t="shared" si="14"/>
        <v>100</v>
      </c>
      <c r="X34" s="1489"/>
      <c r="Y34" s="3527"/>
      <c r="Z34" s="1490" t="str">
        <f t="shared" si="18"/>
        <v>建筑结构</v>
      </c>
      <c r="AA34" s="1487">
        <f t="shared" si="15"/>
        <v>1</v>
      </c>
      <c r="AB34" s="1487">
        <f t="shared" si="16"/>
        <v>1</v>
      </c>
      <c r="AC34" s="1487">
        <f t="shared" si="17"/>
        <v>1</v>
      </c>
    </row>
    <row r="35" spans="1:29" ht="15">
      <c r="A35" s="431"/>
      <c r="B35" s="381" t="s">
        <v>2146</v>
      </c>
      <c r="C35" s="2041"/>
      <c r="D35" s="394">
        <v>100</v>
      </c>
      <c r="E35" s="2042"/>
      <c r="F35" s="420">
        <f>SUMIF(107:107,E35,108:108)-SUMIF(107:107,C35,108:108)+100</f>
        <v>100</v>
      </c>
      <c r="G35" s="2041"/>
      <c r="H35" s="394">
        <f>SUMIF(107:107,G35,108:108)-SUMIF(107:107,C35,108:108)+100</f>
        <v>100</v>
      </c>
      <c r="I35" s="2042"/>
      <c r="J35" s="394">
        <f>SUMIF(107:107,I35,108:108)-SUMIF(107:107,C35,108:108)+100</f>
        <v>100</v>
      </c>
      <c r="K35" s="385"/>
      <c r="L35" s="2899"/>
      <c r="M35" s="2893"/>
      <c r="N35" s="2893"/>
      <c r="O35" s="2893"/>
      <c r="P35" s="3525"/>
      <c r="Q35" s="1486" t="str">
        <f t="shared" si="11"/>
        <v>建筑品质</v>
      </c>
      <c r="R35" s="714" t="s">
        <v>21</v>
      </c>
      <c r="S35" s="715">
        <f t="shared" si="12"/>
        <v>100</v>
      </c>
      <c r="T35" s="714" t="s">
        <v>21</v>
      </c>
      <c r="U35" s="715">
        <f t="shared" si="13"/>
        <v>100</v>
      </c>
      <c r="V35" s="714" t="s">
        <v>21</v>
      </c>
      <c r="W35" s="715">
        <f t="shared" si="14"/>
        <v>100</v>
      </c>
      <c r="X35" s="1489"/>
      <c r="Y35" s="3527"/>
      <c r="Z35" s="1490" t="str">
        <f t="shared" si="18"/>
        <v>建筑品质</v>
      </c>
      <c r="AA35" s="1487">
        <f t="shared" si="15"/>
        <v>1</v>
      </c>
      <c r="AB35" s="1487">
        <f t="shared" si="16"/>
        <v>1</v>
      </c>
      <c r="AC35" s="1487">
        <f t="shared" si="17"/>
        <v>1</v>
      </c>
    </row>
    <row r="36" spans="1:29" ht="15">
      <c r="A36" s="431"/>
      <c r="B36" s="381" t="s">
        <v>2147</v>
      </c>
      <c r="C36" s="2041"/>
      <c r="D36" s="394">
        <v>100</v>
      </c>
      <c r="E36" s="2042"/>
      <c r="F36" s="420">
        <f>SUMIF(109:109,E36,110:110)-SUMIF(109:109,C36,110:110)+100</f>
        <v>100</v>
      </c>
      <c r="G36" s="2041"/>
      <c r="H36" s="394">
        <f>SUMIF(109:109,G36,110:110)-SUMIF(109:109,C36,110:110)+100</f>
        <v>100</v>
      </c>
      <c r="I36" s="2042"/>
      <c r="J36" s="394">
        <f>SUMIF(109:109,I36,110:110)-SUMIF(109:109,C36,110:110)+100</f>
        <v>100</v>
      </c>
      <c r="K36" s="385"/>
      <c r="L36" s="2899"/>
      <c r="M36" s="2893"/>
      <c r="N36" s="2893"/>
      <c r="O36" s="2893"/>
      <c r="P36" s="3525"/>
      <c r="Q36" s="1486" t="str">
        <f t="shared" si="11"/>
        <v>公共部分装修</v>
      </c>
      <c r="R36" s="714" t="s">
        <v>21</v>
      </c>
      <c r="S36" s="715">
        <f t="shared" si="12"/>
        <v>100</v>
      </c>
      <c r="T36" s="714" t="s">
        <v>21</v>
      </c>
      <c r="U36" s="715">
        <f t="shared" si="13"/>
        <v>100</v>
      </c>
      <c r="V36" s="714" t="s">
        <v>21</v>
      </c>
      <c r="W36" s="715">
        <f t="shared" si="14"/>
        <v>100</v>
      </c>
      <c r="X36" s="1489"/>
      <c r="Y36" s="3527"/>
      <c r="Z36" s="1490" t="str">
        <f t="shared" si="18"/>
        <v>公共部分装修</v>
      </c>
      <c r="AA36" s="1487">
        <f t="shared" si="15"/>
        <v>1</v>
      </c>
      <c r="AB36" s="1487">
        <f t="shared" si="16"/>
        <v>1</v>
      </c>
      <c r="AC36" s="1487">
        <f t="shared" si="17"/>
        <v>1</v>
      </c>
    </row>
    <row r="37" spans="1:29" s="113" customFormat="1" ht="15">
      <c r="A37" s="432"/>
      <c r="B37" s="381" t="s">
        <v>2148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525"/>
      <c r="Q37" s="1477" t="str">
        <f t="shared" si="11"/>
        <v>成新度</v>
      </c>
      <c r="R37" s="710" t="s">
        <v>21</v>
      </c>
      <c r="S37" s="711" t="e">
        <f t="shared" si="12"/>
        <v>#N/A</v>
      </c>
      <c r="T37" s="710" t="s">
        <v>21</v>
      </c>
      <c r="U37" s="711" t="e">
        <f t="shared" si="13"/>
        <v>#N/A</v>
      </c>
      <c r="V37" s="710" t="s">
        <v>21</v>
      </c>
      <c r="W37" s="711" t="e">
        <f t="shared" si="14"/>
        <v>#N/A</v>
      </c>
      <c r="X37" s="712"/>
      <c r="Y37" s="3527"/>
      <c r="Z37" s="55" t="str">
        <f t="shared" si="18"/>
        <v>成新度</v>
      </c>
      <c r="AA37" s="713" t="e">
        <f t="shared" si="15"/>
        <v>#N/A</v>
      </c>
      <c r="AB37" s="713" t="e">
        <f t="shared" si="16"/>
        <v>#N/A</v>
      </c>
      <c r="AC37" s="713" t="e">
        <f t="shared" si="17"/>
        <v>#N/A</v>
      </c>
    </row>
    <row r="38" spans="1:29" ht="15">
      <c r="A38" s="431"/>
      <c r="B38" s="381" t="s">
        <v>2149</v>
      </c>
      <c r="C38" s="2041"/>
      <c r="D38" s="394">
        <v>100</v>
      </c>
      <c r="E38" s="2042"/>
      <c r="F38" s="420">
        <f>SUMIF(114:114,E38,115:115)-SUMIF(114:114,C38,115:115)+100</f>
        <v>100</v>
      </c>
      <c r="G38" s="2041"/>
      <c r="H38" s="394">
        <f>SUMIF(114:114,G38,115:115)-SUMIF(114:114,C38,115:115)+100</f>
        <v>100</v>
      </c>
      <c r="I38" s="2042"/>
      <c r="J38" s="394">
        <f>SUMIF(114:114,I38,115:115)-SUMIF(114:114,C38,115:115)+100</f>
        <v>100</v>
      </c>
      <c r="K38" s="385"/>
      <c r="L38" s="2899"/>
      <c r="M38" s="2893"/>
      <c r="N38" s="2893"/>
      <c r="O38" s="2893"/>
      <c r="P38" s="3525" t="s">
        <v>2143</v>
      </c>
      <c r="Q38" s="1486" t="str">
        <f t="shared" si="11"/>
        <v>物业管理</v>
      </c>
      <c r="R38" s="714" t="s">
        <v>21</v>
      </c>
      <c r="S38" s="715">
        <f t="shared" si="12"/>
        <v>100</v>
      </c>
      <c r="T38" s="714" t="s">
        <v>21</v>
      </c>
      <c r="U38" s="715">
        <f t="shared" si="13"/>
        <v>100</v>
      </c>
      <c r="V38" s="714" t="s">
        <v>21</v>
      </c>
      <c r="W38" s="715">
        <f t="shared" si="14"/>
        <v>100</v>
      </c>
      <c r="X38" s="1489"/>
      <c r="Y38" s="3527" t="s">
        <v>2143</v>
      </c>
      <c r="Z38" s="1490" t="str">
        <f t="shared" si="18"/>
        <v>物业管理</v>
      </c>
      <c r="AA38" s="1487">
        <f t="shared" si="15"/>
        <v>1</v>
      </c>
      <c r="AB38" s="1487">
        <f t="shared" si="16"/>
        <v>1</v>
      </c>
      <c r="AC38" s="1487">
        <f t="shared" si="17"/>
        <v>1</v>
      </c>
    </row>
    <row r="39" spans="1:29" ht="15">
      <c r="A39" s="431"/>
      <c r="B39" s="381" t="s">
        <v>2150</v>
      </c>
      <c r="C39" s="2041"/>
      <c r="D39" s="394">
        <v>100</v>
      </c>
      <c r="E39" s="2042"/>
      <c r="F39" s="420">
        <f>SUMIF(116:116,E39,117:117)-SUMIF(116:116,C39,117:117)+100</f>
        <v>100</v>
      </c>
      <c r="G39" s="2041"/>
      <c r="H39" s="394">
        <f>SUMIF(116:116,G39,117:117)-SUMIF(116:116,C39,117:117)+100</f>
        <v>100</v>
      </c>
      <c r="I39" s="2042"/>
      <c r="J39" s="394">
        <f>SUMIF(116:116,I39,117:117)-SUMIF(116:116,C39,117:117)+100</f>
        <v>100</v>
      </c>
      <c r="K39" s="385"/>
      <c r="L39" s="2899"/>
      <c r="M39" s="2893"/>
      <c r="N39" s="2893"/>
      <c r="O39" s="2893"/>
      <c r="P39" s="3525"/>
      <c r="Q39" s="1486" t="str">
        <f t="shared" si="11"/>
        <v>市政基础设施</v>
      </c>
      <c r="R39" s="714" t="s">
        <v>21</v>
      </c>
      <c r="S39" s="715">
        <f t="shared" si="12"/>
        <v>100</v>
      </c>
      <c r="T39" s="714" t="s">
        <v>21</v>
      </c>
      <c r="U39" s="715">
        <f t="shared" si="13"/>
        <v>100</v>
      </c>
      <c r="V39" s="714" t="s">
        <v>21</v>
      </c>
      <c r="W39" s="715">
        <f t="shared" si="14"/>
        <v>100</v>
      </c>
      <c r="X39" s="1489"/>
      <c r="Y39" s="3527"/>
      <c r="Z39" s="1490" t="str">
        <f t="shared" si="18"/>
        <v>市政基础设施</v>
      </c>
      <c r="AA39" s="1487">
        <f t="shared" si="15"/>
        <v>1</v>
      </c>
      <c r="AB39" s="1487">
        <f t="shared" si="16"/>
        <v>1</v>
      </c>
      <c r="AC39" s="1487">
        <f t="shared" si="17"/>
        <v>1</v>
      </c>
    </row>
    <row r="40" spans="1:29" ht="15">
      <c r="A40" s="431"/>
      <c r="B40" s="381" t="s">
        <v>2151</v>
      </c>
      <c r="C40" s="2041"/>
      <c r="D40" s="394">
        <v>100</v>
      </c>
      <c r="E40" s="2042"/>
      <c r="F40" s="420">
        <f>SUMIF(118:118,E40,119:119)-SUMIF(118:118,C40,119:119)+100</f>
        <v>100</v>
      </c>
      <c r="G40" s="2041"/>
      <c r="H40" s="394">
        <f>SUMIF(118:118,G40,119:119)-SUMIF(118:118,C40,119:119)+100</f>
        <v>100</v>
      </c>
      <c r="I40" s="2042"/>
      <c r="J40" s="394">
        <f>SUMIF(118:118,I40,119:119)-SUMIF(118:118,C40,119:119)+100</f>
        <v>100</v>
      </c>
      <c r="K40" s="385"/>
      <c r="L40" s="2899"/>
      <c r="M40" s="2893"/>
      <c r="N40" s="2893"/>
      <c r="O40" s="2893"/>
      <c r="P40" s="3525"/>
      <c r="Q40" s="1486" t="str">
        <f t="shared" si="11"/>
        <v>房型</v>
      </c>
      <c r="R40" s="714" t="s">
        <v>21</v>
      </c>
      <c r="S40" s="715">
        <f t="shared" si="12"/>
        <v>100</v>
      </c>
      <c r="T40" s="714" t="s">
        <v>21</v>
      </c>
      <c r="U40" s="715">
        <f t="shared" si="13"/>
        <v>100</v>
      </c>
      <c r="V40" s="714" t="s">
        <v>21</v>
      </c>
      <c r="W40" s="715">
        <f t="shared" si="14"/>
        <v>100</v>
      </c>
      <c r="X40" s="1489"/>
      <c r="Y40" s="3527"/>
      <c r="Z40" s="1490" t="str">
        <f t="shared" si="18"/>
        <v>房型</v>
      </c>
      <c r="AA40" s="1487">
        <f t="shared" si="15"/>
        <v>1</v>
      </c>
      <c r="AB40" s="1487">
        <f t="shared" si="16"/>
        <v>1</v>
      </c>
      <c r="AC40" s="1487">
        <f t="shared" si="17"/>
        <v>1</v>
      </c>
    </row>
    <row r="41" spans="1:29" s="430" customFormat="1" ht="28.5">
      <c r="A41" s="427"/>
      <c r="B41" s="381" t="s">
        <v>2152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9"/>
      <c r="L41" s="2898"/>
      <c r="M41" s="2900"/>
      <c r="N41" s="2900"/>
      <c r="O41" s="2900"/>
      <c r="P41" s="3525"/>
      <c r="Q41" s="716" t="str">
        <f t="shared" si="11"/>
        <v>单套/主力户型建筑面积</v>
      </c>
      <c r="R41" s="717" t="s">
        <v>21</v>
      </c>
      <c r="S41" s="718">
        <f t="shared" si="12"/>
        <v>100</v>
      </c>
      <c r="T41" s="717" t="s">
        <v>21</v>
      </c>
      <c r="U41" s="718">
        <f t="shared" si="13"/>
        <v>100</v>
      </c>
      <c r="V41" s="717" t="s">
        <v>21</v>
      </c>
      <c r="W41" s="718">
        <f t="shared" si="14"/>
        <v>100</v>
      </c>
      <c r="X41" s="719"/>
      <c r="Y41" s="3527"/>
      <c r="Z41" s="720" t="str">
        <f t="shared" si="18"/>
        <v>单套/主力户型建筑面积</v>
      </c>
      <c r="AA41" s="1487">
        <f t="shared" si="15"/>
        <v>1</v>
      </c>
      <c r="AB41" s="1487">
        <f t="shared" si="16"/>
        <v>1</v>
      </c>
      <c r="AC41" s="1487">
        <f t="shared" si="17"/>
        <v>1</v>
      </c>
    </row>
    <row r="42" spans="1:29" ht="15">
      <c r="A42" s="431"/>
      <c r="B42" s="381" t="s">
        <v>2153</v>
      </c>
      <c r="C42" s="2041"/>
      <c r="D42" s="394">
        <v>100</v>
      </c>
      <c r="E42" s="2042"/>
      <c r="F42" s="420">
        <f>SUMIF(122:122,E42,123:123)-SUMIF(122:122,C42,123:123)+100</f>
        <v>100</v>
      </c>
      <c r="G42" s="2041"/>
      <c r="H42" s="394">
        <f>SUMIF(122:122,G42,123:123)-SUMIF(122:122,C42,123:123)+100</f>
        <v>100</v>
      </c>
      <c r="I42" s="2042"/>
      <c r="J42" s="394">
        <f>SUMIF(122:122,I42,123:123)-SUMIF(122:122,C42,123:123)+100</f>
        <v>100</v>
      </c>
      <c r="K42" s="385"/>
      <c r="L42" s="2899"/>
      <c r="M42" s="2893"/>
      <c r="N42" s="2893"/>
      <c r="O42" s="2893"/>
      <c r="P42" s="3525"/>
      <c r="Q42" s="1486" t="str">
        <f t="shared" si="11"/>
        <v>内部装修</v>
      </c>
      <c r="R42" s="714" t="s">
        <v>21</v>
      </c>
      <c r="S42" s="715">
        <f t="shared" si="12"/>
        <v>100</v>
      </c>
      <c r="T42" s="714" t="s">
        <v>21</v>
      </c>
      <c r="U42" s="715">
        <f t="shared" si="13"/>
        <v>100</v>
      </c>
      <c r="V42" s="714" t="s">
        <v>21</v>
      </c>
      <c r="W42" s="715">
        <f t="shared" si="14"/>
        <v>100</v>
      </c>
      <c r="X42" s="1489"/>
      <c r="Y42" s="3527"/>
      <c r="Z42" s="1490" t="str">
        <f t="shared" si="18"/>
        <v>内部装修</v>
      </c>
      <c r="AA42" s="1487">
        <f t="shared" si="15"/>
        <v>1</v>
      </c>
      <c r="AB42" s="1487">
        <f t="shared" si="16"/>
        <v>1</v>
      </c>
      <c r="AC42" s="1487">
        <f t="shared" si="17"/>
        <v>1</v>
      </c>
    </row>
    <row r="43" spans="1:29" ht="15">
      <c r="A43" s="431"/>
      <c r="B43" s="381" t="s">
        <v>2154</v>
      </c>
      <c r="C43" s="2041"/>
      <c r="D43" s="394">
        <v>100</v>
      </c>
      <c r="E43" s="2042"/>
      <c r="F43" s="420">
        <f>SUMIF(124:124,E43,125:125)-SUMIF(124:124,C43,125:125)+100</f>
        <v>100</v>
      </c>
      <c r="G43" s="2041"/>
      <c r="H43" s="394">
        <f>SUMIF(124:124,G43,125:125)-SUMIF(124:124,C43,125:125)+100</f>
        <v>100</v>
      </c>
      <c r="I43" s="2042"/>
      <c r="J43" s="394">
        <f>SUMIF(124:124,I43,125:125)-SUMIF(124:124,C43,125:125)+100</f>
        <v>100</v>
      </c>
      <c r="K43" s="385"/>
      <c r="L43" s="2899"/>
      <c r="M43" s="2893"/>
      <c r="N43" s="2893"/>
      <c r="O43" s="2893"/>
      <c r="P43" s="3525"/>
      <c r="Q43" s="1486" t="str">
        <f t="shared" si="11"/>
        <v>内部装修维护情况</v>
      </c>
      <c r="R43" s="714" t="s">
        <v>21</v>
      </c>
      <c r="S43" s="715">
        <f t="shared" si="12"/>
        <v>100</v>
      </c>
      <c r="T43" s="714" t="s">
        <v>21</v>
      </c>
      <c r="U43" s="715">
        <f t="shared" si="13"/>
        <v>100</v>
      </c>
      <c r="V43" s="714" t="s">
        <v>21</v>
      </c>
      <c r="W43" s="715">
        <f t="shared" si="14"/>
        <v>100</v>
      </c>
      <c r="X43" s="1489"/>
      <c r="Y43" s="3527"/>
      <c r="Z43" s="1490" t="str">
        <f t="shared" si="18"/>
        <v>内部装修维护情况</v>
      </c>
      <c r="AA43" s="1487">
        <f t="shared" si="15"/>
        <v>1</v>
      </c>
      <c r="AB43" s="1487">
        <f t="shared" si="16"/>
        <v>1</v>
      </c>
      <c r="AC43" s="1487">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9"/>
      <c r="L44" s="2894"/>
      <c r="M44" s="2895"/>
      <c r="N44" s="2895"/>
      <c r="O44" s="2895"/>
      <c r="P44" s="3525"/>
      <c r="Q44" s="1477">
        <f t="shared" si="11"/>
        <v>111</v>
      </c>
      <c r="R44" s="710" t="s">
        <v>21</v>
      </c>
      <c r="S44" s="711">
        <f t="shared" si="12"/>
        <v>100</v>
      </c>
      <c r="T44" s="710" t="s">
        <v>21</v>
      </c>
      <c r="U44" s="711">
        <f t="shared" si="13"/>
        <v>100</v>
      </c>
      <c r="V44" s="710" t="s">
        <v>21</v>
      </c>
      <c r="W44" s="711">
        <f t="shared" si="14"/>
        <v>100</v>
      </c>
      <c r="X44" s="712"/>
      <c r="Y44" s="3527"/>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9"/>
      <c r="L45" s="2899"/>
      <c r="M45" s="2893"/>
      <c r="N45" s="2893"/>
      <c r="O45" s="2893"/>
      <c r="P45" s="3525"/>
      <c r="Q45" s="1486">
        <f t="shared" si="11"/>
        <v>111</v>
      </c>
      <c r="R45" s="714" t="s">
        <v>21</v>
      </c>
      <c r="S45" s="715">
        <f t="shared" si="12"/>
        <v>100</v>
      </c>
      <c r="T45" s="714" t="s">
        <v>21</v>
      </c>
      <c r="U45" s="715">
        <f t="shared" si="13"/>
        <v>100</v>
      </c>
      <c r="V45" s="714" t="s">
        <v>21</v>
      </c>
      <c r="W45" s="715">
        <f t="shared" si="14"/>
        <v>100</v>
      </c>
      <c r="X45" s="1489"/>
      <c r="Y45" s="3527"/>
      <c r="Z45" s="1490">
        <f t="shared" si="18"/>
        <v>111</v>
      </c>
      <c r="AA45" s="1487">
        <f t="shared" si="15"/>
        <v>1</v>
      </c>
      <c r="AB45" s="1487">
        <f t="shared" si="16"/>
        <v>1</v>
      </c>
      <c r="AC45" s="1487">
        <f t="shared" si="17"/>
        <v>1</v>
      </c>
    </row>
    <row r="46" spans="1:29" ht="15.75" thickBot="1">
      <c r="A46" s="437"/>
      <c r="B46" s="203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9"/>
      <c r="L46" s="2899"/>
      <c r="M46" s="2893"/>
      <c r="N46" s="2893"/>
      <c r="O46" s="2893"/>
      <c r="P46" s="3526"/>
      <c r="Q46" s="1486">
        <f t="shared" si="11"/>
        <v>111</v>
      </c>
      <c r="R46" s="714" t="s">
        <v>20</v>
      </c>
      <c r="S46" s="715">
        <f t="shared" si="12"/>
        <v>100</v>
      </c>
      <c r="T46" s="714" t="s">
        <v>20</v>
      </c>
      <c r="U46" s="715">
        <f t="shared" si="13"/>
        <v>100</v>
      </c>
      <c r="V46" s="714" t="s">
        <v>20</v>
      </c>
      <c r="W46" s="715">
        <f t="shared" si="14"/>
        <v>100</v>
      </c>
      <c r="X46" s="1489"/>
      <c r="Y46" s="3528"/>
      <c r="Z46" s="1490">
        <f t="shared" si="18"/>
        <v>111</v>
      </c>
      <c r="AA46" s="1487">
        <f t="shared" si="15"/>
        <v>1</v>
      </c>
      <c r="AB46" s="1487">
        <f t="shared" si="16"/>
        <v>1</v>
      </c>
      <c r="AC46" s="1487">
        <f t="shared" si="17"/>
        <v>1</v>
      </c>
    </row>
    <row r="47" spans="1:29" ht="15">
      <c r="A47" s="438" t="s">
        <v>2155</v>
      </c>
      <c r="B47" s="439"/>
      <c r="C47" s="1269" t="s">
        <v>19</v>
      </c>
      <c r="D47" s="1270"/>
      <c r="E47" s="1271"/>
      <c r="F47" s="1272"/>
      <c r="G47" s="1273"/>
      <c r="H47" s="1274"/>
      <c r="I47" s="1271"/>
      <c r="J47" s="1274"/>
      <c r="K47" s="2049"/>
      <c r="L47" s="2901"/>
      <c r="M47" s="2902"/>
      <c r="N47" s="2893"/>
      <c r="O47" s="2902"/>
      <c r="P47" s="3520" t="str">
        <f>A47</f>
        <v>成交单价（元/平方米）</v>
      </c>
      <c r="Q47" s="3520"/>
      <c r="R47" s="3521">
        <f>E47</f>
        <v>0</v>
      </c>
      <c r="S47" s="3521"/>
      <c r="T47" s="3521">
        <f>G47</f>
        <v>0</v>
      </c>
      <c r="U47" s="3521"/>
      <c r="V47" s="3521">
        <f>I47</f>
        <v>0</v>
      </c>
      <c r="W47" s="3521"/>
      <c r="X47" s="699"/>
      <c r="Y47" s="721"/>
      <c r="Z47" s="699"/>
      <c r="AA47" s="699"/>
      <c r="AB47" s="699"/>
      <c r="AC47" s="699"/>
    </row>
    <row r="48" spans="1:29" ht="15.75" thickBot="1">
      <c r="A48" s="445" t="s">
        <v>2156</v>
      </c>
      <c r="B48" s="446"/>
      <c r="C48" s="1275" t="e">
        <f>R49</f>
        <v>#DIV/0!</v>
      </c>
      <c r="D48" s="2487" t="s">
        <v>2636</v>
      </c>
      <c r="E48" s="1276" t="e">
        <f>R48</f>
        <v>#DIV/0!</v>
      </c>
      <c r="F48" s="2488"/>
      <c r="G48" s="1275" t="e">
        <f>T48</f>
        <v>#DIV/0!</v>
      </c>
      <c r="H48" s="2488"/>
      <c r="I48" s="1276" t="e">
        <f>V48</f>
        <v>#DIV/0!</v>
      </c>
      <c r="J48" s="2488"/>
      <c r="K48" s="2489">
        <f>F48+H48+J48</f>
        <v>0</v>
      </c>
      <c r="L48" s="2901"/>
      <c r="M48" s="2902"/>
      <c r="N48" s="2902"/>
      <c r="O48" s="2902"/>
      <c r="P48" s="3520" t="str">
        <f>A48</f>
        <v>比较价值（元/平方米）</v>
      </c>
      <c r="Q48" s="3520"/>
      <c r="R48" s="3521" t="e">
        <f>IF(F1="售价",ROUND(PRODUCT(R47,AA7:AA46),0),ROUND(PRODUCT(R47,AA7:AA46),1))</f>
        <v>#DIV/0!</v>
      </c>
      <c r="S48" s="3521"/>
      <c r="T48" s="3521" t="e">
        <f>IF(F1="售价",ROUND(PRODUCT(T47,AB7:AB46),0),ROUND(PRODUCT(T47,AB7:AB46),1))</f>
        <v>#DIV/0!</v>
      </c>
      <c r="U48" s="3521"/>
      <c r="V48" s="3521" t="e">
        <f>IF(F1="售价",ROUND(PRODUCT(V47,AC7:AC46),0),ROUND(PRODUCT(V47,AC7:AC46),1))</f>
        <v>#DIV/0!</v>
      </c>
      <c r="W48" s="3521"/>
      <c r="X48" s="699"/>
      <c r="Y48" s="699"/>
      <c r="Z48" s="699"/>
      <c r="AA48" s="699"/>
      <c r="AB48" s="699"/>
      <c r="AC48" s="699"/>
    </row>
    <row r="49" spans="1:29" ht="15.75" thickBot="1">
      <c r="A49" s="449" t="s">
        <v>2157</v>
      </c>
      <c r="B49" s="450"/>
      <c r="C49" s="1277" t="e">
        <f>R49</f>
        <v>#DIV/0!</v>
      </c>
      <c r="D49" s="1278"/>
      <c r="E49" s="1278"/>
      <c r="F49" s="1278"/>
      <c r="G49" s="1278"/>
      <c r="H49" s="1278"/>
      <c r="I49" s="1278"/>
      <c r="J49" s="1278"/>
      <c r="K49" s="2050"/>
      <c r="L49" s="2901"/>
      <c r="M49" s="2902"/>
      <c r="N49" s="2902"/>
      <c r="O49" s="2902"/>
      <c r="P49" s="3517" t="str">
        <f>A49</f>
        <v>估价对象XX用房的比较价值（楼面单价，元/平方米）</v>
      </c>
      <c r="Q49" s="3518"/>
      <c r="R49" s="3519" t="e">
        <f>IF(F1="售价",ROUND(IF(D48="简单平均",AVERAGE(R48:V48),R48*F48+T48*H48+V48*J48),0),ROUND(IF(D48="简单平均",AVERAGE(R48:V48),R48*F48+T48*H48+V48*J48),1))</f>
        <v>#DIV/0!</v>
      </c>
      <c r="S49" s="3519"/>
      <c r="T49" s="3519"/>
      <c r="U49" s="3519"/>
      <c r="V49" s="3519"/>
      <c r="W49" s="3519"/>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2158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2159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2160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2"/>
    </row>
    <row r="55" spans="1:29" s="459" customFormat="1">
      <c r="A55" s="2905"/>
      <c r="B55" s="2908"/>
      <c r="C55" s="2909"/>
      <c r="D55" s="2905"/>
      <c r="E55" s="2905"/>
      <c r="F55" s="2905"/>
      <c r="G55" s="2905"/>
      <c r="H55" s="2905"/>
      <c r="I55" s="2905"/>
      <c r="J55" s="2905"/>
      <c r="K55" s="2910"/>
      <c r="L55" s="2904"/>
      <c r="M55" s="2905"/>
      <c r="N55" s="2905"/>
      <c r="O55" s="2905"/>
      <c r="P55" s="2052"/>
    </row>
    <row r="56" spans="1:29">
      <c r="A56" s="2902"/>
      <c r="B56" s="2908"/>
      <c r="C56" s="2909"/>
      <c r="D56" s="2902"/>
      <c r="E56" s="2902"/>
      <c r="F56" s="2902"/>
      <c r="G56" s="2902"/>
      <c r="H56" s="2902"/>
      <c r="I56" s="2902"/>
      <c r="J56" s="2902"/>
      <c r="K56" s="2907"/>
      <c r="L56" s="2903"/>
      <c r="M56" s="2902"/>
      <c r="N56" s="2902"/>
      <c r="O56" s="2902"/>
    </row>
    <row r="57" spans="1:29" ht="21.75" thickBot="1">
      <c r="A57" s="703" t="s">
        <v>2161</v>
      </c>
      <c r="B57" s="699"/>
      <c r="C57" s="704"/>
      <c r="D57" s="704"/>
      <c r="E57" s="704"/>
      <c r="F57" s="705"/>
      <c r="G57" s="705"/>
      <c r="H57" s="704"/>
      <c r="I57" s="704"/>
      <c r="J57" s="704"/>
      <c r="K57" s="1053"/>
      <c r="L57" s="1054"/>
      <c r="M57" s="1052"/>
      <c r="N57" s="1052"/>
      <c r="O57" s="1052"/>
      <c r="P57" s="2053"/>
      <c r="Q57" s="461"/>
    </row>
    <row r="58" spans="1:29" s="465" customFormat="1" ht="15">
      <c r="A58" s="462" t="s">
        <v>2162</v>
      </c>
      <c r="B58" s="463"/>
      <c r="C58" s="1300" t="str">
        <f>YEAR(C7)&amp;"-"&amp;MONTH(C7)</f>
        <v>2022-7</v>
      </c>
      <c r="D58" s="1299">
        <f>EDATE(C58,-1)</f>
        <v>44713</v>
      </c>
      <c r="E58" s="1299">
        <f>EDATE(D58,-1)</f>
        <v>44682</v>
      </c>
      <c r="F58" s="1299">
        <f t="shared" ref="F58:O58" si="19">EDATE(E58,-1)</f>
        <v>44652</v>
      </c>
      <c r="G58" s="1299">
        <f t="shared" si="19"/>
        <v>44621</v>
      </c>
      <c r="H58" s="1299">
        <f t="shared" si="19"/>
        <v>44593</v>
      </c>
      <c r="I58" s="1299">
        <f t="shared" si="19"/>
        <v>44562</v>
      </c>
      <c r="J58" s="1299">
        <f t="shared" si="19"/>
        <v>44531</v>
      </c>
      <c r="K58" s="1299">
        <f t="shared" si="19"/>
        <v>44501</v>
      </c>
      <c r="L58" s="1299">
        <f t="shared" si="19"/>
        <v>44470</v>
      </c>
      <c r="M58" s="1299">
        <f t="shared" si="19"/>
        <v>44440</v>
      </c>
      <c r="N58" s="1299">
        <f t="shared" si="19"/>
        <v>44409</v>
      </c>
      <c r="O58" s="1299">
        <f t="shared" si="19"/>
        <v>44378</v>
      </c>
      <c r="P58" s="1295"/>
    </row>
    <row r="59" spans="1:29" s="113" customFormat="1" ht="15">
      <c r="A59" s="466"/>
      <c r="B59" s="2054"/>
      <c r="C59" s="1297">
        <v>100</v>
      </c>
      <c r="D59" s="468"/>
      <c r="E59" s="469"/>
      <c r="F59" s="469"/>
      <c r="G59" s="469"/>
      <c r="H59" s="469"/>
      <c r="I59" s="469"/>
      <c r="J59" s="469"/>
      <c r="K59" s="469"/>
      <c r="L59" s="469"/>
      <c r="M59" s="470"/>
      <c r="N59" s="469"/>
      <c r="O59" s="470"/>
      <c r="P59" s="2055"/>
    </row>
    <row r="60" spans="1:29" s="113" customFormat="1" ht="15.75" thickBot="1">
      <c r="A60" s="472" t="s">
        <v>2163</v>
      </c>
      <c r="B60" s="473"/>
      <c r="C60" s="474"/>
      <c r="D60" s="475"/>
      <c r="E60" s="475"/>
      <c r="F60" s="475"/>
      <c r="G60" s="475"/>
      <c r="H60" s="475"/>
      <c r="I60" s="475"/>
      <c r="J60" s="475"/>
      <c r="K60" s="475"/>
      <c r="L60" s="475"/>
      <c r="M60" s="476"/>
      <c r="N60" s="475"/>
      <c r="O60" s="476"/>
      <c r="P60" s="2055"/>
      <c r="Q60" s="461"/>
    </row>
    <row r="61" spans="1:29" s="113" customFormat="1" ht="15">
      <c r="A61" s="478" t="s">
        <v>2164</v>
      </c>
      <c r="B61" s="467"/>
      <c r="C61" s="479" t="s">
        <v>2165</v>
      </c>
      <c r="D61" s="480"/>
      <c r="E61" s="480"/>
      <c r="F61" s="480"/>
      <c r="G61" s="480"/>
      <c r="H61" s="480"/>
      <c r="I61" s="480"/>
      <c r="J61" s="480"/>
      <c r="K61" s="480"/>
      <c r="L61" s="481"/>
      <c r="M61" s="482"/>
      <c r="N61" s="1044"/>
      <c r="O61" s="1044"/>
      <c r="P61" s="2056"/>
      <c r="Q61" s="461"/>
    </row>
    <row r="62" spans="1:29" s="113" customFormat="1" ht="15.75" thickBot="1">
      <c r="A62" s="478"/>
      <c r="B62" s="467"/>
      <c r="C62" s="468">
        <v>100</v>
      </c>
      <c r="D62" s="469"/>
      <c r="E62" s="469"/>
      <c r="F62" s="469"/>
      <c r="G62" s="469"/>
      <c r="H62" s="469"/>
      <c r="I62" s="469"/>
      <c r="J62" s="469"/>
      <c r="K62" s="469"/>
      <c r="L62" s="469"/>
      <c r="M62" s="471"/>
      <c r="N62" s="1044"/>
      <c r="O62" s="1044"/>
      <c r="P62" s="2055"/>
      <c r="Q62" s="461"/>
    </row>
    <row r="63" spans="1:29">
      <c r="A63" s="484" t="s">
        <v>2166</v>
      </c>
      <c r="B63" s="485" t="s">
        <v>2132</v>
      </c>
      <c r="C63" s="486">
        <f>C9</f>
        <v>0</v>
      </c>
      <c r="D63" s="487"/>
      <c r="E63" s="487"/>
      <c r="F63" s="487"/>
      <c r="G63" s="487"/>
      <c r="H63" s="487"/>
      <c r="I63" s="487"/>
      <c r="J63" s="487"/>
      <c r="K63" s="488"/>
      <c r="L63" s="489"/>
      <c r="M63" s="490"/>
      <c r="N63" s="1045"/>
      <c r="O63" s="1045"/>
      <c r="P63" s="2057"/>
      <c r="Q63" s="461"/>
    </row>
    <row r="64" spans="1:29" ht="15.75" thickBot="1">
      <c r="A64" s="491"/>
      <c r="B64" s="492"/>
      <c r="C64" s="493">
        <v>100</v>
      </c>
      <c r="D64" s="493"/>
      <c r="E64" s="493"/>
      <c r="F64" s="493"/>
      <c r="G64" s="493"/>
      <c r="H64" s="493"/>
      <c r="I64" s="493"/>
      <c r="J64" s="493"/>
      <c r="K64" s="493"/>
      <c r="L64" s="493"/>
      <c r="M64" s="494"/>
      <c r="N64" s="1046"/>
      <c r="O64" s="1046"/>
      <c r="P64" s="2057"/>
      <c r="Q64" s="461"/>
    </row>
    <row r="65" spans="1:17" ht="27.75" thickTop="1">
      <c r="A65" s="491"/>
      <c r="B65" s="495" t="s">
        <v>2135</v>
      </c>
      <c r="C65" s="496" t="s">
        <v>2167</v>
      </c>
      <c r="D65" s="496" t="s">
        <v>2168</v>
      </c>
      <c r="E65" s="496" t="s">
        <v>2169</v>
      </c>
      <c r="F65" s="496" t="s">
        <v>2170</v>
      </c>
      <c r="G65" s="496" t="s">
        <v>2171</v>
      </c>
      <c r="H65" s="496" t="s">
        <v>2172</v>
      </c>
      <c r="I65" s="496" t="s">
        <v>2173</v>
      </c>
      <c r="J65" s="496"/>
      <c r="K65" s="497"/>
      <c r="L65" s="498"/>
      <c r="M65" s="499"/>
      <c r="N65" s="1045"/>
      <c r="O65" s="1045"/>
      <c r="P65" s="205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7"/>
      <c r="Q66" s="461"/>
    </row>
    <row r="67" spans="1:17" ht="15.75" thickTop="1">
      <c r="A67" s="491"/>
      <c r="B67" s="503" t="s">
        <v>2136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7"/>
      <c r="Q67" s="461"/>
    </row>
    <row r="68" spans="1:17" ht="15">
      <c r="A68" s="491"/>
      <c r="B68" s="505"/>
      <c r="C68" s="506"/>
      <c r="D68" s="506"/>
      <c r="E68" s="506"/>
      <c r="F68" s="506"/>
      <c r="G68" s="506"/>
      <c r="H68" s="506"/>
      <c r="I68" s="506"/>
      <c r="J68" s="506"/>
      <c r="K68" s="507"/>
      <c r="L68" s="508"/>
      <c r="M68" s="509"/>
      <c r="N68" s="1045"/>
      <c r="O68" s="1045"/>
      <c r="P68" s="205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7"/>
      <c r="Q69" s="461"/>
    </row>
    <row r="70" spans="1:17" s="430" customFormat="1" ht="15.75" thickTop="1">
      <c r="A70" s="510"/>
      <c r="B70" s="495">
        <f>B12</f>
        <v>111</v>
      </c>
      <c r="C70" s="511"/>
      <c r="D70" s="511"/>
      <c r="E70" s="511"/>
      <c r="F70" s="511"/>
      <c r="G70" s="511"/>
      <c r="H70" s="512"/>
      <c r="I70" s="512"/>
      <c r="J70" s="512"/>
      <c r="K70" s="512"/>
      <c r="L70" s="513"/>
      <c r="M70" s="514"/>
      <c r="N70" s="1047"/>
      <c r="O70" s="1047"/>
      <c r="P70" s="2058"/>
      <c r="Q70" s="516"/>
    </row>
    <row r="71" spans="1:17" s="430" customFormat="1" ht="15.75" thickBot="1">
      <c r="A71" s="510"/>
      <c r="B71" s="500"/>
      <c r="C71" s="517"/>
      <c r="D71" s="493"/>
      <c r="E71" s="493"/>
      <c r="F71" s="493"/>
      <c r="G71" s="493"/>
      <c r="H71" s="493"/>
      <c r="I71" s="493"/>
      <c r="J71" s="493"/>
      <c r="K71" s="493"/>
      <c r="L71" s="493"/>
      <c r="M71" s="494"/>
      <c r="N71" s="1046"/>
      <c r="O71" s="1046"/>
      <c r="P71" s="2058"/>
      <c r="Q71" s="516"/>
    </row>
    <row r="72" spans="1:17" s="430" customFormat="1" ht="15.75" thickTop="1">
      <c r="A72" s="510"/>
      <c r="B72" s="495">
        <f>B13</f>
        <v>111</v>
      </c>
      <c r="C72" s="511"/>
      <c r="D72" s="511"/>
      <c r="E72" s="511"/>
      <c r="F72" s="511"/>
      <c r="G72" s="511"/>
      <c r="H72" s="512"/>
      <c r="I72" s="512"/>
      <c r="J72" s="512"/>
      <c r="K72" s="512"/>
      <c r="L72" s="513"/>
      <c r="M72" s="514"/>
      <c r="N72" s="1047"/>
      <c r="O72" s="1047"/>
      <c r="P72" s="2059"/>
      <c r="Q72" s="518"/>
    </row>
    <row r="73" spans="1:17" s="430" customFormat="1" ht="15.75" thickBot="1">
      <c r="A73" s="510"/>
      <c r="B73" s="500"/>
      <c r="C73" s="517"/>
      <c r="D73" s="517"/>
      <c r="E73" s="517"/>
      <c r="F73" s="517"/>
      <c r="G73" s="517"/>
      <c r="H73" s="519"/>
      <c r="I73" s="519"/>
      <c r="J73" s="519"/>
      <c r="K73" s="519"/>
      <c r="L73" s="519"/>
      <c r="M73" s="520"/>
      <c r="N73" s="1047"/>
      <c r="O73" s="1047"/>
      <c r="P73" s="2058"/>
      <c r="Q73" s="516"/>
    </row>
    <row r="74" spans="1:17" s="430" customFormat="1" ht="15.75" thickTop="1">
      <c r="A74" s="510"/>
      <c r="B74" s="503">
        <f>B14</f>
        <v>111</v>
      </c>
      <c r="C74" s="511"/>
      <c r="D74" s="511"/>
      <c r="E74" s="511"/>
      <c r="F74" s="511"/>
      <c r="G74" s="480"/>
      <c r="H74" s="521"/>
      <c r="I74" s="521"/>
      <c r="J74" s="521"/>
      <c r="K74" s="521"/>
      <c r="L74" s="522"/>
      <c r="M74" s="523"/>
      <c r="N74" s="1047"/>
      <c r="O74" s="1047"/>
      <c r="P74" s="2060"/>
      <c r="Q74" s="516"/>
    </row>
    <row r="75" spans="1:17" s="430" customFormat="1" ht="15.75" thickBot="1">
      <c r="A75" s="525"/>
      <c r="B75" s="526"/>
      <c r="C75" s="527"/>
      <c r="D75" s="527"/>
      <c r="E75" s="527"/>
      <c r="F75" s="527"/>
      <c r="G75" s="527"/>
      <c r="H75" s="528"/>
      <c r="I75" s="528"/>
      <c r="J75" s="528"/>
      <c r="K75" s="528"/>
      <c r="L75" s="528"/>
      <c r="M75" s="529"/>
      <c r="N75" s="1047"/>
      <c r="O75" s="1047"/>
      <c r="P75" s="2058"/>
      <c r="Q75" s="516"/>
    </row>
    <row r="76" spans="1:17">
      <c r="A76" s="484" t="s">
        <v>2137</v>
      </c>
      <c r="B76" s="485" t="s">
        <v>2174</v>
      </c>
      <c r="C76" s="530" t="s">
        <v>2175</v>
      </c>
      <c r="D76" s="530" t="s">
        <v>2176</v>
      </c>
      <c r="E76" s="530" t="s">
        <v>2177</v>
      </c>
      <c r="F76" s="530" t="s">
        <v>2178</v>
      </c>
      <c r="G76" s="530" t="s">
        <v>2179</v>
      </c>
      <c r="H76" s="486"/>
      <c r="I76" s="486"/>
      <c r="J76" s="486"/>
      <c r="K76" s="531"/>
      <c r="L76" s="532"/>
      <c r="M76" s="533"/>
      <c r="N76" s="1045"/>
      <c r="O76" s="1045"/>
      <c r="P76" s="206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7"/>
      <c r="Q77" s="461"/>
    </row>
    <row r="78" spans="1:17" ht="15.75" thickTop="1">
      <c r="A78" s="491"/>
      <c r="B78" s="495" t="s">
        <v>2180</v>
      </c>
      <c r="C78" s="535" t="s">
        <v>2175</v>
      </c>
      <c r="D78" s="535" t="s">
        <v>2176</v>
      </c>
      <c r="E78" s="535" t="s">
        <v>2177</v>
      </c>
      <c r="F78" s="535" t="s">
        <v>2178</v>
      </c>
      <c r="G78" s="535" t="s">
        <v>2179</v>
      </c>
      <c r="H78" s="496"/>
      <c r="I78" s="496"/>
      <c r="J78" s="496"/>
      <c r="K78" s="497"/>
      <c r="L78" s="498"/>
      <c r="M78" s="499"/>
      <c r="N78" s="1045"/>
      <c r="O78" s="1045"/>
      <c r="P78" s="205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7"/>
      <c r="Q79" s="461"/>
    </row>
    <row r="80" spans="1:17" ht="15.75" thickTop="1">
      <c r="A80" s="491"/>
      <c r="B80" s="495" t="s">
        <v>2181</v>
      </c>
      <c r="C80" s="535" t="s">
        <v>2175</v>
      </c>
      <c r="D80" s="535" t="s">
        <v>2176</v>
      </c>
      <c r="E80" s="535" t="s">
        <v>2177</v>
      </c>
      <c r="F80" s="535" t="s">
        <v>2178</v>
      </c>
      <c r="G80" s="535" t="s">
        <v>2179</v>
      </c>
      <c r="H80" s="496"/>
      <c r="I80" s="496"/>
      <c r="J80" s="496"/>
      <c r="K80" s="497"/>
      <c r="L80" s="498"/>
      <c r="M80" s="499"/>
      <c r="N80" s="1045"/>
      <c r="O80" s="1045"/>
      <c r="P80" s="205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7"/>
      <c r="Q81" s="461"/>
    </row>
    <row r="82" spans="1:17" ht="15.75" thickTop="1">
      <c r="A82" s="491"/>
      <c r="B82" s="503" t="s">
        <v>1703</v>
      </c>
      <c r="C82" s="496" t="s">
        <v>2182</v>
      </c>
      <c r="D82" s="496" t="s">
        <v>2183</v>
      </c>
      <c r="E82" s="496" t="s">
        <v>2184</v>
      </c>
      <c r="F82" s="496" t="s">
        <v>2185</v>
      </c>
      <c r="G82" s="496" t="s">
        <v>2186</v>
      </c>
      <c r="H82" s="496"/>
      <c r="I82" s="496"/>
      <c r="J82" s="496"/>
      <c r="K82" s="496"/>
      <c r="L82" s="496"/>
      <c r="M82" s="1244"/>
      <c r="N82" s="1046"/>
      <c r="O82" s="1046"/>
      <c r="P82" s="205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7"/>
      <c r="Q83" s="461"/>
    </row>
    <row r="84" spans="1:17" ht="15.75" thickTop="1">
      <c r="A84" s="491"/>
      <c r="B84" s="495" t="s">
        <v>2187</v>
      </c>
      <c r="C84" s="535" t="s">
        <v>2175</v>
      </c>
      <c r="D84" s="535" t="s">
        <v>2176</v>
      </c>
      <c r="E84" s="535" t="s">
        <v>2177</v>
      </c>
      <c r="F84" s="535" t="s">
        <v>2178</v>
      </c>
      <c r="G84" s="535" t="s">
        <v>2179</v>
      </c>
      <c r="H84" s="496"/>
      <c r="I84" s="496"/>
      <c r="J84" s="496"/>
      <c r="K84" s="497"/>
      <c r="L84" s="498"/>
      <c r="M84" s="499"/>
      <c r="N84" s="1045"/>
      <c r="O84" s="1045"/>
      <c r="P84" s="205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7"/>
      <c r="Q85" s="461"/>
    </row>
    <row r="86" spans="1:17" s="113" customFormat="1" ht="15.75" thickTop="1">
      <c r="A86" s="536"/>
      <c r="B86" s="495" t="s">
        <v>2188</v>
      </c>
      <c r="C86" s="511"/>
      <c r="D86" s="511"/>
      <c r="E86" s="511"/>
      <c r="F86" s="511"/>
      <c r="G86" s="511"/>
      <c r="H86" s="511"/>
      <c r="I86" s="511"/>
      <c r="J86" s="511"/>
      <c r="K86" s="511"/>
      <c r="L86" s="537"/>
      <c r="M86" s="538"/>
      <c r="N86" s="1044"/>
      <c r="O86" s="1044"/>
      <c r="P86" s="205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7"/>
      <c r="Q87" s="461"/>
    </row>
    <row r="88" spans="1:17" s="113" customFormat="1" ht="15.75" thickTop="1">
      <c r="A88" s="536"/>
      <c r="B88" s="495" t="s">
        <v>2189</v>
      </c>
      <c r="C88" s="511"/>
      <c r="D88" s="511"/>
      <c r="E88" s="511"/>
      <c r="F88" s="2062"/>
      <c r="G88" s="511"/>
      <c r="H88" s="511"/>
      <c r="I88" s="511"/>
      <c r="J88" s="511"/>
      <c r="K88" s="511"/>
      <c r="L88" s="511"/>
      <c r="M88" s="538"/>
      <c r="N88" s="1044"/>
      <c r="O88" s="1044"/>
      <c r="P88" s="205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7"/>
      <c r="Q89" s="461"/>
    </row>
    <row r="90" spans="1:17" s="430" customFormat="1" ht="15.75" thickTop="1">
      <c r="A90" s="510"/>
      <c r="B90" s="495">
        <f>B27</f>
        <v>111</v>
      </c>
      <c r="C90" s="511"/>
      <c r="D90" s="511"/>
      <c r="E90" s="511"/>
      <c r="F90" s="511"/>
      <c r="G90" s="511"/>
      <c r="H90" s="512"/>
      <c r="I90" s="512"/>
      <c r="J90" s="512"/>
      <c r="K90" s="512"/>
      <c r="L90" s="513"/>
      <c r="M90" s="514"/>
      <c r="N90" s="1047"/>
      <c r="O90" s="1047"/>
      <c r="P90" s="2058"/>
      <c r="Q90" s="516"/>
    </row>
    <row r="91" spans="1:17" s="430" customFormat="1" ht="15.75" thickBot="1">
      <c r="A91" s="510"/>
      <c r="B91" s="500"/>
      <c r="C91" s="517"/>
      <c r="D91" s="517"/>
      <c r="E91" s="517"/>
      <c r="F91" s="517"/>
      <c r="G91" s="517"/>
      <c r="H91" s="519"/>
      <c r="I91" s="519"/>
      <c r="J91" s="519"/>
      <c r="K91" s="519"/>
      <c r="L91" s="519"/>
      <c r="M91" s="520"/>
      <c r="N91" s="1047"/>
      <c r="O91" s="1047"/>
      <c r="P91" s="2058"/>
      <c r="Q91" s="516"/>
    </row>
    <row r="92" spans="1:17" ht="15.75" thickTop="1">
      <c r="A92" s="491"/>
      <c r="B92" s="495">
        <f>B28</f>
        <v>111</v>
      </c>
      <c r="C92" s="511"/>
      <c r="D92" s="511"/>
      <c r="E92" s="511"/>
      <c r="F92" s="511"/>
      <c r="G92" s="540"/>
      <c r="H92" s="540"/>
      <c r="I92" s="540"/>
      <c r="J92" s="540"/>
      <c r="K92" s="541"/>
      <c r="L92" s="542"/>
      <c r="M92" s="543"/>
      <c r="N92" s="1045"/>
      <c r="O92" s="1045"/>
      <c r="P92" s="2057"/>
      <c r="Q92" s="461"/>
    </row>
    <row r="93" spans="1:17" ht="15.75" thickBot="1">
      <c r="A93" s="491"/>
      <c r="B93" s="500"/>
      <c r="C93" s="517"/>
      <c r="D93" s="493"/>
      <c r="E93" s="493"/>
      <c r="F93" s="493"/>
      <c r="G93" s="493"/>
      <c r="H93" s="493"/>
      <c r="I93" s="493"/>
      <c r="J93" s="493"/>
      <c r="K93" s="493"/>
      <c r="L93" s="493"/>
      <c r="M93" s="494"/>
      <c r="N93" s="1046"/>
      <c r="O93" s="1046"/>
      <c r="P93" s="2057"/>
      <c r="Q93" s="461"/>
    </row>
    <row r="94" spans="1:17" ht="15.75" thickTop="1">
      <c r="A94" s="491"/>
      <c r="B94" s="495">
        <f>B29</f>
        <v>111</v>
      </c>
      <c r="C94" s="511"/>
      <c r="D94" s="511"/>
      <c r="E94" s="511"/>
      <c r="F94" s="511"/>
      <c r="G94" s="540"/>
      <c r="H94" s="540"/>
      <c r="I94" s="540"/>
      <c r="J94" s="540"/>
      <c r="K94" s="541"/>
      <c r="L94" s="542"/>
      <c r="M94" s="543"/>
      <c r="N94" s="1045"/>
      <c r="O94" s="1045"/>
      <c r="P94" s="2057"/>
      <c r="Q94" s="461"/>
    </row>
    <row r="95" spans="1:17" ht="15.75" thickBot="1">
      <c r="A95" s="491"/>
      <c r="B95" s="500"/>
      <c r="C95" s="517"/>
      <c r="D95" s="517"/>
      <c r="E95" s="517"/>
      <c r="F95" s="517"/>
      <c r="G95" s="493"/>
      <c r="H95" s="493"/>
      <c r="I95" s="493"/>
      <c r="J95" s="493"/>
      <c r="K95" s="493"/>
      <c r="L95" s="493"/>
      <c r="M95" s="494"/>
      <c r="N95" s="1046"/>
      <c r="O95" s="1046"/>
      <c r="P95" s="2057"/>
      <c r="Q95" s="461"/>
    </row>
    <row r="96" spans="1:17" ht="15.75" thickTop="1">
      <c r="A96" s="491"/>
      <c r="B96" s="495">
        <f>B30</f>
        <v>111</v>
      </c>
      <c r="C96" s="511"/>
      <c r="D96" s="511"/>
      <c r="E96" s="511"/>
      <c r="F96" s="511"/>
      <c r="G96" s="540"/>
      <c r="H96" s="540"/>
      <c r="I96" s="540"/>
      <c r="J96" s="540"/>
      <c r="K96" s="541"/>
      <c r="L96" s="542"/>
      <c r="M96" s="543"/>
      <c r="N96" s="1045"/>
      <c r="O96" s="1045"/>
      <c r="P96" s="2057"/>
      <c r="Q96" s="461"/>
    </row>
    <row r="97" spans="1:17" ht="15.75" thickBot="1">
      <c r="A97" s="491"/>
      <c r="B97" s="500"/>
      <c r="C97" s="527"/>
      <c r="D97" s="527"/>
      <c r="E97" s="527"/>
      <c r="F97" s="527"/>
      <c r="G97" s="493"/>
      <c r="H97" s="493"/>
      <c r="I97" s="493"/>
      <c r="J97" s="493"/>
      <c r="K97" s="493"/>
      <c r="L97" s="493"/>
      <c r="M97" s="494"/>
      <c r="N97" s="1046"/>
      <c r="O97" s="1046"/>
      <c r="P97" s="2057"/>
      <c r="Q97" s="461"/>
    </row>
    <row r="98" spans="1:17" ht="15.75" thickTop="1">
      <c r="A98" s="491"/>
      <c r="B98" s="503">
        <f>B31</f>
        <v>111</v>
      </c>
      <c r="C98" s="544"/>
      <c r="D98" s="544"/>
      <c r="E98" s="544"/>
      <c r="F98" s="544"/>
      <c r="G98" s="544"/>
      <c r="H98" s="544"/>
      <c r="I98" s="544"/>
      <c r="J98" s="544"/>
      <c r="K98" s="545"/>
      <c r="L98" s="546"/>
      <c r="M98" s="547"/>
      <c r="N98" s="1045"/>
      <c r="O98" s="1045"/>
      <c r="P98" s="2057"/>
      <c r="Q98" s="461"/>
    </row>
    <row r="99" spans="1:17" ht="15.75" thickBot="1">
      <c r="A99" s="2063"/>
      <c r="B99" s="526"/>
      <c r="C99" s="548"/>
      <c r="D99" s="548"/>
      <c r="E99" s="548"/>
      <c r="F99" s="548"/>
      <c r="G99" s="548"/>
      <c r="H99" s="548"/>
      <c r="I99" s="548"/>
      <c r="J99" s="548"/>
      <c r="K99" s="548"/>
      <c r="L99" s="548"/>
      <c r="M99" s="549"/>
      <c r="N99" s="1046"/>
      <c r="O99" s="1046"/>
      <c r="P99" s="2057"/>
      <c r="Q99" s="461"/>
    </row>
    <row r="100" spans="1:17">
      <c r="A100" s="484" t="s">
        <v>2141</v>
      </c>
      <c r="B100" s="485" t="s">
        <v>2190</v>
      </c>
      <c r="C100" s="487"/>
      <c r="D100" s="487"/>
      <c r="E100" s="487"/>
      <c r="F100" s="487"/>
      <c r="G100" s="487"/>
      <c r="H100" s="487"/>
      <c r="I100" s="487"/>
      <c r="J100" s="487"/>
      <c r="K100" s="488"/>
      <c r="L100" s="489"/>
      <c r="M100" s="490"/>
      <c r="N100" s="1045"/>
      <c r="O100" s="1045"/>
      <c r="P100" s="205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7"/>
      <c r="Q101" s="461"/>
    </row>
    <row r="102" spans="1:17" ht="15.75" thickTop="1">
      <c r="A102" s="491"/>
      <c r="B102" s="495" t="s">
        <v>2191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7"/>
      <c r="Q102" s="461"/>
    </row>
    <row r="103" spans="1:17" s="430" customFormat="1">
      <c r="A103" s="550"/>
      <c r="B103" s="551"/>
      <c r="C103" s="552"/>
      <c r="D103" s="552"/>
      <c r="E103" s="552"/>
      <c r="F103" s="552"/>
      <c r="G103" s="552"/>
      <c r="H103" s="552"/>
      <c r="I103" s="552"/>
      <c r="J103" s="553"/>
      <c r="K103" s="553"/>
      <c r="L103" s="554"/>
      <c r="M103" s="555"/>
      <c r="N103" s="1047"/>
      <c r="O103" s="1047"/>
      <c r="P103" s="2058"/>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8"/>
      <c r="Q104" s="516"/>
    </row>
    <row r="105" spans="1:17" ht="15" thickTop="1">
      <c r="A105" s="556"/>
      <c r="B105" s="495" t="s">
        <v>2192</v>
      </c>
      <c r="C105" s="511"/>
      <c r="D105" s="511"/>
      <c r="E105" s="540"/>
      <c r="F105" s="540"/>
      <c r="G105" s="540"/>
      <c r="H105" s="540"/>
      <c r="I105" s="540"/>
      <c r="J105" s="540"/>
      <c r="K105" s="541"/>
      <c r="L105" s="542"/>
      <c r="M105" s="543"/>
      <c r="N105" s="1045"/>
      <c r="O105" s="1045"/>
      <c r="P105" s="205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7"/>
      <c r="Q106" s="461"/>
    </row>
    <row r="107" spans="1:17" ht="15" thickTop="1">
      <c r="A107" s="556"/>
      <c r="B107" s="495" t="s">
        <v>2193</v>
      </c>
      <c r="C107" s="540"/>
      <c r="D107" s="540"/>
      <c r="E107" s="540"/>
      <c r="F107" s="540"/>
      <c r="G107" s="540"/>
      <c r="H107" s="540"/>
      <c r="I107" s="540"/>
      <c r="J107" s="540"/>
      <c r="K107" s="541"/>
      <c r="L107" s="542"/>
      <c r="M107" s="543"/>
      <c r="N107" s="1045"/>
      <c r="O107" s="1045"/>
      <c r="P107" s="205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7"/>
      <c r="Q108" s="461"/>
    </row>
    <row r="109" spans="1:17" ht="15" thickTop="1">
      <c r="A109" s="556"/>
      <c r="B109" s="495" t="s">
        <v>2194</v>
      </c>
      <c r="C109" s="511"/>
      <c r="D109" s="511"/>
      <c r="E109" s="511"/>
      <c r="F109" s="540"/>
      <c r="G109" s="540"/>
      <c r="H109" s="540"/>
      <c r="I109" s="540"/>
      <c r="J109" s="540"/>
      <c r="K109" s="541"/>
      <c r="L109" s="542"/>
      <c r="M109" s="543"/>
      <c r="N109" s="1045"/>
      <c r="O109" s="1045"/>
      <c r="P109" s="205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7"/>
      <c r="Q110" s="461"/>
    </row>
    <row r="111" spans="1:17" s="430" customFormat="1" ht="15" thickTop="1">
      <c r="A111" s="550"/>
      <c r="B111" s="495" t="s">
        <v>1633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8"/>
      <c r="Q113" s="516"/>
    </row>
    <row r="114" spans="1:17" ht="15" thickTop="1">
      <c r="A114" s="556"/>
      <c r="B114" s="495" t="s">
        <v>2195</v>
      </c>
      <c r="C114" s="511"/>
      <c r="D114" s="511"/>
      <c r="E114" s="540"/>
      <c r="F114" s="540"/>
      <c r="G114" s="540"/>
      <c r="H114" s="540"/>
      <c r="I114" s="540"/>
      <c r="J114" s="540"/>
      <c r="K114" s="541"/>
      <c r="L114" s="542"/>
      <c r="M114" s="543"/>
      <c r="N114" s="1045"/>
      <c r="O114" s="1045"/>
      <c r="P114" s="205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7"/>
      <c r="Q115" s="461"/>
    </row>
    <row r="116" spans="1:17" ht="15" thickTop="1">
      <c r="A116" s="556"/>
      <c r="B116" s="495" t="s">
        <v>2196</v>
      </c>
      <c r="C116" s="511"/>
      <c r="D116" s="511"/>
      <c r="E116" s="511"/>
      <c r="F116" s="511"/>
      <c r="G116" s="511"/>
      <c r="H116" s="540"/>
      <c r="I116" s="540"/>
      <c r="J116" s="540"/>
      <c r="K116" s="541"/>
      <c r="L116" s="542"/>
      <c r="M116" s="543"/>
      <c r="N116" s="1045"/>
      <c r="O116" s="1045"/>
      <c r="P116" s="205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7"/>
      <c r="Q117" s="461"/>
    </row>
    <row r="118" spans="1:17" ht="15" thickTop="1">
      <c r="A118" s="556"/>
      <c r="B118" s="495" t="s">
        <v>2197</v>
      </c>
      <c r="C118" s="540"/>
      <c r="D118" s="540"/>
      <c r="E118" s="540"/>
      <c r="F118" s="540"/>
      <c r="G118" s="540"/>
      <c r="H118" s="540"/>
      <c r="I118" s="540"/>
      <c r="J118" s="540"/>
      <c r="K118" s="541"/>
      <c r="L118" s="542"/>
      <c r="M118" s="543"/>
      <c r="N118" s="1045"/>
      <c r="O118" s="1045"/>
      <c r="P118" s="205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7"/>
      <c r="Q119" s="461"/>
    </row>
    <row r="120" spans="1:17" s="430" customFormat="1" ht="28.5" thickTop="1">
      <c r="A120" s="550"/>
      <c r="B120" s="495" t="s">
        <v>2152</v>
      </c>
      <c r="C120" s="511"/>
      <c r="D120" s="511"/>
      <c r="E120" s="511"/>
      <c r="F120" s="511"/>
      <c r="G120" s="511"/>
      <c r="H120" s="511"/>
      <c r="I120" s="511"/>
      <c r="J120" s="511"/>
      <c r="K120" s="511"/>
      <c r="L120" s="537"/>
      <c r="M120" s="538"/>
      <c r="N120" s="1047"/>
      <c r="O120" s="1047"/>
      <c r="P120" s="2058"/>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8"/>
      <c r="Q121" s="516"/>
    </row>
    <row r="122" spans="1:17" ht="15" thickTop="1">
      <c r="A122" s="556"/>
      <c r="B122" s="495" t="s">
        <v>2198</v>
      </c>
      <c r="C122" s="511"/>
      <c r="D122" s="511"/>
      <c r="E122" s="511"/>
      <c r="F122" s="540"/>
      <c r="G122" s="540"/>
      <c r="H122" s="540"/>
      <c r="I122" s="540"/>
      <c r="J122" s="540"/>
      <c r="K122" s="541"/>
      <c r="L122" s="542"/>
      <c r="M122" s="543"/>
      <c r="N122" s="1045"/>
      <c r="O122" s="1045"/>
      <c r="P122" s="205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7"/>
      <c r="Q123" s="461"/>
    </row>
    <row r="124" spans="1:17" ht="15" thickTop="1">
      <c r="A124" s="556"/>
      <c r="B124" s="495" t="s">
        <v>2199</v>
      </c>
      <c r="C124" s="535" t="s">
        <v>2175</v>
      </c>
      <c r="D124" s="535" t="s">
        <v>2176</v>
      </c>
      <c r="E124" s="535" t="s">
        <v>2177</v>
      </c>
      <c r="F124" s="535" t="s">
        <v>2178</v>
      </c>
      <c r="G124" s="535" t="s">
        <v>2179</v>
      </c>
      <c r="H124" s="496"/>
      <c r="I124" s="496"/>
      <c r="J124" s="496"/>
      <c r="K124" s="497"/>
      <c r="L124" s="498"/>
      <c r="M124" s="499"/>
      <c r="N124" s="1045"/>
      <c r="O124" s="1045"/>
      <c r="P124" s="205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7"/>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8"/>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8"/>
      <c r="Q127" s="516"/>
    </row>
    <row r="128" spans="1:17" ht="15" thickTop="1">
      <c r="A128" s="556"/>
      <c r="B128" s="495">
        <f>B45</f>
        <v>111</v>
      </c>
      <c r="C128" s="511"/>
      <c r="D128" s="511"/>
      <c r="E128" s="511"/>
      <c r="F128" s="511"/>
      <c r="G128" s="540"/>
      <c r="H128" s="540"/>
      <c r="I128" s="540"/>
      <c r="J128" s="540"/>
      <c r="K128" s="541"/>
      <c r="L128" s="542"/>
      <c r="M128" s="543"/>
      <c r="N128" s="1045"/>
      <c r="O128" s="1045"/>
      <c r="P128" s="2057"/>
      <c r="Q128" s="461"/>
    </row>
    <row r="129" spans="1:17" ht="15.75" thickBot="1">
      <c r="A129" s="491"/>
      <c r="B129" s="500"/>
      <c r="C129" s="517"/>
      <c r="D129" s="517"/>
      <c r="E129" s="517"/>
      <c r="F129" s="517"/>
      <c r="G129" s="493"/>
      <c r="H129" s="493"/>
      <c r="I129" s="493"/>
      <c r="J129" s="493"/>
      <c r="K129" s="493"/>
      <c r="L129" s="493"/>
      <c r="M129" s="494"/>
      <c r="N129" s="1046"/>
      <c r="O129" s="1046"/>
      <c r="P129" s="2057"/>
      <c r="Q129" s="461"/>
    </row>
    <row r="130" spans="1:17" ht="15" thickTop="1">
      <c r="A130" s="556"/>
      <c r="B130" s="503">
        <f>B46</f>
        <v>111</v>
      </c>
      <c r="C130" s="511"/>
      <c r="D130" s="511"/>
      <c r="E130" s="511"/>
      <c r="F130" s="511"/>
      <c r="G130" s="544"/>
      <c r="H130" s="544"/>
      <c r="I130" s="544"/>
      <c r="J130" s="544"/>
      <c r="K130" s="480"/>
      <c r="L130" s="481"/>
      <c r="M130" s="547"/>
      <c r="N130" s="1045"/>
      <c r="O130" s="1045"/>
      <c r="P130" s="2057"/>
      <c r="Q130" s="461"/>
    </row>
    <row r="131" spans="1:17" ht="15.75" thickBot="1">
      <c r="A131" s="2063"/>
      <c r="B131" s="526"/>
      <c r="C131" s="527"/>
      <c r="D131" s="527"/>
      <c r="E131" s="527"/>
      <c r="F131" s="527"/>
      <c r="G131" s="548"/>
      <c r="H131" s="548"/>
      <c r="I131" s="548"/>
      <c r="J131" s="548"/>
      <c r="K131" s="548"/>
      <c r="L131" s="548"/>
      <c r="M131" s="549"/>
      <c r="N131" s="1046"/>
      <c r="O131" s="1046"/>
      <c r="P131" s="2057"/>
      <c r="Q131" s="461"/>
    </row>
    <row r="136" spans="1:17" ht="15" thickBot="1">
      <c r="B136" s="2064" t="s">
        <v>2200</v>
      </c>
    </row>
    <row r="137" spans="1:17" ht="15">
      <c r="B137" s="2065" t="s">
        <v>2201</v>
      </c>
      <c r="C137" s="2066"/>
      <c r="D137" s="2066"/>
      <c r="E137" s="2066"/>
      <c r="F137" s="2066"/>
      <c r="G137" s="2067"/>
      <c r="H137" s="2068"/>
      <c r="I137" s="2069" t="s">
        <v>2202</v>
      </c>
      <c r="J137" s="2066"/>
      <c r="K137" s="2070"/>
    </row>
    <row r="138" spans="1:17" ht="15">
      <c r="B138" s="2071"/>
      <c r="C138" s="142" t="s">
        <v>2203</v>
      </c>
      <c r="D138" s="142" t="s">
        <v>2204</v>
      </c>
      <c r="E138" s="2072" t="s">
        <v>2205</v>
      </c>
      <c r="F138" s="2073" t="s">
        <v>2206</v>
      </c>
      <c r="G138" s="142" t="s">
        <v>2204</v>
      </c>
      <c r="H138" s="143" t="s">
        <v>2205</v>
      </c>
      <c r="I138" s="2074"/>
      <c r="J138" s="142" t="s">
        <v>2207</v>
      </c>
      <c r="K138" s="143" t="s">
        <v>2208</v>
      </c>
    </row>
    <row r="139" spans="1:17" ht="15">
      <c r="B139" s="979">
        <v>6</v>
      </c>
      <c r="C139" s="980">
        <v>96</v>
      </c>
      <c r="D139" s="2075" t="s">
        <v>2209</v>
      </c>
      <c r="E139" s="981">
        <v>100</v>
      </c>
      <c r="F139" s="982">
        <v>102.5</v>
      </c>
      <c r="G139" s="2075" t="s">
        <v>2209</v>
      </c>
      <c r="H139" s="983">
        <v>105</v>
      </c>
      <c r="I139" s="2076" t="s">
        <v>2210</v>
      </c>
      <c r="J139" s="980">
        <v>20</v>
      </c>
      <c r="K139" s="984">
        <f>C145/(J139-2)</f>
        <v>4.0555555555555553E-3</v>
      </c>
    </row>
    <row r="140" spans="1:17" ht="15">
      <c r="B140" s="985">
        <v>5</v>
      </c>
      <c r="C140" s="986">
        <v>100</v>
      </c>
      <c r="D140" s="986"/>
      <c r="E140" s="987"/>
      <c r="F140" s="988">
        <v>102</v>
      </c>
      <c r="G140" s="986"/>
      <c r="H140" s="989"/>
      <c r="I140" s="2077" t="s">
        <v>2211</v>
      </c>
      <c r="J140" s="277">
        <f>ROUNDUP((J139-1)/2,0)</f>
        <v>10</v>
      </c>
      <c r="K140" s="990">
        <v>100</v>
      </c>
    </row>
    <row r="141" spans="1:17" ht="15">
      <c r="B141" s="985">
        <v>4</v>
      </c>
      <c r="C141" s="986">
        <v>102</v>
      </c>
      <c r="D141" s="986"/>
      <c r="E141" s="987"/>
      <c r="F141" s="988">
        <v>101.5</v>
      </c>
      <c r="G141" s="986"/>
      <c r="H141" s="989"/>
      <c r="I141" s="2077" t="s">
        <v>2212</v>
      </c>
      <c r="J141" s="277">
        <v>1</v>
      </c>
      <c r="K141" s="991">
        <f>ROUND(100+(J141-J140)*K139*100,1)</f>
        <v>96.4</v>
      </c>
    </row>
    <row r="142" spans="1:17" ht="15">
      <c r="B142" s="985">
        <v>3</v>
      </c>
      <c r="C142" s="986">
        <v>103</v>
      </c>
      <c r="D142" s="986"/>
      <c r="E142" s="987"/>
      <c r="F142" s="988">
        <v>101</v>
      </c>
      <c r="G142" s="986"/>
      <c r="H142" s="989"/>
      <c r="I142" s="2077" t="s">
        <v>2213</v>
      </c>
      <c r="J142" s="277">
        <f>J139</f>
        <v>20</v>
      </c>
      <c r="K142" s="992">
        <v>95</v>
      </c>
    </row>
    <row r="143" spans="1:17" ht="15">
      <c r="B143" s="985">
        <v>2</v>
      </c>
      <c r="C143" s="986">
        <v>100</v>
      </c>
      <c r="D143" s="986"/>
      <c r="E143" s="987"/>
      <c r="F143" s="988">
        <v>100.5</v>
      </c>
      <c r="G143" s="986"/>
      <c r="H143" s="989"/>
      <c r="I143" s="2077" t="s">
        <v>2214</v>
      </c>
      <c r="J143" s="986">
        <v>15</v>
      </c>
      <c r="K143" s="991">
        <f>ROUND(100+(J143-J140)*K139*100,1)</f>
        <v>102</v>
      </c>
    </row>
    <row r="144" spans="1:17" ht="15">
      <c r="B144" s="985">
        <v>1</v>
      </c>
      <c r="C144" s="986">
        <v>98</v>
      </c>
      <c r="D144" s="2078" t="s">
        <v>2215</v>
      </c>
      <c r="E144" s="987">
        <v>102</v>
      </c>
      <c r="F144" s="993">
        <v>100</v>
      </c>
      <c r="G144" s="2078" t="s">
        <v>2215</v>
      </c>
      <c r="H144" s="989">
        <v>105</v>
      </c>
      <c r="I144" s="2077" t="s">
        <v>2214</v>
      </c>
      <c r="J144" s="986">
        <v>18</v>
      </c>
      <c r="K144" s="991">
        <f>ROUND(100+(J144-J140)*K139*100,1)</f>
        <v>103.2</v>
      </c>
    </row>
    <row r="145" spans="2:11" ht="15.75" thickBot="1">
      <c r="B145" s="2079" t="s">
        <v>2216</v>
      </c>
      <c r="C145" s="994">
        <f>ROUND(MAX(C139:C144)/MIN(C139:C144)-1,3)</f>
        <v>7.2999999999999995E-2</v>
      </c>
      <c r="D145" s="995"/>
      <c r="E145" s="995"/>
      <c r="F145" s="2080" t="s">
        <v>2217</v>
      </c>
      <c r="G145" s="2081"/>
      <c r="H145" s="2082"/>
      <c r="I145" s="2083" t="s">
        <v>2214</v>
      </c>
      <c r="J145" s="996">
        <v>8</v>
      </c>
      <c r="K145" s="997">
        <f>ROUND(100+(J145-J140)*K139*100,1)</f>
        <v>99.2</v>
      </c>
    </row>
    <row r="147" spans="2:11">
      <c r="B147" s="2064" t="s">
        <v>2218</v>
      </c>
    </row>
    <row r="148" spans="2:11">
      <c r="B148" s="2064" t="s">
        <v>2219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估价对象为北京市房地产，为所有。根据《国有土地使用证》[]，估价对象（分摊）出让国有建设用地使用权面积为118122.57平方米，建筑面积为242531.24平方米。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估价对象为北京市房地产,属开发建设的，该项目尚在开发建设中。根据《国有土地使用证》[]，估价对象（分摊）出让国有建设用地使用权面积为118122.57平方米，规划建筑面积为242531.24平方米。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2022年7月27日（评估专业人员实地查勘之日）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27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本次评估采用的主估价方法为成本法和收益法。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13" t="s">
        <v>2220</v>
      </c>
      <c r="C1" s="1358" t="s">
        <v>2108</v>
      </c>
      <c r="D1" s="1345"/>
      <c r="E1" s="2492"/>
      <c r="F1" s="2014"/>
      <c r="G1" s="1355" t="s">
        <v>2221</v>
      </c>
      <c r="H1" s="1354"/>
      <c r="I1" s="1354"/>
      <c r="J1" s="1354"/>
      <c r="K1" s="1356"/>
      <c r="L1" s="1357"/>
      <c r="M1" s="1358"/>
      <c r="N1" s="1358"/>
      <c r="O1" s="1358"/>
      <c r="P1" s="2084"/>
      <c r="Q1" s="2085"/>
      <c r="R1" s="2085"/>
      <c r="S1" s="2085"/>
      <c r="T1" s="2085"/>
      <c r="U1" s="2085"/>
      <c r="V1" s="2085"/>
      <c r="W1" s="2085"/>
      <c r="X1" s="2085"/>
      <c r="Y1" s="2085"/>
      <c r="Z1" s="2085"/>
      <c r="AA1" s="2085"/>
      <c r="AB1" s="2085"/>
      <c r="AC1" s="2086"/>
    </row>
    <row r="2" spans="1:29" s="358" customFormat="1" ht="28.5" customHeight="1" thickTop="1">
      <c r="A2" s="1341" t="s">
        <v>1905</v>
      </c>
      <c r="B2" s="1279" t="e">
        <f ca="1">IF(C2="——",ROUND(C49*D3/10000,0),ROUND(C49*D3/10000,0)-D2)</f>
        <v>#DIV/0!</v>
      </c>
      <c r="C2" s="2016"/>
      <c r="D2" s="1228" t="e">
        <f ca="1">SUMIF(INDIRECT("'"&amp;F2&amp;"'"&amp;"!A:A"),"承租人权益价值",INDIRECT("'"&amp;F2&amp;"'"&amp;"!c:c"))</f>
        <v>#REF!</v>
      </c>
      <c r="E2" s="2017" t="s">
        <v>1906</v>
      </c>
      <c r="F2" s="2018"/>
      <c r="G2" s="1020"/>
      <c r="H2" s="1020"/>
      <c r="I2" s="1020"/>
      <c r="J2" s="1020"/>
      <c r="K2" s="1020"/>
      <c r="L2" s="2911"/>
      <c r="M2" s="2912"/>
      <c r="N2" s="2912"/>
      <c r="O2" s="2912"/>
      <c r="P2" s="2087"/>
      <c r="Q2" s="1024"/>
      <c r="R2" s="1024"/>
      <c r="S2" s="1024"/>
      <c r="T2" s="1024"/>
      <c r="U2" s="1024"/>
      <c r="V2" s="1024"/>
      <c r="W2" s="1024"/>
      <c r="X2" s="1024"/>
      <c r="Y2" s="1024"/>
      <c r="Z2" s="1024"/>
      <c r="AA2" s="1024"/>
      <c r="AB2" s="1024"/>
      <c r="AC2" s="2088"/>
    </row>
    <row r="3" spans="1:29" s="358" customFormat="1" ht="28.5" customHeight="1" thickBot="1">
      <c r="A3" s="209" t="s">
        <v>1907</v>
      </c>
      <c r="B3" s="566" t="e">
        <f ca="1">IF(C2="——",C49,ROUND(B2*10000/D3,0))</f>
        <v>#DIV/0!</v>
      </c>
      <c r="C3" s="360" t="s">
        <v>2222</v>
      </c>
      <c r="D3" s="359">
        <f>IF(D1="",'数据-汇总表'!E3,SUMIF('数据-汇总表'!$C19:$C33,D1,'数据-汇总表'!$E19:$E33))</f>
        <v>242531.24000000002</v>
      </c>
      <c r="E3" s="2089"/>
      <c r="F3" s="1021"/>
      <c r="G3" s="1020"/>
      <c r="H3" s="1020"/>
      <c r="I3" s="1020"/>
      <c r="J3" s="1020"/>
      <c r="K3" s="1022"/>
      <c r="L3" s="2911"/>
      <c r="M3" s="2912"/>
      <c r="N3" s="2912"/>
      <c r="O3" s="2912"/>
      <c r="P3" s="2087"/>
      <c r="Q3" s="1024"/>
      <c r="R3" s="1024"/>
      <c r="S3" s="1024"/>
      <c r="T3" s="1024"/>
      <c r="U3" s="1024"/>
      <c r="V3" s="1024"/>
      <c r="W3" s="1024"/>
      <c r="X3" s="1024"/>
      <c r="Y3" s="1024"/>
      <c r="Z3" s="1024"/>
      <c r="AA3" s="1024"/>
      <c r="AB3" s="1024"/>
      <c r="AC3" s="2089"/>
    </row>
    <row r="4" spans="1:29" ht="15">
      <c r="A4" s="361" t="s">
        <v>2223</v>
      </c>
      <c r="B4" s="362"/>
      <c r="C4" s="3535" t="s">
        <v>2224</v>
      </c>
      <c r="D4" s="3536"/>
      <c r="E4" s="3537" t="s">
        <v>2225</v>
      </c>
      <c r="F4" s="3538"/>
      <c r="G4" s="3535" t="s">
        <v>2226</v>
      </c>
      <c r="H4" s="3536"/>
      <c r="I4" s="3535" t="s">
        <v>2227</v>
      </c>
      <c r="J4" s="3536"/>
      <c r="K4" s="567" t="s">
        <v>2228</v>
      </c>
      <c r="L4" s="2892"/>
      <c r="M4" s="2893"/>
      <c r="N4" s="2893"/>
      <c r="O4" s="2893"/>
      <c r="P4" s="3539" t="s">
        <v>2229</v>
      </c>
      <c r="Q4" s="3540"/>
      <c r="R4" s="3545" t="s">
        <v>2225</v>
      </c>
      <c r="S4" s="3546"/>
      <c r="T4" s="3545" t="s">
        <v>2226</v>
      </c>
      <c r="U4" s="3546"/>
      <c r="V4" s="3551" t="s">
        <v>2227</v>
      </c>
      <c r="W4" s="3551"/>
      <c r="X4" s="1489"/>
      <c r="Y4" s="3545" t="s">
        <v>2229</v>
      </c>
      <c r="Z4" s="3546"/>
      <c r="AA4" s="3532" t="s">
        <v>2225</v>
      </c>
      <c r="AB4" s="3551" t="s">
        <v>2226</v>
      </c>
      <c r="AC4" s="3532" t="s">
        <v>2227</v>
      </c>
    </row>
    <row r="5" spans="1:29" ht="15">
      <c r="A5" s="364"/>
      <c r="B5" s="365"/>
      <c r="C5" s="3554" t="s">
        <v>2120</v>
      </c>
      <c r="D5" s="3555"/>
      <c r="E5" s="3561" t="s">
        <v>2121</v>
      </c>
      <c r="F5" s="3562"/>
      <c r="G5" s="3554" t="s">
        <v>2122</v>
      </c>
      <c r="H5" s="3555"/>
      <c r="I5" s="3554" t="s">
        <v>2123</v>
      </c>
      <c r="J5" s="3555"/>
      <c r="K5" s="567"/>
      <c r="L5" s="2892"/>
      <c r="M5" s="2893"/>
      <c r="N5" s="2893"/>
      <c r="O5" s="2893"/>
      <c r="P5" s="3541"/>
      <c r="Q5" s="3542"/>
      <c r="R5" s="3547"/>
      <c r="S5" s="3548"/>
      <c r="T5" s="3547"/>
      <c r="U5" s="3548"/>
      <c r="V5" s="3551"/>
      <c r="W5" s="3551"/>
      <c r="X5" s="1489"/>
      <c r="Y5" s="3547"/>
      <c r="Z5" s="3548"/>
      <c r="AA5" s="3533"/>
      <c r="AB5" s="3551"/>
      <c r="AC5" s="3533"/>
    </row>
    <row r="6" spans="1:29" ht="15.75" thickBot="1">
      <c r="A6" s="366"/>
      <c r="B6" s="367"/>
      <c r="C6" s="3552" t="s">
        <v>2124</v>
      </c>
      <c r="D6" s="3553"/>
      <c r="E6" s="3559" t="s">
        <v>2124</v>
      </c>
      <c r="F6" s="3560"/>
      <c r="G6" s="3552" t="s">
        <v>2124</v>
      </c>
      <c r="H6" s="3553"/>
      <c r="I6" s="3552" t="s">
        <v>2124</v>
      </c>
      <c r="J6" s="3553"/>
      <c r="K6" s="567" t="s">
        <v>2125</v>
      </c>
      <c r="L6" s="2892"/>
      <c r="M6" s="2893"/>
      <c r="N6" s="2893"/>
      <c r="O6" s="2893"/>
      <c r="P6" s="3543"/>
      <c r="Q6" s="3544"/>
      <c r="R6" s="3547"/>
      <c r="S6" s="3548"/>
      <c r="T6" s="3549"/>
      <c r="U6" s="3550"/>
      <c r="V6" s="3551"/>
      <c r="W6" s="3551"/>
      <c r="X6" s="1489"/>
      <c r="Y6" s="3549"/>
      <c r="Z6" s="3550"/>
      <c r="AA6" s="3534"/>
      <c r="AB6" s="3551"/>
      <c r="AC6" s="3534"/>
    </row>
    <row r="7" spans="1:29" s="113" customFormat="1" ht="15.75" thickBot="1">
      <c r="A7" s="368" t="s">
        <v>2126</v>
      </c>
      <c r="B7" s="369"/>
      <c r="C7" s="370">
        <f>'数据-取费表'!B2</f>
        <v>44769</v>
      </c>
      <c r="D7" s="371">
        <v>100</v>
      </c>
      <c r="E7" s="372"/>
      <c r="F7" s="373">
        <f>SUMIF(58:58,YEAR(E7)&amp;"-"&amp;MONTH(E7),59:59)</f>
        <v>0</v>
      </c>
      <c r="G7" s="372"/>
      <c r="H7" s="371">
        <f>SUMIF(58:58,YEAR(G7)&amp;"-"&amp;MONTH(G7),59:59)</f>
        <v>0</v>
      </c>
      <c r="I7" s="372"/>
      <c r="J7" s="371">
        <f>SUMIF(58:58,YEAR(I7)&amp;"-"&amp;MONTH(I7),59:59)</f>
        <v>0</v>
      </c>
      <c r="K7" s="568"/>
      <c r="L7" s="2894"/>
      <c r="M7" s="2895"/>
      <c r="N7" s="2895"/>
      <c r="O7" s="2895"/>
      <c r="P7" s="3556" t="s">
        <v>2127</v>
      </c>
      <c r="Q7" s="3558"/>
      <c r="R7" s="710" t="s">
        <v>17</v>
      </c>
      <c r="S7" s="711">
        <f t="shared" ref="S7:S15" si="0">F7</f>
        <v>0</v>
      </c>
      <c r="T7" s="710" t="s">
        <v>17</v>
      </c>
      <c r="U7" s="711">
        <f t="shared" ref="U7:U15" si="1">H7</f>
        <v>0</v>
      </c>
      <c r="V7" s="710" t="s">
        <v>17</v>
      </c>
      <c r="W7" s="711">
        <f t="shared" ref="W7:W15" si="2">J7</f>
        <v>0</v>
      </c>
      <c r="X7" s="712"/>
      <c r="Y7" s="3556" t="s">
        <v>2127</v>
      </c>
      <c r="Z7" s="3557"/>
      <c r="AA7" s="713" t="e">
        <f>D7/F7</f>
        <v>#DIV/0!</v>
      </c>
      <c r="AB7" s="713" t="e">
        <f>D7/H7</f>
        <v>#DIV/0!</v>
      </c>
      <c r="AC7" s="713" t="e">
        <f>D7/J7</f>
        <v>#DIV/0!</v>
      </c>
    </row>
    <row r="8" spans="1:29" s="113" customFormat="1" ht="15.75" thickBot="1">
      <c r="A8" s="368" t="s">
        <v>2128</v>
      </c>
      <c r="B8" s="369"/>
      <c r="C8" s="374" t="s">
        <v>2230</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556" t="s">
        <v>2130</v>
      </c>
      <c r="Q8" s="3557"/>
      <c r="R8" s="710" t="s">
        <v>17</v>
      </c>
      <c r="S8" s="711">
        <f t="shared" si="0"/>
        <v>0</v>
      </c>
      <c r="T8" s="710" t="s">
        <v>17</v>
      </c>
      <c r="U8" s="711">
        <f t="shared" si="1"/>
        <v>0</v>
      </c>
      <c r="V8" s="710" t="s">
        <v>17</v>
      </c>
      <c r="W8" s="711">
        <f t="shared" si="2"/>
        <v>0</v>
      </c>
      <c r="X8" s="712"/>
      <c r="Y8" s="3556" t="s">
        <v>2130</v>
      </c>
      <c r="Z8" s="3557"/>
      <c r="AA8" s="713" t="e">
        <f t="shared" ref="AA8:AA46" si="3">D8/F8</f>
        <v>#DIV/0!</v>
      </c>
      <c r="AB8" s="713" t="e">
        <f t="shared" ref="AB8:AB46" si="4">D8/H8</f>
        <v>#DIV/0!</v>
      </c>
      <c r="AC8" s="713" t="e">
        <f t="shared" ref="AC8:AC46" si="5">D8/J8</f>
        <v>#DIV/0!</v>
      </c>
    </row>
    <row r="9" spans="1:29" s="113" customFormat="1">
      <c r="A9" s="375" t="s">
        <v>2131</v>
      </c>
      <c r="B9" s="67" t="s">
        <v>2132</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531" t="s">
        <v>2133</v>
      </c>
      <c r="Q9" s="1477" t="str">
        <f t="shared" ref="Q9:Q15" si="6">B9</f>
        <v>用途</v>
      </c>
      <c r="R9" s="710" t="s">
        <v>17</v>
      </c>
      <c r="S9" s="711">
        <f t="shared" si="0"/>
        <v>100</v>
      </c>
      <c r="T9" s="710" t="s">
        <v>17</v>
      </c>
      <c r="U9" s="711">
        <f t="shared" si="1"/>
        <v>100</v>
      </c>
      <c r="V9" s="710" t="s">
        <v>17</v>
      </c>
      <c r="W9" s="711">
        <f t="shared" si="2"/>
        <v>100</v>
      </c>
      <c r="X9" s="712"/>
      <c r="Y9" s="3392"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531"/>
      <c r="Q10" s="1477" t="str">
        <f t="shared" si="6"/>
        <v>土地使用年限（年）</v>
      </c>
      <c r="R10" s="710" t="s">
        <v>17</v>
      </c>
      <c r="S10" s="711">
        <f t="shared" si="0"/>
        <v>100</v>
      </c>
      <c r="T10" s="710" t="s">
        <v>17</v>
      </c>
      <c r="U10" s="711">
        <f t="shared" si="1"/>
        <v>100</v>
      </c>
      <c r="V10" s="710" t="s">
        <v>17</v>
      </c>
      <c r="W10" s="711">
        <f t="shared" si="2"/>
        <v>100</v>
      </c>
      <c r="X10" s="712"/>
      <c r="Y10" s="3392"/>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531"/>
      <c r="Q11" s="1477" t="str">
        <f t="shared" si="6"/>
        <v>容积率</v>
      </c>
      <c r="R11" s="710" t="s">
        <v>17</v>
      </c>
      <c r="S11" s="711" t="e">
        <f t="shared" si="0"/>
        <v>#N/A</v>
      </c>
      <c r="T11" s="710" t="s">
        <v>17</v>
      </c>
      <c r="U11" s="711" t="e">
        <f t="shared" si="1"/>
        <v>#N/A</v>
      </c>
      <c r="V11" s="710" t="s">
        <v>17</v>
      </c>
      <c r="W11" s="711" t="e">
        <f t="shared" si="2"/>
        <v>#N/A</v>
      </c>
      <c r="X11" s="712"/>
      <c r="Y11" s="3392"/>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531"/>
      <c r="Q12" s="1477">
        <f t="shared" si="6"/>
        <v>111</v>
      </c>
      <c r="R12" s="710" t="s">
        <v>17</v>
      </c>
      <c r="S12" s="711">
        <f t="shared" si="0"/>
        <v>100</v>
      </c>
      <c r="T12" s="710" t="s">
        <v>17</v>
      </c>
      <c r="U12" s="711">
        <f t="shared" si="1"/>
        <v>100</v>
      </c>
      <c r="V12" s="710" t="s">
        <v>17</v>
      </c>
      <c r="W12" s="711">
        <f t="shared" si="2"/>
        <v>100</v>
      </c>
      <c r="X12" s="712"/>
      <c r="Y12" s="3392"/>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531"/>
      <c r="Q13" s="1477">
        <f t="shared" si="6"/>
        <v>111</v>
      </c>
      <c r="R13" s="710" t="s">
        <v>17</v>
      </c>
      <c r="S13" s="711">
        <f t="shared" si="0"/>
        <v>100</v>
      </c>
      <c r="T13" s="710" t="s">
        <v>17</v>
      </c>
      <c r="U13" s="711">
        <f t="shared" si="1"/>
        <v>100</v>
      </c>
      <c r="V13" s="710" t="s">
        <v>17</v>
      </c>
      <c r="W13" s="711">
        <f t="shared" si="2"/>
        <v>100</v>
      </c>
      <c r="X13" s="712"/>
      <c r="Y13" s="3392"/>
      <c r="Z13" s="55">
        <f t="shared" si="7"/>
        <v>111</v>
      </c>
      <c r="AA13" s="713">
        <f t="shared" si="3"/>
        <v>1</v>
      </c>
      <c r="AB13" s="713">
        <f t="shared" si="4"/>
        <v>1</v>
      </c>
      <c r="AC13" s="713">
        <f t="shared" si="5"/>
        <v>1</v>
      </c>
    </row>
    <row r="14" spans="1:29" ht="15.75" thickBot="1">
      <c r="A14" s="395"/>
      <c r="B14" s="2030">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531"/>
      <c r="Q14" s="1477">
        <f t="shared" si="6"/>
        <v>111</v>
      </c>
      <c r="R14" s="710" t="s">
        <v>17</v>
      </c>
      <c r="S14" s="711">
        <f t="shared" si="0"/>
        <v>100</v>
      </c>
      <c r="T14" s="710" t="s">
        <v>17</v>
      </c>
      <c r="U14" s="711">
        <f t="shared" si="1"/>
        <v>100</v>
      </c>
      <c r="V14" s="710" t="s">
        <v>17</v>
      </c>
      <c r="W14" s="711">
        <f t="shared" si="2"/>
        <v>100</v>
      </c>
      <c r="X14" s="712"/>
      <c r="Y14" s="3392"/>
      <c r="Z14" s="55">
        <f t="shared" si="7"/>
        <v>111</v>
      </c>
      <c r="AA14" s="713">
        <f t="shared" si="3"/>
        <v>1</v>
      </c>
      <c r="AB14" s="713">
        <f t="shared" si="4"/>
        <v>1</v>
      </c>
      <c r="AC14" s="713">
        <f t="shared" si="5"/>
        <v>1</v>
      </c>
    </row>
    <row r="15" spans="1:29" ht="71.25">
      <c r="A15" s="399" t="s">
        <v>2137</v>
      </c>
      <c r="B15" s="65" t="s">
        <v>2231</v>
      </c>
      <c r="C15" s="203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529" t="s">
        <v>2138</v>
      </c>
      <c r="Q15" s="1486" t="str">
        <f t="shared" si="6"/>
        <v>商业繁华度</v>
      </c>
      <c r="R15" s="714" t="s">
        <v>17</v>
      </c>
      <c r="S15" s="715">
        <f t="shared" si="0"/>
        <v>100</v>
      </c>
      <c r="T15" s="714" t="s">
        <v>17</v>
      </c>
      <c r="U15" s="715">
        <f t="shared" si="1"/>
        <v>100</v>
      </c>
      <c r="V15" s="714" t="s">
        <v>17</v>
      </c>
      <c r="W15" s="715">
        <f t="shared" si="2"/>
        <v>100</v>
      </c>
      <c r="X15" s="1489"/>
      <c r="Y15" s="3522" t="s">
        <v>2138</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9"/>
      <c r="M16" s="2893"/>
      <c r="N16" s="2893"/>
      <c r="O16" s="2893"/>
      <c r="P16" s="3530"/>
      <c r="Q16" s="1486"/>
      <c r="R16" s="714"/>
      <c r="S16" s="715"/>
      <c r="T16" s="714"/>
      <c r="U16" s="715"/>
      <c r="V16" s="714"/>
      <c r="W16" s="715"/>
      <c r="X16" s="1489"/>
      <c r="Y16" s="3523"/>
      <c r="Z16" s="1490"/>
      <c r="AA16" s="1487">
        <v>1</v>
      </c>
      <c r="AB16" s="1487">
        <v>1</v>
      </c>
      <c r="AC16" s="1487">
        <v>1</v>
      </c>
    </row>
    <row r="17" spans="1:29" ht="85.5">
      <c r="A17" s="387"/>
      <c r="B17" s="410" t="s">
        <v>1702</v>
      </c>
      <c r="C17" s="203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530"/>
      <c r="Q17" s="1486" t="str">
        <f>B17</f>
        <v>交通便捷度</v>
      </c>
      <c r="R17" s="714" t="s">
        <v>17</v>
      </c>
      <c r="S17" s="715">
        <f>F17</f>
        <v>100</v>
      </c>
      <c r="T17" s="714" t="s">
        <v>17</v>
      </c>
      <c r="U17" s="715">
        <f>H17</f>
        <v>100</v>
      </c>
      <c r="V17" s="714" t="s">
        <v>17</v>
      </c>
      <c r="W17" s="715">
        <f>J17</f>
        <v>100</v>
      </c>
      <c r="X17" s="1489"/>
      <c r="Y17" s="3523"/>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2899"/>
      <c r="M18" s="2893"/>
      <c r="N18" s="2893"/>
      <c r="O18" s="2893"/>
      <c r="P18" s="3530"/>
      <c r="Q18" s="1486"/>
      <c r="R18" s="714"/>
      <c r="S18" s="715"/>
      <c r="T18" s="714"/>
      <c r="U18" s="715"/>
      <c r="V18" s="714"/>
      <c r="W18" s="715"/>
      <c r="X18" s="1489"/>
      <c r="Y18" s="3523"/>
      <c r="Z18" s="1490"/>
      <c r="AA18" s="1487">
        <v>1</v>
      </c>
      <c r="AB18" s="1487">
        <v>1</v>
      </c>
      <c r="AC18" s="1487">
        <v>1</v>
      </c>
    </row>
    <row r="19" spans="1:29" ht="42.75">
      <c r="A19" s="387"/>
      <c r="B19" s="410" t="s">
        <v>2232</v>
      </c>
      <c r="C19" s="203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530"/>
      <c r="Q19" s="1486" t="str">
        <f>B19</f>
        <v>公共配套设施</v>
      </c>
      <c r="R19" s="714" t="s">
        <v>17</v>
      </c>
      <c r="S19" s="715">
        <f>F19</f>
        <v>100</v>
      </c>
      <c r="T19" s="714" t="s">
        <v>17</v>
      </c>
      <c r="U19" s="715">
        <f>H19</f>
        <v>100</v>
      </c>
      <c r="V19" s="714" t="s">
        <v>17</v>
      </c>
      <c r="W19" s="715">
        <f>J19</f>
        <v>100</v>
      </c>
      <c r="X19" s="1489"/>
      <c r="Y19" s="3523"/>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2899"/>
      <c r="M20" s="2893"/>
      <c r="N20" s="2893"/>
      <c r="O20" s="2893"/>
      <c r="P20" s="3530"/>
      <c r="Q20" s="1486"/>
      <c r="R20" s="714"/>
      <c r="S20" s="715"/>
      <c r="T20" s="714"/>
      <c r="U20" s="715"/>
      <c r="V20" s="714"/>
      <c r="W20" s="715"/>
      <c r="X20" s="1489"/>
      <c r="Y20" s="3523"/>
      <c r="Z20" s="1490"/>
      <c r="AA20" s="1487">
        <v>1</v>
      </c>
      <c r="AB20" s="1487">
        <v>1</v>
      </c>
      <c r="AC20" s="1487">
        <v>1</v>
      </c>
    </row>
    <row r="21" spans="1:29" ht="28.5">
      <c r="A21" s="387"/>
      <c r="B21" s="1246" t="s">
        <v>2233</v>
      </c>
      <c r="C21" s="203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530"/>
      <c r="Q21" s="1486" t="str">
        <f>B21</f>
        <v>基础设施水平</v>
      </c>
      <c r="R21" s="714" t="s">
        <v>17</v>
      </c>
      <c r="S21" s="715">
        <f>F21</f>
        <v>100</v>
      </c>
      <c r="T21" s="714" t="s">
        <v>17</v>
      </c>
      <c r="U21" s="715">
        <f>H21</f>
        <v>100</v>
      </c>
      <c r="V21" s="714" t="s">
        <v>17</v>
      </c>
      <c r="W21" s="715">
        <f>J21</f>
        <v>100</v>
      </c>
      <c r="X21" s="1489"/>
      <c r="Y21" s="3523"/>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8"/>
      <c r="G22" s="406"/>
      <c r="H22" s="407"/>
      <c r="I22" s="406"/>
      <c r="J22" s="407"/>
      <c r="K22" s="1245"/>
      <c r="L22" s="2899"/>
      <c r="M22" s="2893"/>
      <c r="N22" s="2893"/>
      <c r="O22" s="2893"/>
      <c r="P22" s="3530"/>
      <c r="Q22" s="1486"/>
      <c r="R22" s="714"/>
      <c r="S22" s="715"/>
      <c r="T22" s="714"/>
      <c r="U22" s="715"/>
      <c r="V22" s="714"/>
      <c r="W22" s="715"/>
      <c r="X22" s="1489"/>
      <c r="Y22" s="3523"/>
      <c r="Z22" s="1490"/>
      <c r="AA22" s="1487">
        <v>1</v>
      </c>
      <c r="AB22" s="1487">
        <v>1</v>
      </c>
      <c r="AC22" s="1487">
        <v>1</v>
      </c>
    </row>
    <row r="23" spans="1:29" ht="57">
      <c r="A23" s="387"/>
      <c r="B23" s="410" t="s">
        <v>1704</v>
      </c>
      <c r="C23" s="209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530"/>
      <c r="Q23" s="1486" t="str">
        <f>B23</f>
        <v>自然及人文环境</v>
      </c>
      <c r="R23" s="714" t="s">
        <v>17</v>
      </c>
      <c r="S23" s="715">
        <f>F23</f>
        <v>100</v>
      </c>
      <c r="T23" s="714" t="s">
        <v>17</v>
      </c>
      <c r="U23" s="715">
        <f>H23</f>
        <v>100</v>
      </c>
      <c r="V23" s="714" t="s">
        <v>17</v>
      </c>
      <c r="W23" s="715">
        <f>J23</f>
        <v>100</v>
      </c>
      <c r="X23" s="1489"/>
      <c r="Y23" s="3523"/>
      <c r="Z23" s="1490" t="str">
        <f>Q23</f>
        <v>自然及人文环境</v>
      </c>
      <c r="AA23" s="1487">
        <f t="shared" si="3"/>
        <v>1</v>
      </c>
      <c r="AB23" s="1487">
        <f t="shared" si="4"/>
        <v>1</v>
      </c>
      <c r="AC23" s="1487">
        <f t="shared" si="5"/>
        <v>1</v>
      </c>
    </row>
    <row r="24" spans="1:29" ht="15">
      <c r="A24" s="387"/>
      <c r="B24" s="415"/>
      <c r="C24" s="406"/>
      <c r="D24" s="407"/>
      <c r="E24" s="2033"/>
      <c r="F24" s="408"/>
      <c r="G24" s="2032"/>
      <c r="H24" s="407"/>
      <c r="I24" s="2033"/>
      <c r="J24" s="407"/>
      <c r="K24" s="572"/>
      <c r="L24" s="2899"/>
      <c r="M24" s="2893"/>
      <c r="N24" s="2893"/>
      <c r="O24" s="2893"/>
      <c r="P24" s="3530"/>
      <c r="Q24" s="1486"/>
      <c r="R24" s="714"/>
      <c r="S24" s="715"/>
      <c r="T24" s="714"/>
      <c r="U24" s="715"/>
      <c r="V24" s="714"/>
      <c r="W24" s="715"/>
      <c r="X24" s="1489"/>
      <c r="Y24" s="3523"/>
      <c r="Z24" s="1490"/>
      <c r="AA24" s="1487">
        <v>1</v>
      </c>
      <c r="AB24" s="1487">
        <v>1</v>
      </c>
      <c r="AC24" s="1487">
        <v>1</v>
      </c>
    </row>
    <row r="25" spans="1:29" ht="15">
      <c r="A25" s="387"/>
      <c r="B25" s="381" t="s">
        <v>2234</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530"/>
      <c r="Q25" s="1486" t="str">
        <f t="shared" ref="Q25:Q46" si="11">B25</f>
        <v>临街状况</v>
      </c>
      <c r="R25" s="714" t="s">
        <v>17</v>
      </c>
      <c r="S25" s="715">
        <f>F25</f>
        <v>100</v>
      </c>
      <c r="T25" s="714" t="s">
        <v>17</v>
      </c>
      <c r="U25" s="715">
        <f>H25</f>
        <v>100</v>
      </c>
      <c r="V25" s="714" t="s">
        <v>17</v>
      </c>
      <c r="W25" s="715">
        <f>J25</f>
        <v>100</v>
      </c>
      <c r="X25" s="1489"/>
      <c r="Y25" s="3523"/>
      <c r="Z25" s="1490" t="str">
        <f>Q25</f>
        <v>临街状况</v>
      </c>
      <c r="AA25" s="1487">
        <f t="shared" si="3"/>
        <v>1</v>
      </c>
      <c r="AB25" s="1487">
        <f t="shared" si="4"/>
        <v>1</v>
      </c>
      <c r="AC25" s="1487">
        <f t="shared" si="5"/>
        <v>1</v>
      </c>
    </row>
    <row r="26" spans="1:29" ht="15">
      <c r="A26" s="387"/>
      <c r="B26" s="1248" t="s">
        <v>2235</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530"/>
      <c r="Q26" s="1486" t="str">
        <f t="shared" si="11"/>
        <v>平面位置/可视性</v>
      </c>
      <c r="R26" s="714" t="s">
        <v>17</v>
      </c>
      <c r="S26" s="715">
        <f>F26</f>
        <v>100</v>
      </c>
      <c r="T26" s="714" t="s">
        <v>17</v>
      </c>
      <c r="U26" s="715">
        <f>H26</f>
        <v>100</v>
      </c>
      <c r="V26" s="714" t="s">
        <v>17</v>
      </c>
      <c r="W26" s="715">
        <f>J26</f>
        <v>100</v>
      </c>
      <c r="X26" s="1489"/>
      <c r="Y26" s="3523"/>
      <c r="Z26" s="1490" t="str">
        <f>Q26</f>
        <v>平面位置/可视性</v>
      </c>
      <c r="AA26" s="1487">
        <f t="shared" si="3"/>
        <v>1</v>
      </c>
      <c r="AB26" s="1487">
        <f t="shared" si="4"/>
        <v>1</v>
      </c>
      <c r="AC26" s="1487">
        <f t="shared" si="5"/>
        <v>1</v>
      </c>
    </row>
    <row r="27" spans="1:29" s="113" customFormat="1" ht="15">
      <c r="A27" s="390"/>
      <c r="B27" s="410" t="s">
        <v>2236</v>
      </c>
      <c r="C27" s="2091"/>
      <c r="D27" s="421">
        <v>100</v>
      </c>
      <c r="E27" s="2091"/>
      <c r="F27" s="423">
        <f>SUMIF(90:90,E27,91:91)-SUMIF(90:90,C27,91:91)+100</f>
        <v>100</v>
      </c>
      <c r="G27" s="2091"/>
      <c r="H27" s="421">
        <f>SUMIF(90:90,G27,91:91)-SUMIF(90:90,C27,91:91)+100</f>
        <v>100</v>
      </c>
      <c r="I27" s="2091"/>
      <c r="J27" s="421">
        <f>SUMIF(90:90,I27,91:91)-SUMIF(90:90,C27,91:91)+100</f>
        <v>100</v>
      </c>
      <c r="K27" s="569"/>
      <c r="L27" s="2894"/>
      <c r="M27" s="2895"/>
      <c r="N27" s="2895"/>
      <c r="O27" s="2895"/>
      <c r="P27" s="3530"/>
      <c r="Q27" s="1477" t="str">
        <f t="shared" si="11"/>
        <v>人流量</v>
      </c>
      <c r="R27" s="710" t="s">
        <v>17</v>
      </c>
      <c r="S27" s="711">
        <f>F27</f>
        <v>100</v>
      </c>
      <c r="T27" s="710" t="s">
        <v>17</v>
      </c>
      <c r="U27" s="711">
        <f>H27</f>
        <v>100</v>
      </c>
      <c r="V27" s="710" t="s">
        <v>17</v>
      </c>
      <c r="W27" s="711">
        <f>J27</f>
        <v>100</v>
      </c>
      <c r="X27" s="712"/>
      <c r="Y27" s="3523"/>
      <c r="Z27" s="55" t="str">
        <f>Q27</f>
        <v>人流量</v>
      </c>
      <c r="AA27" s="1487">
        <f>D27/F27</f>
        <v>1</v>
      </c>
      <c r="AB27" s="1487">
        <f>D27/H27</f>
        <v>1</v>
      </c>
      <c r="AC27" s="1487">
        <f>D27/J27</f>
        <v>1</v>
      </c>
    </row>
    <row r="28" spans="1:29" ht="15">
      <c r="A28" s="387"/>
      <c r="B28" s="381" t="s">
        <v>2237</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530"/>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523"/>
      <c r="Z28" s="1490" t="str">
        <f t="shared" ref="Z28:Z46" si="15">Q28</f>
        <v>楼层</v>
      </c>
      <c r="AA28" s="1487">
        <f t="shared" si="3"/>
        <v>1</v>
      </c>
      <c r="AB28" s="1487">
        <f t="shared" si="4"/>
        <v>1</v>
      </c>
      <c r="AC28" s="1487">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530"/>
      <c r="Q29" s="1486">
        <f t="shared" si="11"/>
        <v>111</v>
      </c>
      <c r="R29" s="714" t="s">
        <v>17</v>
      </c>
      <c r="S29" s="715">
        <f t="shared" si="12"/>
        <v>100</v>
      </c>
      <c r="T29" s="714" t="s">
        <v>17</v>
      </c>
      <c r="U29" s="715">
        <f t="shared" si="13"/>
        <v>100</v>
      </c>
      <c r="V29" s="714" t="s">
        <v>17</v>
      </c>
      <c r="W29" s="715">
        <f t="shared" si="14"/>
        <v>100</v>
      </c>
      <c r="X29" s="1489"/>
      <c r="Y29" s="3523"/>
      <c r="Z29" s="1490">
        <f t="shared" si="15"/>
        <v>111</v>
      </c>
      <c r="AA29" s="1487">
        <f t="shared" si="3"/>
        <v>1</v>
      </c>
      <c r="AB29" s="1487">
        <f t="shared" si="4"/>
        <v>1</v>
      </c>
      <c r="AC29" s="1487">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530"/>
      <c r="Q30" s="1486">
        <f t="shared" si="11"/>
        <v>111</v>
      </c>
      <c r="R30" s="714" t="s">
        <v>17</v>
      </c>
      <c r="S30" s="715">
        <f t="shared" si="12"/>
        <v>100</v>
      </c>
      <c r="T30" s="714" t="s">
        <v>17</v>
      </c>
      <c r="U30" s="715">
        <f t="shared" si="13"/>
        <v>100</v>
      </c>
      <c r="V30" s="714" t="s">
        <v>17</v>
      </c>
      <c r="W30" s="715">
        <f t="shared" si="14"/>
        <v>100</v>
      </c>
      <c r="X30" s="1489"/>
      <c r="Y30" s="3523"/>
      <c r="Z30" s="1490">
        <f t="shared" si="15"/>
        <v>111</v>
      </c>
      <c r="AA30" s="1487">
        <f t="shared" si="3"/>
        <v>1</v>
      </c>
      <c r="AB30" s="1487">
        <f t="shared" si="4"/>
        <v>1</v>
      </c>
      <c r="AC30" s="1487">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530"/>
      <c r="Q31" s="1486">
        <f t="shared" si="11"/>
        <v>111</v>
      </c>
      <c r="R31" s="714" t="s">
        <v>17</v>
      </c>
      <c r="S31" s="715">
        <f t="shared" si="12"/>
        <v>100</v>
      </c>
      <c r="T31" s="714" t="s">
        <v>17</v>
      </c>
      <c r="U31" s="715">
        <f t="shared" si="13"/>
        <v>100</v>
      </c>
      <c r="V31" s="714" t="s">
        <v>17</v>
      </c>
      <c r="W31" s="715">
        <f t="shared" si="14"/>
        <v>100</v>
      </c>
      <c r="X31" s="1489"/>
      <c r="Y31" s="3523"/>
      <c r="Z31" s="1490">
        <f t="shared" si="15"/>
        <v>111</v>
      </c>
      <c r="AA31" s="1487">
        <f t="shared" si="3"/>
        <v>1</v>
      </c>
      <c r="AB31" s="1487">
        <f t="shared" si="4"/>
        <v>1</v>
      </c>
      <c r="AC31" s="1487">
        <f t="shared" si="5"/>
        <v>1</v>
      </c>
    </row>
    <row r="32" spans="1:29" ht="15">
      <c r="A32" s="399" t="s">
        <v>2141</v>
      </c>
      <c r="B32" s="67" t="s">
        <v>2238</v>
      </c>
      <c r="C32" s="2045"/>
      <c r="D32" s="426">
        <v>100</v>
      </c>
      <c r="E32" s="2045"/>
      <c r="F32" s="420">
        <f>SUMIF(100:100,E32,101:101)-SUMIF(100:100,C32,101:101)+100</f>
        <v>100</v>
      </c>
      <c r="G32" s="2045"/>
      <c r="H32" s="394">
        <f>SUMIF(100:100,G32,101:101)-SUMIF(100:100,C32,101:101)+100</f>
        <v>100</v>
      </c>
      <c r="I32" s="2045"/>
      <c r="J32" s="426">
        <f>SUMIF(100:100,I32,101:101)-SUMIF(100:100,C32,101:101)+100</f>
        <v>100</v>
      </c>
      <c r="K32" s="569"/>
      <c r="L32" s="2899"/>
      <c r="M32" s="2893"/>
      <c r="N32" s="2893"/>
      <c r="O32" s="2893"/>
      <c r="P32" s="3524" t="s">
        <v>2143</v>
      </c>
      <c r="Q32" s="1486" t="str">
        <f t="shared" si="11"/>
        <v>商业类型</v>
      </c>
      <c r="R32" s="714" t="s">
        <v>17</v>
      </c>
      <c r="S32" s="715">
        <f t="shared" si="12"/>
        <v>100</v>
      </c>
      <c r="T32" s="714" t="s">
        <v>17</v>
      </c>
      <c r="U32" s="715">
        <f t="shared" si="13"/>
        <v>100</v>
      </c>
      <c r="V32" s="714" t="s">
        <v>17</v>
      </c>
      <c r="W32" s="715">
        <f t="shared" si="14"/>
        <v>100</v>
      </c>
      <c r="X32" s="1489"/>
      <c r="Y32" s="3527" t="s">
        <v>2143</v>
      </c>
      <c r="Z32" s="1490" t="str">
        <f t="shared" si="15"/>
        <v>商业类型</v>
      </c>
      <c r="AA32" s="1487">
        <f t="shared" si="3"/>
        <v>1</v>
      </c>
      <c r="AB32" s="1487">
        <f t="shared" si="4"/>
        <v>1</v>
      </c>
      <c r="AC32" s="1487">
        <f t="shared" si="5"/>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525"/>
      <c r="Q33" s="716" t="str">
        <f t="shared" si="11"/>
        <v>项目建筑规模</v>
      </c>
      <c r="R33" s="717" t="s">
        <v>17</v>
      </c>
      <c r="S33" s="718" t="e">
        <f t="shared" si="12"/>
        <v>#N/A</v>
      </c>
      <c r="T33" s="717" t="s">
        <v>17</v>
      </c>
      <c r="U33" s="718" t="e">
        <f t="shared" si="13"/>
        <v>#N/A</v>
      </c>
      <c r="V33" s="717" t="s">
        <v>17</v>
      </c>
      <c r="W33" s="718" t="e">
        <f t="shared" si="14"/>
        <v>#N/A</v>
      </c>
      <c r="X33" s="719"/>
      <c r="Y33" s="3527"/>
      <c r="Z33" s="720" t="str">
        <f t="shared" si="15"/>
        <v>项目建筑规模</v>
      </c>
      <c r="AA33" s="1487" t="e">
        <f t="shared" si="3"/>
        <v>#N/A</v>
      </c>
      <c r="AB33" s="1487" t="e">
        <f t="shared" si="4"/>
        <v>#N/A</v>
      </c>
      <c r="AC33" s="1487" t="e">
        <f t="shared" si="5"/>
        <v>#N/A</v>
      </c>
    </row>
    <row r="34" spans="1:29" ht="15">
      <c r="A34" s="431"/>
      <c r="B34" s="381" t="s">
        <v>2145</v>
      </c>
      <c r="C34" s="2047"/>
      <c r="D34" s="394">
        <v>100</v>
      </c>
      <c r="E34" s="2047"/>
      <c r="F34" s="420">
        <f>SUMIF(105:105,E34,106:106)-SUMIF(105:105,C34,106:106)+100</f>
        <v>100</v>
      </c>
      <c r="G34" s="2047"/>
      <c r="H34" s="394">
        <f>SUMIF(105:105,G34,106:106)-SUMIF(105:105,C34,106:106)+100</f>
        <v>100</v>
      </c>
      <c r="I34" s="2047"/>
      <c r="J34" s="394">
        <f>SUMIF(105:105,I34,106:106)-SUMIF(105:105,C34,106:106)+100</f>
        <v>100</v>
      </c>
      <c r="K34" s="569"/>
      <c r="L34" s="2899"/>
      <c r="M34" s="2893"/>
      <c r="N34" s="2893"/>
      <c r="O34" s="2893"/>
      <c r="P34" s="3525"/>
      <c r="Q34" s="1486" t="str">
        <f t="shared" si="11"/>
        <v>建筑结构</v>
      </c>
      <c r="R34" s="714" t="s">
        <v>17</v>
      </c>
      <c r="S34" s="715">
        <f t="shared" si="12"/>
        <v>100</v>
      </c>
      <c r="T34" s="714" t="s">
        <v>17</v>
      </c>
      <c r="U34" s="715">
        <f t="shared" si="13"/>
        <v>100</v>
      </c>
      <c r="V34" s="714" t="s">
        <v>17</v>
      </c>
      <c r="W34" s="715">
        <f t="shared" si="14"/>
        <v>100</v>
      </c>
      <c r="X34" s="1489"/>
      <c r="Y34" s="3527"/>
      <c r="Z34" s="1490" t="str">
        <f t="shared" si="15"/>
        <v>建筑结构</v>
      </c>
      <c r="AA34" s="1487">
        <f t="shared" si="3"/>
        <v>1</v>
      </c>
      <c r="AB34" s="1487">
        <f t="shared" si="4"/>
        <v>1</v>
      </c>
      <c r="AC34" s="1487">
        <f t="shared" si="5"/>
        <v>1</v>
      </c>
    </row>
    <row r="35" spans="1:29" ht="15">
      <c r="A35" s="431"/>
      <c r="B35" s="381" t="s">
        <v>2239</v>
      </c>
      <c r="C35" s="2041"/>
      <c r="D35" s="394">
        <v>100</v>
      </c>
      <c r="E35" s="2041"/>
      <c r="F35" s="420">
        <f>SUMIF(107:107,E35,108:108)-SUMIF(107:107,C35,108:108)+100</f>
        <v>100</v>
      </c>
      <c r="G35" s="2041"/>
      <c r="H35" s="394">
        <f>SUMIF(107:107,G35,108:108)-SUMIF(107:107,C35,108:108)+100</f>
        <v>100</v>
      </c>
      <c r="I35" s="2041"/>
      <c r="J35" s="394">
        <f>SUMIF(107:107,I35,108:108)-SUMIF(107:107,C35,108:108)+100</f>
        <v>100</v>
      </c>
      <c r="K35" s="569"/>
      <c r="L35" s="2899"/>
      <c r="M35" s="2893"/>
      <c r="N35" s="2893"/>
      <c r="O35" s="2893"/>
      <c r="P35" s="3525"/>
      <c r="Q35" s="1486" t="str">
        <f t="shared" si="11"/>
        <v>公共部分装修</v>
      </c>
      <c r="R35" s="714" t="s">
        <v>17</v>
      </c>
      <c r="S35" s="715">
        <f t="shared" si="12"/>
        <v>100</v>
      </c>
      <c r="T35" s="714" t="s">
        <v>17</v>
      </c>
      <c r="U35" s="715">
        <f t="shared" si="13"/>
        <v>100</v>
      </c>
      <c r="V35" s="714" t="s">
        <v>17</v>
      </c>
      <c r="W35" s="715">
        <f t="shared" si="14"/>
        <v>100</v>
      </c>
      <c r="X35" s="1489"/>
      <c r="Y35" s="3527"/>
      <c r="Z35" s="1490" t="str">
        <f t="shared" si="15"/>
        <v>公共部分装修</v>
      </c>
      <c r="AA35" s="1487">
        <f t="shared" si="3"/>
        <v>1</v>
      </c>
      <c r="AB35" s="1487">
        <f t="shared" si="4"/>
        <v>1</v>
      </c>
      <c r="AC35" s="1487">
        <f t="shared" si="5"/>
        <v>1</v>
      </c>
    </row>
    <row r="36" spans="1:29" ht="15">
      <c r="A36" s="431"/>
      <c r="B36" s="381" t="s">
        <v>2240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525"/>
      <c r="Q36" s="1486" t="str">
        <f t="shared" si="11"/>
        <v>成新度</v>
      </c>
      <c r="R36" s="714" t="s">
        <v>17</v>
      </c>
      <c r="S36" s="715" t="e">
        <f t="shared" si="12"/>
        <v>#N/A</v>
      </c>
      <c r="T36" s="714" t="s">
        <v>17</v>
      </c>
      <c r="U36" s="715" t="e">
        <f t="shared" si="13"/>
        <v>#N/A</v>
      </c>
      <c r="V36" s="714" t="s">
        <v>17</v>
      </c>
      <c r="W36" s="715" t="e">
        <f t="shared" si="14"/>
        <v>#N/A</v>
      </c>
      <c r="X36" s="1489"/>
      <c r="Y36" s="3527"/>
      <c r="Z36" s="1490" t="str">
        <f t="shared" si="15"/>
        <v>成新度</v>
      </c>
      <c r="AA36" s="1487" t="e">
        <f t="shared" si="3"/>
        <v>#N/A</v>
      </c>
      <c r="AB36" s="1487" t="e">
        <f t="shared" si="4"/>
        <v>#N/A</v>
      </c>
      <c r="AC36" s="1487" t="e">
        <f t="shared" si="5"/>
        <v>#N/A</v>
      </c>
    </row>
    <row r="37" spans="1:29" s="113" customFormat="1" ht="15">
      <c r="A37" s="432"/>
      <c r="B37" s="381" t="s">
        <v>2241</v>
      </c>
      <c r="C37" s="2041"/>
      <c r="D37" s="132">
        <v>100</v>
      </c>
      <c r="E37" s="2041"/>
      <c r="F37" s="420">
        <f>SUMIF(112:112,E37,113:113)-SUMIF(112:112,C37,113:113)+100</f>
        <v>100</v>
      </c>
      <c r="G37" s="2041"/>
      <c r="H37" s="394">
        <f>SUMIF(112:112,G37,113:113)-SUMIF(112:112,C37,113:113)+100</f>
        <v>100</v>
      </c>
      <c r="I37" s="2041"/>
      <c r="J37" s="394">
        <f>SUMIF(112:112,I37,113:113)-SUMIF(112:112,C37,113:113)+100</f>
        <v>100</v>
      </c>
      <c r="K37" s="569"/>
      <c r="L37" s="2894"/>
      <c r="M37" s="2895"/>
      <c r="N37" s="2895"/>
      <c r="O37" s="2895"/>
      <c r="P37" s="3525"/>
      <c r="Q37" s="1477" t="str">
        <f t="shared" si="11"/>
        <v>市政基础设施</v>
      </c>
      <c r="R37" s="710" t="s">
        <v>17</v>
      </c>
      <c r="S37" s="711">
        <f t="shared" si="12"/>
        <v>100</v>
      </c>
      <c r="T37" s="710" t="s">
        <v>17</v>
      </c>
      <c r="U37" s="711">
        <f t="shared" si="13"/>
        <v>100</v>
      </c>
      <c r="V37" s="710" t="s">
        <v>17</v>
      </c>
      <c r="W37" s="711">
        <f t="shared" si="14"/>
        <v>100</v>
      </c>
      <c r="X37" s="712"/>
      <c r="Y37" s="3527"/>
      <c r="Z37" s="55" t="str">
        <f t="shared" si="15"/>
        <v>市政基础设施</v>
      </c>
      <c r="AA37" s="713">
        <f t="shared" si="3"/>
        <v>1</v>
      </c>
      <c r="AB37" s="713">
        <f t="shared" si="4"/>
        <v>1</v>
      </c>
      <c r="AC37" s="713">
        <f t="shared" si="5"/>
        <v>1</v>
      </c>
    </row>
    <row r="38" spans="1:29" ht="15">
      <c r="A38" s="431"/>
      <c r="B38" s="381" t="s">
        <v>2242</v>
      </c>
      <c r="C38" s="2041"/>
      <c r="D38" s="394">
        <v>100</v>
      </c>
      <c r="E38" s="2041"/>
      <c r="F38" s="420">
        <f>SUMIF(114:114,E38,115:115)-SUMIF(114:114,C38,115:115)+100</f>
        <v>100</v>
      </c>
      <c r="G38" s="2041"/>
      <c r="H38" s="394">
        <f>SUMIF(114:114,G38,115:115)-SUMIF(114:114,C38,115:115)+100</f>
        <v>100</v>
      </c>
      <c r="I38" s="2041"/>
      <c r="J38" s="394">
        <f>SUMIF(114:114,I38,115:115)-SUMIF(114:114,C38,115:115)+100</f>
        <v>100</v>
      </c>
      <c r="K38" s="569"/>
      <c r="L38" s="2899"/>
      <c r="M38" s="2893"/>
      <c r="N38" s="2893"/>
      <c r="O38" s="2893"/>
      <c r="P38" s="3525" t="s">
        <v>2143</v>
      </c>
      <c r="Q38" s="1486" t="str">
        <f t="shared" si="11"/>
        <v>业态</v>
      </c>
      <c r="R38" s="714" t="s">
        <v>17</v>
      </c>
      <c r="S38" s="715">
        <f t="shared" si="12"/>
        <v>100</v>
      </c>
      <c r="T38" s="714" t="s">
        <v>17</v>
      </c>
      <c r="U38" s="715">
        <f t="shared" si="13"/>
        <v>100</v>
      </c>
      <c r="V38" s="714" t="s">
        <v>17</v>
      </c>
      <c r="W38" s="715">
        <f t="shared" si="14"/>
        <v>100</v>
      </c>
      <c r="X38" s="1489"/>
      <c r="Y38" s="3527" t="s">
        <v>2143</v>
      </c>
      <c r="Z38" s="1490" t="str">
        <f t="shared" si="15"/>
        <v>业态</v>
      </c>
      <c r="AA38" s="1487">
        <f t="shared" si="3"/>
        <v>1</v>
      </c>
      <c r="AB38" s="1487">
        <f t="shared" si="4"/>
        <v>1</v>
      </c>
      <c r="AC38" s="1487">
        <f t="shared" si="5"/>
        <v>1</v>
      </c>
    </row>
    <row r="39" spans="1:29" ht="15">
      <c r="A39" s="431"/>
      <c r="B39" s="381" t="s">
        <v>2243</v>
      </c>
      <c r="C39" s="2041"/>
      <c r="D39" s="394">
        <v>100</v>
      </c>
      <c r="E39" s="2041"/>
      <c r="F39" s="420">
        <f>SUMIF(116:116,E39,117:117)-SUMIF(116:116,C39,117:117)+100</f>
        <v>100</v>
      </c>
      <c r="G39" s="2041"/>
      <c r="H39" s="394">
        <f>SUMIF(116:116,G39,117:117)-SUMIF(116:116,C39,117:117)+100</f>
        <v>100</v>
      </c>
      <c r="I39" s="2041"/>
      <c r="J39" s="394">
        <f>SUMIF(116:116,I39,117:117)-SUMIF(116:116,C39,117:117)+100</f>
        <v>100</v>
      </c>
      <c r="K39" s="569"/>
      <c r="L39" s="2899"/>
      <c r="M39" s="2893"/>
      <c r="N39" s="2893"/>
      <c r="O39" s="2893"/>
      <c r="P39" s="3525"/>
      <c r="Q39" s="1486" t="str">
        <f t="shared" si="11"/>
        <v>层高</v>
      </c>
      <c r="R39" s="714" t="s">
        <v>17</v>
      </c>
      <c r="S39" s="715">
        <f t="shared" si="12"/>
        <v>100</v>
      </c>
      <c r="T39" s="714" t="s">
        <v>17</v>
      </c>
      <c r="U39" s="715">
        <f t="shared" si="13"/>
        <v>100</v>
      </c>
      <c r="V39" s="714" t="s">
        <v>17</v>
      </c>
      <c r="W39" s="715">
        <f t="shared" si="14"/>
        <v>100</v>
      </c>
      <c r="X39" s="1489"/>
      <c r="Y39" s="3527"/>
      <c r="Z39" s="1490" t="str">
        <f t="shared" si="15"/>
        <v>层高</v>
      </c>
      <c r="AA39" s="1487">
        <f t="shared" si="3"/>
        <v>1</v>
      </c>
      <c r="AB39" s="1487">
        <f t="shared" si="4"/>
        <v>1</v>
      </c>
      <c r="AC39" s="1487">
        <f t="shared" si="5"/>
        <v>1</v>
      </c>
    </row>
    <row r="40" spans="1:29" ht="15">
      <c r="A40" s="431"/>
      <c r="B40" s="381" t="s">
        <v>2244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525"/>
      <c r="Q40" s="1486" t="str">
        <f t="shared" si="11"/>
        <v>单套建筑面积</v>
      </c>
      <c r="R40" s="714" t="s">
        <v>17</v>
      </c>
      <c r="S40" s="715">
        <f t="shared" si="12"/>
        <v>100</v>
      </c>
      <c r="T40" s="714" t="s">
        <v>17</v>
      </c>
      <c r="U40" s="715">
        <f t="shared" si="13"/>
        <v>100</v>
      </c>
      <c r="V40" s="714" t="s">
        <v>17</v>
      </c>
      <c r="W40" s="715">
        <f t="shared" si="14"/>
        <v>100</v>
      </c>
      <c r="X40" s="1489"/>
      <c r="Y40" s="3527"/>
      <c r="Z40" s="1490" t="str">
        <f t="shared" si="15"/>
        <v>单套建筑面积</v>
      </c>
      <c r="AA40" s="1487">
        <f t="shared" si="3"/>
        <v>1</v>
      </c>
      <c r="AB40" s="1487">
        <f t="shared" si="4"/>
        <v>1</v>
      </c>
      <c r="AC40" s="1487">
        <f t="shared" si="5"/>
        <v>1</v>
      </c>
    </row>
    <row r="41" spans="1:29" s="430" customFormat="1" ht="15">
      <c r="A41" s="427"/>
      <c r="B41" s="1488" t="s">
        <v>2245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525"/>
      <c r="Q41" s="716" t="str">
        <f t="shared" si="11"/>
        <v>进深比</v>
      </c>
      <c r="R41" s="717" t="s">
        <v>17</v>
      </c>
      <c r="S41" s="718">
        <f t="shared" si="12"/>
        <v>100</v>
      </c>
      <c r="T41" s="717" t="s">
        <v>17</v>
      </c>
      <c r="U41" s="718">
        <f t="shared" si="13"/>
        <v>100</v>
      </c>
      <c r="V41" s="717" t="s">
        <v>17</v>
      </c>
      <c r="W41" s="718">
        <f t="shared" si="14"/>
        <v>100</v>
      </c>
      <c r="X41" s="719"/>
      <c r="Y41" s="3527"/>
      <c r="Z41" s="720" t="str">
        <f t="shared" si="15"/>
        <v>进深比</v>
      </c>
      <c r="AA41" s="1487">
        <f t="shared" si="3"/>
        <v>1</v>
      </c>
      <c r="AB41" s="1487">
        <f t="shared" si="4"/>
        <v>1</v>
      </c>
      <c r="AC41" s="1487">
        <f t="shared" si="5"/>
        <v>1</v>
      </c>
    </row>
    <row r="42" spans="1:29" ht="15">
      <c r="A42" s="431"/>
      <c r="B42" s="381" t="s">
        <v>2246</v>
      </c>
      <c r="C42" s="2041"/>
      <c r="D42" s="394">
        <v>100</v>
      </c>
      <c r="E42" s="2041"/>
      <c r="F42" s="420">
        <f>SUMIF(122:122,E42,123:123)-SUMIF(122:122,C42,123:123)+100</f>
        <v>100</v>
      </c>
      <c r="G42" s="2041"/>
      <c r="H42" s="394">
        <f>SUMIF(122:122,G42,123:123)-SUMIF(122:122,C42,123:123)+100</f>
        <v>100</v>
      </c>
      <c r="I42" s="2041"/>
      <c r="J42" s="394">
        <f>SUMIF(122:122,I42,123:123)-SUMIF(122:122,C42,123:123)+100</f>
        <v>100</v>
      </c>
      <c r="K42" s="569"/>
      <c r="L42" s="2899"/>
      <c r="M42" s="2893"/>
      <c r="N42" s="2893"/>
      <c r="O42" s="2893"/>
      <c r="P42" s="3525"/>
      <c r="Q42" s="1486" t="str">
        <f t="shared" si="11"/>
        <v>内部装修</v>
      </c>
      <c r="R42" s="714" t="s">
        <v>17</v>
      </c>
      <c r="S42" s="715">
        <f t="shared" si="12"/>
        <v>100</v>
      </c>
      <c r="T42" s="714" t="s">
        <v>17</v>
      </c>
      <c r="U42" s="715">
        <f t="shared" si="13"/>
        <v>100</v>
      </c>
      <c r="V42" s="714" t="s">
        <v>17</v>
      </c>
      <c r="W42" s="715">
        <f t="shared" si="14"/>
        <v>100</v>
      </c>
      <c r="X42" s="1489"/>
      <c r="Y42" s="3527"/>
      <c r="Z42" s="1490" t="str">
        <f t="shared" si="15"/>
        <v>内部装修</v>
      </c>
      <c r="AA42" s="1487">
        <f t="shared" si="3"/>
        <v>1</v>
      </c>
      <c r="AB42" s="1487">
        <f t="shared" si="4"/>
        <v>1</v>
      </c>
      <c r="AC42" s="1487">
        <f t="shared" si="5"/>
        <v>1</v>
      </c>
    </row>
    <row r="43" spans="1:29" ht="15">
      <c r="A43" s="431"/>
      <c r="B43" s="381" t="s">
        <v>2154</v>
      </c>
      <c r="C43" s="2041"/>
      <c r="D43" s="394">
        <v>100</v>
      </c>
      <c r="E43" s="2041"/>
      <c r="F43" s="420">
        <f>SUMIF(124:124,E43,125:125)-SUMIF(124:124,C43,125:125)+100</f>
        <v>100</v>
      </c>
      <c r="G43" s="2041"/>
      <c r="H43" s="394">
        <f>SUMIF(124:124,G43,125:125)-SUMIF(124:124,C43,125:125)+100</f>
        <v>100</v>
      </c>
      <c r="I43" s="2041"/>
      <c r="J43" s="394">
        <f>SUMIF(124:124,I43,125:125)-SUMIF(124:124,C43,125:125)+100</f>
        <v>100</v>
      </c>
      <c r="K43" s="569"/>
      <c r="L43" s="2899"/>
      <c r="M43" s="2893"/>
      <c r="N43" s="2893"/>
      <c r="O43" s="2893"/>
      <c r="P43" s="3525"/>
      <c r="Q43" s="1486" t="str">
        <f t="shared" si="11"/>
        <v>内部装修维护情况</v>
      </c>
      <c r="R43" s="714" t="s">
        <v>17</v>
      </c>
      <c r="S43" s="715">
        <f t="shared" si="12"/>
        <v>100</v>
      </c>
      <c r="T43" s="714" t="s">
        <v>17</v>
      </c>
      <c r="U43" s="715">
        <f t="shared" si="13"/>
        <v>100</v>
      </c>
      <c r="V43" s="714" t="s">
        <v>17</v>
      </c>
      <c r="W43" s="715">
        <f t="shared" si="14"/>
        <v>100</v>
      </c>
      <c r="X43" s="1489"/>
      <c r="Y43" s="3527"/>
      <c r="Z43" s="1490" t="str">
        <f t="shared" si="15"/>
        <v>内部装修维护情况</v>
      </c>
      <c r="AA43" s="1487">
        <f t="shared" si="3"/>
        <v>1</v>
      </c>
      <c r="AB43" s="1487">
        <f t="shared" si="4"/>
        <v>1</v>
      </c>
      <c r="AC43" s="1487">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525"/>
      <c r="Q44" s="1477">
        <f t="shared" si="11"/>
        <v>111</v>
      </c>
      <c r="R44" s="710" t="s">
        <v>17</v>
      </c>
      <c r="S44" s="711">
        <f t="shared" si="12"/>
        <v>100</v>
      </c>
      <c r="T44" s="710" t="s">
        <v>17</v>
      </c>
      <c r="U44" s="711">
        <f t="shared" si="13"/>
        <v>100</v>
      </c>
      <c r="V44" s="710" t="s">
        <v>17</v>
      </c>
      <c r="W44" s="711">
        <f t="shared" si="14"/>
        <v>100</v>
      </c>
      <c r="X44" s="712"/>
      <c r="Y44" s="3527"/>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525"/>
      <c r="Q45" s="1486">
        <f t="shared" si="11"/>
        <v>111</v>
      </c>
      <c r="R45" s="714" t="s">
        <v>17</v>
      </c>
      <c r="S45" s="715">
        <f t="shared" si="12"/>
        <v>100</v>
      </c>
      <c r="T45" s="714" t="s">
        <v>17</v>
      </c>
      <c r="U45" s="715">
        <f t="shared" si="13"/>
        <v>100</v>
      </c>
      <c r="V45" s="714" t="s">
        <v>17</v>
      </c>
      <c r="W45" s="715">
        <f t="shared" si="14"/>
        <v>100</v>
      </c>
      <c r="X45" s="1489"/>
      <c r="Y45" s="3527"/>
      <c r="Z45" s="1490">
        <f t="shared" si="15"/>
        <v>111</v>
      </c>
      <c r="AA45" s="1487">
        <f t="shared" si="3"/>
        <v>1</v>
      </c>
      <c r="AB45" s="1487">
        <f t="shared" si="4"/>
        <v>1</v>
      </c>
      <c r="AC45" s="1487">
        <f t="shared" si="5"/>
        <v>1</v>
      </c>
    </row>
    <row r="46" spans="1:29" ht="15.75" thickBot="1">
      <c r="A46" s="437"/>
      <c r="B46" s="203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526"/>
      <c r="Q46" s="1486">
        <f t="shared" si="11"/>
        <v>111</v>
      </c>
      <c r="R46" s="714" t="s">
        <v>17</v>
      </c>
      <c r="S46" s="715">
        <f t="shared" si="12"/>
        <v>100</v>
      </c>
      <c r="T46" s="714" t="s">
        <v>17</v>
      </c>
      <c r="U46" s="715">
        <f t="shared" si="13"/>
        <v>100</v>
      </c>
      <c r="V46" s="714" t="s">
        <v>17</v>
      </c>
      <c r="W46" s="715">
        <f t="shared" si="14"/>
        <v>100</v>
      </c>
      <c r="X46" s="1489"/>
      <c r="Y46" s="3528"/>
      <c r="Z46" s="1490">
        <f t="shared" si="15"/>
        <v>111</v>
      </c>
      <c r="AA46" s="1487">
        <f t="shared" si="3"/>
        <v>1</v>
      </c>
      <c r="AB46" s="1487">
        <f t="shared" si="4"/>
        <v>1</v>
      </c>
      <c r="AC46" s="1487">
        <f t="shared" si="5"/>
        <v>1</v>
      </c>
    </row>
    <row r="47" spans="1:29" ht="15">
      <c r="A47" s="438" t="s">
        <v>2155</v>
      </c>
      <c r="B47" s="439"/>
      <c r="C47" s="1269" t="s">
        <v>1</v>
      </c>
      <c r="D47" s="1270"/>
      <c r="E47" s="1271"/>
      <c r="F47" s="1272"/>
      <c r="G47" s="1273"/>
      <c r="H47" s="1274"/>
      <c r="I47" s="1271"/>
      <c r="J47" s="1274"/>
      <c r="K47" s="723"/>
      <c r="L47" s="2901"/>
      <c r="M47" s="2902"/>
      <c r="N47" s="2893"/>
      <c r="O47" s="2902"/>
      <c r="P47" s="3520" t="str">
        <f>A47</f>
        <v>成交单价（元/平方米）</v>
      </c>
      <c r="Q47" s="3520"/>
      <c r="R47" s="3551">
        <f>E47</f>
        <v>0</v>
      </c>
      <c r="S47" s="3551"/>
      <c r="T47" s="3551">
        <f>G47</f>
        <v>0</v>
      </c>
      <c r="U47" s="3551"/>
      <c r="V47" s="3551">
        <f>I47</f>
        <v>0</v>
      </c>
      <c r="W47" s="3551"/>
      <c r="X47" s="699"/>
      <c r="Y47" s="721"/>
      <c r="Z47" s="699"/>
      <c r="AA47" s="699"/>
      <c r="AB47" s="699"/>
      <c r="AC47" s="699"/>
    </row>
    <row r="48" spans="1:29" ht="15.75" thickBot="1">
      <c r="A48" s="445" t="s">
        <v>2247</v>
      </c>
      <c r="B48" s="446"/>
      <c r="C48" s="1275" t="e">
        <f>R49</f>
        <v>#DIV/0!</v>
      </c>
      <c r="D48" s="2487" t="s">
        <v>2636</v>
      </c>
      <c r="E48" s="1276" t="e">
        <f>R48</f>
        <v>#DIV/0!</v>
      </c>
      <c r="F48" s="2488"/>
      <c r="G48" s="1275" t="e">
        <f>T48</f>
        <v>#DIV/0!</v>
      </c>
      <c r="H48" s="2488"/>
      <c r="I48" s="1276" t="e">
        <f>V48</f>
        <v>#DIV/0!</v>
      </c>
      <c r="J48" s="2488"/>
      <c r="K48" s="2490">
        <f>F48+H48+J48</f>
        <v>0</v>
      </c>
      <c r="L48" s="2901"/>
      <c r="M48" s="2902"/>
      <c r="N48" s="2893"/>
      <c r="O48" s="2902"/>
      <c r="P48" s="3520" t="str">
        <f>A48</f>
        <v>比较价值（元/平方米）</v>
      </c>
      <c r="Q48" s="3520"/>
      <c r="R48" s="3521" t="e">
        <f>IF(F1="售价",ROUND(PRODUCT(R47,AA7:AA46),0),ROUND(PRODUCT(R47,AA7:AA46),1))</f>
        <v>#DIV/0!</v>
      </c>
      <c r="S48" s="3521"/>
      <c r="T48" s="3521" t="e">
        <f>IF(F1="售价",ROUND(PRODUCT(T47,AB7:AB46),0),ROUND(PRODUCT(T47,AB7:AB46),1))</f>
        <v>#DIV/0!</v>
      </c>
      <c r="U48" s="3521"/>
      <c r="V48" s="3521" t="e">
        <f>IF(F1="售价",ROUND(PRODUCT(V47,AC7:AC46),0),ROUND(PRODUCT(V47,AC7:AC46),1))</f>
        <v>#DIV/0!</v>
      </c>
      <c r="W48" s="3521"/>
      <c r="X48" s="699"/>
      <c r="Y48" s="699"/>
      <c r="Z48" s="699"/>
      <c r="AA48" s="699"/>
      <c r="AB48" s="699"/>
      <c r="AC48" s="699"/>
    </row>
    <row r="49" spans="1:29" ht="15.75" thickBot="1">
      <c r="A49" s="449" t="s">
        <v>2248</v>
      </c>
      <c r="B49" s="450"/>
      <c r="C49" s="1278" t="e">
        <f>R49</f>
        <v>#DIV/0!</v>
      </c>
      <c r="D49" s="1278"/>
      <c r="E49" s="1278"/>
      <c r="F49" s="1278"/>
      <c r="G49" s="1278"/>
      <c r="H49" s="1278"/>
      <c r="I49" s="1278"/>
      <c r="J49" s="1278"/>
      <c r="K49" s="724"/>
      <c r="L49" s="2901"/>
      <c r="M49" s="2902"/>
      <c r="N49" s="2893"/>
      <c r="O49" s="2902"/>
      <c r="P49" s="3517" t="str">
        <f>A49</f>
        <v>估价对象XX用房的比较价值（楼面单价，元/平方米）</v>
      </c>
      <c r="Q49" s="3518"/>
      <c r="R49" s="3519" t="e">
        <f>IF(F1="售价",ROUND(IF(D48="简单平均",AVERAGE(R48:V48),R48*F48+T48*H48+V48*J48),0),ROUND(IF(D48="简单平均",AVERAGE(R48:V48),R48*F48+T48*H48+V48*J48),1))</f>
        <v>#DIV/0!</v>
      </c>
      <c r="S49" s="3519"/>
      <c r="T49" s="3519"/>
      <c r="U49" s="3519"/>
      <c r="V49" s="3519"/>
      <c r="W49" s="3519"/>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2249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2250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2252</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2126</v>
      </c>
      <c r="B58" s="463"/>
      <c r="C58" s="1298" t="str">
        <f>YEAR(C7)&amp;"-"&amp;MONTH(C7)</f>
        <v>2022-7</v>
      </c>
      <c r="D58" s="1299">
        <f>EDATE(C58,-1)</f>
        <v>44713</v>
      </c>
      <c r="E58" s="1299">
        <f t="shared" ref="E58:N58" si="16">EDATE(D58,-1)</f>
        <v>44682</v>
      </c>
      <c r="F58" s="1299">
        <f t="shared" si="16"/>
        <v>44652</v>
      </c>
      <c r="G58" s="1299">
        <f t="shared" si="16"/>
        <v>44621</v>
      </c>
      <c r="H58" s="1299">
        <f t="shared" si="16"/>
        <v>44593</v>
      </c>
      <c r="I58" s="1299">
        <f t="shared" si="16"/>
        <v>44562</v>
      </c>
      <c r="J58" s="1299">
        <f t="shared" si="16"/>
        <v>44531</v>
      </c>
      <c r="K58" s="1299">
        <f t="shared" si="16"/>
        <v>44501</v>
      </c>
      <c r="L58" s="1299">
        <f t="shared" si="16"/>
        <v>44470</v>
      </c>
      <c r="M58" s="1299">
        <f t="shared" si="16"/>
        <v>44440</v>
      </c>
      <c r="N58" s="1299">
        <f t="shared" si="16"/>
        <v>44409</v>
      </c>
      <c r="O58" s="1299">
        <f>EDATE(N58,-1)</f>
        <v>44378</v>
      </c>
      <c r="P58" s="2917"/>
      <c r="Q58" s="2918"/>
      <c r="R58" s="2918"/>
      <c r="S58" s="2918"/>
      <c r="T58" s="2918"/>
      <c r="U58" s="2918"/>
      <c r="V58" s="2918"/>
      <c r="W58" s="2918"/>
      <c r="X58" s="2918"/>
      <c r="Y58" s="2918"/>
      <c r="Z58" s="2918"/>
      <c r="AA58" s="2918"/>
      <c r="AB58" s="2918"/>
      <c r="AC58" s="2918"/>
    </row>
    <row r="59" spans="1:29" s="113" customFormat="1" ht="15">
      <c r="A59" s="466"/>
      <c r="B59" s="467"/>
      <c r="C59" s="1297">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2163</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2128</v>
      </c>
      <c r="B61" s="467"/>
      <c r="C61" s="479" t="s">
        <v>2230</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2166</v>
      </c>
      <c r="B63" s="485" t="s">
        <v>2132</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2135</v>
      </c>
      <c r="C65" s="496" t="s">
        <v>2167</v>
      </c>
      <c r="D65" s="496" t="s">
        <v>2168</v>
      </c>
      <c r="E65" s="496" t="s">
        <v>2169</v>
      </c>
      <c r="F65" s="496" t="s">
        <v>2170</v>
      </c>
      <c r="G65" s="496" t="s">
        <v>2171</v>
      </c>
      <c r="H65" s="496" t="s">
        <v>2172</v>
      </c>
      <c r="I65" s="496" t="s">
        <v>2173</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2137</v>
      </c>
      <c r="B76" s="485" t="s">
        <v>2174</v>
      </c>
      <c r="C76" s="530" t="s">
        <v>2175</v>
      </c>
      <c r="D76" s="530" t="s">
        <v>2176</v>
      </c>
      <c r="E76" s="530" t="s">
        <v>2177</v>
      </c>
      <c r="F76" s="530" t="s">
        <v>2178</v>
      </c>
      <c r="G76" s="530" t="s">
        <v>2179</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2180</v>
      </c>
      <c r="C78" s="535" t="s">
        <v>2175</v>
      </c>
      <c r="D78" s="535" t="s">
        <v>2176</v>
      </c>
      <c r="E78" s="535" t="s">
        <v>2177</v>
      </c>
      <c r="F78" s="535" t="s">
        <v>2178</v>
      </c>
      <c r="G78" s="535" t="s">
        <v>2179</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2181</v>
      </c>
      <c r="C80" s="535" t="s">
        <v>2175</v>
      </c>
      <c r="D80" s="535" t="s">
        <v>2176</v>
      </c>
      <c r="E80" s="535" t="s">
        <v>2177</v>
      </c>
      <c r="F80" s="535" t="s">
        <v>2178</v>
      </c>
      <c r="G80" s="535" t="s">
        <v>2179</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2233</v>
      </c>
      <c r="C82" s="616" t="s">
        <v>2253</v>
      </c>
      <c r="D82" s="616" t="s">
        <v>2254</v>
      </c>
      <c r="E82" s="616" t="s">
        <v>2255</v>
      </c>
      <c r="F82" s="616" t="s">
        <v>2256</v>
      </c>
      <c r="G82" s="616" t="s">
        <v>2257</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2187</v>
      </c>
      <c r="C84" s="535" t="s">
        <v>2175</v>
      </c>
      <c r="D84" s="535" t="s">
        <v>2176</v>
      </c>
      <c r="E84" s="535" t="s">
        <v>2177</v>
      </c>
      <c r="F84" s="535" t="s">
        <v>2178</v>
      </c>
      <c r="G84" s="535" t="s">
        <v>2179</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2258</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511"/>
      <c r="D88" s="511"/>
      <c r="E88" s="511"/>
      <c r="F88" s="2062"/>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3"/>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2141</v>
      </c>
      <c r="B100" s="485" t="s">
        <v>2259</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2192</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2194</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2196</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2260</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2261</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2262</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2263</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2198</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2199</v>
      </c>
      <c r="C124" s="535" t="s">
        <v>2175</v>
      </c>
      <c r="D124" s="535" t="s">
        <v>2176</v>
      </c>
      <c r="E124" s="535" t="s">
        <v>2177</v>
      </c>
      <c r="F124" s="535" t="s">
        <v>2178</v>
      </c>
      <c r="G124" s="535" t="s">
        <v>2179</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3"/>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92" t="s">
        <v>2264</v>
      </c>
      <c r="C1" s="1344" t="s">
        <v>2108</v>
      </c>
      <c r="D1" s="1345"/>
      <c r="E1" s="1354"/>
      <c r="F1" s="2014"/>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9" t="e">
        <f ca="1">IF(C2="——",ROUND(C50*D3/10000,0),ROUND(C50*D3/10000,0)-D2)</f>
        <v>#DIV/0!</v>
      </c>
      <c r="C2" s="2016"/>
      <c r="D2" s="1228" t="e">
        <f ca="1">SUMIF(INDIRECT("'"&amp;F2&amp;"'"&amp;"!A:A"),"承租人权益价值",INDIRECT("'"&amp;F2&amp;"'"&amp;"!c:c"))</f>
        <v>#REF!</v>
      </c>
      <c r="E2" s="2017" t="s">
        <v>1906</v>
      </c>
      <c r="F2" s="2018"/>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1907</v>
      </c>
      <c r="B3" s="566" t="e">
        <f ca="1">IF(C2="——",C50,ROUND(B2*10000/D3,0))</f>
        <v>#DIV/0!</v>
      </c>
      <c r="C3" s="360" t="s">
        <v>2222</v>
      </c>
      <c r="D3" s="359">
        <f>IF(D1="",'数据-汇总表'!E3,SUMIF('数据-汇总表'!$C19:$C33,D1,'数据-汇总表'!$E19:$E33))</f>
        <v>242531.24000000002</v>
      </c>
      <c r="E3" s="2089"/>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2223</v>
      </c>
      <c r="B4" s="362"/>
      <c r="C4" s="3535" t="s">
        <v>2224</v>
      </c>
      <c r="D4" s="3536"/>
      <c r="E4" s="3537" t="s">
        <v>2225</v>
      </c>
      <c r="F4" s="3538"/>
      <c r="G4" s="3535" t="s">
        <v>2226</v>
      </c>
      <c r="H4" s="3536"/>
      <c r="I4" s="3535" t="s">
        <v>2227</v>
      </c>
      <c r="J4" s="3536"/>
      <c r="K4" s="567" t="s">
        <v>2228</v>
      </c>
      <c r="L4" s="2892"/>
      <c r="M4" s="2893"/>
      <c r="N4" s="2893"/>
      <c r="O4" s="2893"/>
      <c r="P4" s="3569" t="s">
        <v>2229</v>
      </c>
      <c r="Q4" s="3570"/>
      <c r="R4" s="3573" t="s">
        <v>2225</v>
      </c>
      <c r="S4" s="3574"/>
      <c r="T4" s="3573" t="s">
        <v>2226</v>
      </c>
      <c r="U4" s="3574"/>
      <c r="V4" s="3575" t="s">
        <v>2227</v>
      </c>
      <c r="W4" s="3575"/>
      <c r="X4" s="2093"/>
      <c r="Y4" s="3573" t="s">
        <v>2229</v>
      </c>
      <c r="Z4" s="3574"/>
      <c r="AA4" s="3577" t="s">
        <v>2225</v>
      </c>
      <c r="AB4" s="3577" t="s">
        <v>2226</v>
      </c>
      <c r="AC4" s="3566" t="s">
        <v>2227</v>
      </c>
    </row>
    <row r="5" spans="1:29" ht="15">
      <c r="A5" s="364"/>
      <c r="B5" s="365"/>
      <c r="C5" s="3554" t="s">
        <v>2120</v>
      </c>
      <c r="D5" s="3555"/>
      <c r="E5" s="3561" t="s">
        <v>2121</v>
      </c>
      <c r="F5" s="3562"/>
      <c r="G5" s="3554" t="s">
        <v>2122</v>
      </c>
      <c r="H5" s="3555"/>
      <c r="I5" s="3554" t="s">
        <v>2123</v>
      </c>
      <c r="J5" s="3555"/>
      <c r="K5" s="567"/>
      <c r="L5" s="2892"/>
      <c r="M5" s="2893"/>
      <c r="N5" s="2893"/>
      <c r="O5" s="2893"/>
      <c r="P5" s="3571"/>
      <c r="Q5" s="3542"/>
      <c r="R5" s="3547"/>
      <c r="S5" s="3548"/>
      <c r="T5" s="3547"/>
      <c r="U5" s="3548"/>
      <c r="V5" s="3551"/>
      <c r="W5" s="3551"/>
      <c r="X5" s="1489"/>
      <c r="Y5" s="3547"/>
      <c r="Z5" s="3548"/>
      <c r="AA5" s="3533"/>
      <c r="AB5" s="3533"/>
      <c r="AC5" s="3567"/>
    </row>
    <row r="6" spans="1:29" ht="15.75" thickBot="1">
      <c r="A6" s="366"/>
      <c r="B6" s="367"/>
      <c r="C6" s="3552" t="s">
        <v>2124</v>
      </c>
      <c r="D6" s="3553"/>
      <c r="E6" s="3559" t="s">
        <v>2124</v>
      </c>
      <c r="F6" s="3560"/>
      <c r="G6" s="3552" t="s">
        <v>2124</v>
      </c>
      <c r="H6" s="3553"/>
      <c r="I6" s="3552" t="s">
        <v>2124</v>
      </c>
      <c r="J6" s="3553"/>
      <c r="K6" s="567" t="s">
        <v>2125</v>
      </c>
      <c r="L6" s="2892"/>
      <c r="M6" s="2893"/>
      <c r="N6" s="2893"/>
      <c r="O6" s="2893"/>
      <c r="P6" s="3572"/>
      <c r="Q6" s="3544"/>
      <c r="R6" s="3547"/>
      <c r="S6" s="3548"/>
      <c r="T6" s="3549"/>
      <c r="U6" s="3550"/>
      <c r="V6" s="3551"/>
      <c r="W6" s="3551"/>
      <c r="X6" s="1489"/>
      <c r="Y6" s="3549"/>
      <c r="Z6" s="3550"/>
      <c r="AA6" s="3534"/>
      <c r="AB6" s="3534"/>
      <c r="AC6" s="3568"/>
    </row>
    <row r="7" spans="1:29" s="113" customFormat="1" ht="15.75" thickBot="1">
      <c r="A7" s="368" t="s">
        <v>2126</v>
      </c>
      <c r="B7" s="369"/>
      <c r="C7" s="370">
        <f>'数据-取费表'!B2</f>
        <v>44769</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76" t="s">
        <v>2127</v>
      </c>
      <c r="Q7" s="3558"/>
      <c r="R7" s="710" t="s">
        <v>17</v>
      </c>
      <c r="S7" s="711">
        <f t="shared" ref="S7:S15" si="0">F7</f>
        <v>0</v>
      </c>
      <c r="T7" s="710" t="s">
        <v>17</v>
      </c>
      <c r="U7" s="711">
        <f t="shared" ref="U7:U15" si="1">H7</f>
        <v>0</v>
      </c>
      <c r="V7" s="710" t="s">
        <v>17</v>
      </c>
      <c r="W7" s="711">
        <f t="shared" ref="W7:W15" si="2">J7</f>
        <v>0</v>
      </c>
      <c r="X7" s="712"/>
      <c r="Y7" s="3556" t="s">
        <v>2127</v>
      </c>
      <c r="Z7" s="3557"/>
      <c r="AA7" s="713" t="e">
        <f>D7/F7</f>
        <v>#DIV/0!</v>
      </c>
      <c r="AB7" s="713" t="e">
        <f>D7/H7</f>
        <v>#DIV/0!</v>
      </c>
      <c r="AC7" s="2094" t="e">
        <f>D7/J7</f>
        <v>#DIV/0!</v>
      </c>
    </row>
    <row r="8" spans="1:29" s="113" customFormat="1" ht="15.75" thickBot="1">
      <c r="A8" s="368" t="s">
        <v>2128</v>
      </c>
      <c r="B8" s="369"/>
      <c r="C8" s="374" t="s">
        <v>2230</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76" t="s">
        <v>2130</v>
      </c>
      <c r="Q8" s="3557"/>
      <c r="R8" s="710" t="s">
        <v>17</v>
      </c>
      <c r="S8" s="711">
        <f t="shared" si="0"/>
        <v>0</v>
      </c>
      <c r="T8" s="710" t="s">
        <v>17</v>
      </c>
      <c r="U8" s="711">
        <f t="shared" si="1"/>
        <v>0</v>
      </c>
      <c r="V8" s="710" t="s">
        <v>17</v>
      </c>
      <c r="W8" s="711">
        <f t="shared" si="2"/>
        <v>0</v>
      </c>
      <c r="X8" s="712"/>
      <c r="Y8" s="3556" t="s">
        <v>2130</v>
      </c>
      <c r="Z8" s="3557"/>
      <c r="AA8" s="713" t="e">
        <f t="shared" ref="AA8:AA47" si="3">D8/F8</f>
        <v>#DIV/0!</v>
      </c>
      <c r="AB8" s="713" t="e">
        <f t="shared" ref="AB8:AB47" si="4">D8/H8</f>
        <v>#DIV/0!</v>
      </c>
      <c r="AC8" s="2094" t="e">
        <f t="shared" ref="AC8:AC47" si="5">D8/J8</f>
        <v>#DIV/0!</v>
      </c>
    </row>
    <row r="9" spans="1:29" s="113" customFormat="1">
      <c r="A9" s="375" t="s">
        <v>2131</v>
      </c>
      <c r="B9" s="67" t="s">
        <v>2132</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531" t="s">
        <v>2133</v>
      </c>
      <c r="Q9" s="1477" t="str">
        <f t="shared" ref="Q9:Q15" si="6">B9</f>
        <v>用途</v>
      </c>
      <c r="R9" s="710" t="s">
        <v>17</v>
      </c>
      <c r="S9" s="711">
        <f t="shared" si="0"/>
        <v>100</v>
      </c>
      <c r="T9" s="710" t="s">
        <v>17</v>
      </c>
      <c r="U9" s="711">
        <f t="shared" si="1"/>
        <v>100</v>
      </c>
      <c r="V9" s="710" t="s">
        <v>17</v>
      </c>
      <c r="W9" s="711">
        <f t="shared" si="2"/>
        <v>100</v>
      </c>
      <c r="X9" s="712"/>
      <c r="Y9" s="3392" t="s">
        <v>2134</v>
      </c>
      <c r="Z9" s="55" t="str">
        <f t="shared" ref="Z9:Z15" si="7">Q9</f>
        <v>用途</v>
      </c>
      <c r="AA9" s="713">
        <f t="shared" si="3"/>
        <v>1</v>
      </c>
      <c r="AB9" s="713">
        <f t="shared" si="4"/>
        <v>1</v>
      </c>
      <c r="AC9" s="2094">
        <f t="shared" si="5"/>
        <v>1</v>
      </c>
    </row>
    <row r="10" spans="1:29" s="386" customFormat="1" ht="27">
      <c r="A10" s="380"/>
      <c r="B10" s="381" t="s">
        <v>2135</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531"/>
      <c r="Q10" s="1477" t="str">
        <f t="shared" si="6"/>
        <v>土地使用年限（年）</v>
      </c>
      <c r="R10" s="710" t="s">
        <v>17</v>
      </c>
      <c r="S10" s="711">
        <f t="shared" si="0"/>
        <v>100</v>
      </c>
      <c r="T10" s="710" t="s">
        <v>17</v>
      </c>
      <c r="U10" s="711">
        <f t="shared" si="1"/>
        <v>100</v>
      </c>
      <c r="V10" s="710" t="s">
        <v>17</v>
      </c>
      <c r="W10" s="711">
        <f t="shared" si="2"/>
        <v>100</v>
      </c>
      <c r="X10" s="712"/>
      <c r="Y10" s="3392"/>
      <c r="Z10" s="55" t="str">
        <f t="shared" si="7"/>
        <v>土地使用年限（年）</v>
      </c>
      <c r="AA10" s="713">
        <f t="shared" si="3"/>
        <v>1</v>
      </c>
      <c r="AB10" s="713">
        <f t="shared" si="4"/>
        <v>1</v>
      </c>
      <c r="AC10" s="2094">
        <f t="shared" si="5"/>
        <v>1</v>
      </c>
    </row>
    <row r="11" spans="1:29" ht="15">
      <c r="A11" s="387"/>
      <c r="B11" s="381" t="s">
        <v>2136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531"/>
      <c r="Q11" s="1477" t="str">
        <f t="shared" si="6"/>
        <v>容积率</v>
      </c>
      <c r="R11" s="710" t="s">
        <v>17</v>
      </c>
      <c r="S11" s="711" t="e">
        <f t="shared" si="0"/>
        <v>#N/A</v>
      </c>
      <c r="T11" s="710" t="s">
        <v>17</v>
      </c>
      <c r="U11" s="711" t="e">
        <f t="shared" si="1"/>
        <v>#N/A</v>
      </c>
      <c r="V11" s="710" t="s">
        <v>17</v>
      </c>
      <c r="W11" s="711" t="e">
        <f t="shared" si="2"/>
        <v>#N/A</v>
      </c>
      <c r="X11" s="712"/>
      <c r="Y11" s="3392"/>
      <c r="Z11" s="55" t="str">
        <f t="shared" si="7"/>
        <v>容积率</v>
      </c>
      <c r="AA11" s="713" t="e">
        <f t="shared" si="3"/>
        <v>#N/A</v>
      </c>
      <c r="AB11" s="713" t="e">
        <f t="shared" si="4"/>
        <v>#N/A</v>
      </c>
      <c r="AC11" s="2094" t="e">
        <f t="shared" si="5"/>
        <v>#N/A</v>
      </c>
    </row>
    <row r="12" spans="1:29" s="113" customFormat="1" ht="15">
      <c r="A12" s="390"/>
      <c r="B12" s="2028">
        <v>111</v>
      </c>
      <c r="C12" s="391"/>
      <c r="D12" s="392">
        <v>100</v>
      </c>
      <c r="E12" s="391"/>
      <c r="F12" s="132">
        <f>SUMIF(71:71,E12,72:72)-SUMIF(71:71,C12,72:72)+100</f>
        <v>100</v>
      </c>
      <c r="G12" s="2095"/>
      <c r="H12" s="132">
        <f>SUMIF(71:71,G12,72:72)-SUMIF(71:71,C12,72:72)+100</f>
        <v>100</v>
      </c>
      <c r="I12" s="391"/>
      <c r="J12" s="132">
        <f>SUMIF(71:71,I12,72:72)-SUMIF(71:71,C12,72:72)+100</f>
        <v>100</v>
      </c>
      <c r="K12" s="570"/>
      <c r="L12" s="2894"/>
      <c r="M12" s="2895"/>
      <c r="N12" s="2895"/>
      <c r="O12" s="2895"/>
      <c r="P12" s="3531"/>
      <c r="Q12" s="1477">
        <f t="shared" si="6"/>
        <v>111</v>
      </c>
      <c r="R12" s="710" t="s">
        <v>17</v>
      </c>
      <c r="S12" s="711">
        <f t="shared" si="0"/>
        <v>100</v>
      </c>
      <c r="T12" s="710" t="s">
        <v>17</v>
      </c>
      <c r="U12" s="711">
        <f t="shared" si="1"/>
        <v>100</v>
      </c>
      <c r="V12" s="710" t="s">
        <v>17</v>
      </c>
      <c r="W12" s="711">
        <f t="shared" si="2"/>
        <v>100</v>
      </c>
      <c r="X12" s="712"/>
      <c r="Y12" s="3392"/>
      <c r="Z12" s="55">
        <f t="shared" si="7"/>
        <v>111</v>
      </c>
      <c r="AA12" s="713">
        <f>D12/F12</f>
        <v>1</v>
      </c>
      <c r="AB12" s="713">
        <f>D12/H12</f>
        <v>1</v>
      </c>
      <c r="AC12" s="2094">
        <f>D12/J12</f>
        <v>1</v>
      </c>
    </row>
    <row r="13" spans="1:29" ht="15">
      <c r="A13" s="387"/>
      <c r="B13" s="2028">
        <v>111</v>
      </c>
      <c r="C13" s="393"/>
      <c r="D13" s="394">
        <v>100</v>
      </c>
      <c r="E13" s="391"/>
      <c r="F13" s="132">
        <f>SUMIF(73:73,E13,74:74)-SUMIF(73:73,C13,74:74)+100</f>
        <v>100</v>
      </c>
      <c r="G13" s="2095"/>
      <c r="H13" s="394">
        <f>SUMIF(73:73,G13,74:74)-SUMIF(73:73,C13,74:74)+100</f>
        <v>100</v>
      </c>
      <c r="I13" s="391"/>
      <c r="J13" s="394">
        <f>SUMIF(73:73,I13,74:74)-SUMIF(73:73,C13,74:74)+100</f>
        <v>100</v>
      </c>
      <c r="K13" s="570"/>
      <c r="L13" s="2899"/>
      <c r="M13" s="2893"/>
      <c r="N13" s="2893"/>
      <c r="O13" s="2893"/>
      <c r="P13" s="3531"/>
      <c r="Q13" s="1477">
        <f t="shared" si="6"/>
        <v>111</v>
      </c>
      <c r="R13" s="710" t="s">
        <v>17</v>
      </c>
      <c r="S13" s="711">
        <f t="shared" si="0"/>
        <v>100</v>
      </c>
      <c r="T13" s="710" t="s">
        <v>17</v>
      </c>
      <c r="U13" s="711">
        <f t="shared" si="1"/>
        <v>100</v>
      </c>
      <c r="V13" s="710" t="s">
        <v>17</v>
      </c>
      <c r="W13" s="711">
        <f t="shared" si="2"/>
        <v>100</v>
      </c>
      <c r="X13" s="712"/>
      <c r="Y13" s="3392"/>
      <c r="Z13" s="55">
        <f t="shared" si="7"/>
        <v>111</v>
      </c>
      <c r="AA13" s="713">
        <f t="shared" si="3"/>
        <v>1</v>
      </c>
      <c r="AB13" s="713">
        <f t="shared" si="4"/>
        <v>1</v>
      </c>
      <c r="AC13" s="2094">
        <f t="shared" si="5"/>
        <v>1</v>
      </c>
    </row>
    <row r="14" spans="1:29" ht="15.75" thickBot="1">
      <c r="A14" s="395"/>
      <c r="B14" s="2030">
        <v>111</v>
      </c>
      <c r="C14" s="396"/>
      <c r="D14" s="397">
        <v>100</v>
      </c>
      <c r="E14" s="584"/>
      <c r="F14" s="397">
        <f>SUMIF(75:75,E14,76:76)-SUMIF(75:75,C14,76:76)+100</f>
        <v>100</v>
      </c>
      <c r="G14" s="2095"/>
      <c r="H14" s="397">
        <f>SUMIF(75:75,G14,76:76)-SUMIF(75:75,C14,76:76)+100</f>
        <v>100</v>
      </c>
      <c r="I14" s="391"/>
      <c r="J14" s="397">
        <f>SUMIF(75:75,I14,76:76)-SUMIF(75:75,C14,76:76)+100</f>
        <v>100</v>
      </c>
      <c r="K14" s="570"/>
      <c r="L14" s="2899"/>
      <c r="M14" s="2893"/>
      <c r="N14" s="2893"/>
      <c r="O14" s="2893"/>
      <c r="P14" s="3531"/>
      <c r="Q14" s="1477">
        <f t="shared" si="6"/>
        <v>111</v>
      </c>
      <c r="R14" s="710" t="s">
        <v>17</v>
      </c>
      <c r="S14" s="711">
        <f t="shared" si="0"/>
        <v>100</v>
      </c>
      <c r="T14" s="710" t="s">
        <v>17</v>
      </c>
      <c r="U14" s="711">
        <f t="shared" si="1"/>
        <v>100</v>
      </c>
      <c r="V14" s="710" t="s">
        <v>17</v>
      </c>
      <c r="W14" s="711">
        <f t="shared" si="2"/>
        <v>100</v>
      </c>
      <c r="X14" s="712"/>
      <c r="Y14" s="3392"/>
      <c r="Z14" s="55">
        <f t="shared" si="7"/>
        <v>111</v>
      </c>
      <c r="AA14" s="713">
        <f t="shared" si="3"/>
        <v>1</v>
      </c>
      <c r="AB14" s="713">
        <f t="shared" si="4"/>
        <v>1</v>
      </c>
      <c r="AC14" s="2094">
        <f t="shared" si="5"/>
        <v>1</v>
      </c>
    </row>
    <row r="15" spans="1:29" ht="71.25">
      <c r="A15" s="399" t="s">
        <v>2137</v>
      </c>
      <c r="B15" s="585" t="s">
        <v>2265</v>
      </c>
      <c r="C15" s="209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529" t="s">
        <v>2138</v>
      </c>
      <c r="Q15" s="1486" t="str">
        <f t="shared" si="6"/>
        <v>办公集聚程度</v>
      </c>
      <c r="R15" s="714" t="s">
        <v>17</v>
      </c>
      <c r="S15" s="715">
        <f t="shared" si="0"/>
        <v>100</v>
      </c>
      <c r="T15" s="714" t="s">
        <v>17</v>
      </c>
      <c r="U15" s="715">
        <f t="shared" si="1"/>
        <v>100</v>
      </c>
      <c r="V15" s="714" t="s">
        <v>17</v>
      </c>
      <c r="W15" s="715">
        <f t="shared" si="2"/>
        <v>100</v>
      </c>
      <c r="X15" s="1489"/>
      <c r="Y15" s="3522" t="s">
        <v>2138</v>
      </c>
      <c r="Z15" s="1490" t="str">
        <f t="shared" si="7"/>
        <v>办公集聚程度</v>
      </c>
      <c r="AA15" s="1487">
        <f t="shared" si="3"/>
        <v>1</v>
      </c>
      <c r="AB15" s="1487">
        <f t="shared" si="4"/>
        <v>1</v>
      </c>
      <c r="AC15" s="2097">
        <f t="shared" si="5"/>
        <v>1</v>
      </c>
    </row>
    <row r="16" spans="1:29" ht="15">
      <c r="A16" s="387"/>
      <c r="B16" s="586"/>
      <c r="C16" s="2039"/>
      <c r="D16" s="407"/>
      <c r="E16" s="406"/>
      <c r="F16" s="407"/>
      <c r="G16" s="2039"/>
      <c r="H16" s="409"/>
      <c r="I16" s="406"/>
      <c r="J16" s="407"/>
      <c r="K16" s="572"/>
      <c r="L16" s="2899"/>
      <c r="M16" s="2893"/>
      <c r="N16" s="2893"/>
      <c r="O16" s="2893"/>
      <c r="P16" s="3530"/>
      <c r="Q16" s="1486"/>
      <c r="R16" s="714"/>
      <c r="S16" s="715"/>
      <c r="T16" s="714"/>
      <c r="U16" s="715"/>
      <c r="V16" s="714"/>
      <c r="W16" s="715"/>
      <c r="X16" s="1489"/>
      <c r="Y16" s="3523"/>
      <c r="Z16" s="1490"/>
      <c r="AA16" s="1487">
        <v>1</v>
      </c>
      <c r="AB16" s="1487">
        <v>1</v>
      </c>
      <c r="AC16" s="2097">
        <v>1</v>
      </c>
    </row>
    <row r="17" spans="1:29" ht="71.25">
      <c r="A17" s="387"/>
      <c r="B17" s="587" t="s">
        <v>1702</v>
      </c>
      <c r="C17" s="209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530"/>
      <c r="Q17" s="1486" t="str">
        <f>B17</f>
        <v>交通便捷度</v>
      </c>
      <c r="R17" s="714" t="s">
        <v>17</v>
      </c>
      <c r="S17" s="715">
        <f>F17</f>
        <v>100</v>
      </c>
      <c r="T17" s="714" t="s">
        <v>17</v>
      </c>
      <c r="U17" s="715">
        <f>H17</f>
        <v>100</v>
      </c>
      <c r="V17" s="714" t="s">
        <v>17</v>
      </c>
      <c r="W17" s="715">
        <f>J17</f>
        <v>100</v>
      </c>
      <c r="X17" s="1489"/>
      <c r="Y17" s="3523"/>
      <c r="Z17" s="1490" t="str">
        <f>Q17</f>
        <v>交通便捷度</v>
      </c>
      <c r="AA17" s="1487">
        <f t="shared" si="3"/>
        <v>1</v>
      </c>
      <c r="AB17" s="1487">
        <f t="shared" si="4"/>
        <v>1</v>
      </c>
      <c r="AC17" s="2097">
        <f t="shared" si="5"/>
        <v>1</v>
      </c>
    </row>
    <row r="18" spans="1:29" ht="15">
      <c r="A18" s="387"/>
      <c r="B18" s="588"/>
      <c r="C18" s="2099"/>
      <c r="D18" s="409"/>
      <c r="E18" s="2037"/>
      <c r="F18" s="409"/>
      <c r="G18" s="2038"/>
      <c r="H18" s="407"/>
      <c r="I18" s="2038"/>
      <c r="J18" s="407"/>
      <c r="K18" s="572"/>
      <c r="L18" s="2899"/>
      <c r="M18" s="2893"/>
      <c r="N18" s="2893"/>
      <c r="O18" s="2893"/>
      <c r="P18" s="3530"/>
      <c r="Q18" s="1486"/>
      <c r="R18" s="714"/>
      <c r="S18" s="715"/>
      <c r="T18" s="714"/>
      <c r="U18" s="715"/>
      <c r="V18" s="714"/>
      <c r="W18" s="715"/>
      <c r="X18" s="1489"/>
      <c r="Y18" s="3523"/>
      <c r="Z18" s="1490"/>
      <c r="AA18" s="1487">
        <v>1</v>
      </c>
      <c r="AB18" s="1487">
        <v>1</v>
      </c>
      <c r="AC18" s="2097">
        <v>1</v>
      </c>
    </row>
    <row r="19" spans="1:29" ht="42.75">
      <c r="A19" s="387"/>
      <c r="B19" s="587" t="s">
        <v>2266</v>
      </c>
      <c r="C19" s="209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530"/>
      <c r="Q19" s="1486" t="str">
        <f>B19</f>
        <v>公共配套设施</v>
      </c>
      <c r="R19" s="714" t="s">
        <v>17</v>
      </c>
      <c r="S19" s="715">
        <f>F19</f>
        <v>100</v>
      </c>
      <c r="T19" s="714" t="s">
        <v>17</v>
      </c>
      <c r="U19" s="715">
        <f>H19</f>
        <v>100</v>
      </c>
      <c r="V19" s="714" t="s">
        <v>17</v>
      </c>
      <c r="W19" s="715">
        <f>J19</f>
        <v>100</v>
      </c>
      <c r="X19" s="1489"/>
      <c r="Y19" s="3523"/>
      <c r="Z19" s="1490" t="str">
        <f>Q19</f>
        <v>公共配套设施</v>
      </c>
      <c r="AA19" s="1487">
        <f t="shared" si="3"/>
        <v>1</v>
      </c>
      <c r="AB19" s="1487">
        <f t="shared" si="4"/>
        <v>1</v>
      </c>
      <c r="AC19" s="2097">
        <f t="shared" si="5"/>
        <v>1</v>
      </c>
    </row>
    <row r="20" spans="1:29" ht="15">
      <c r="A20" s="387"/>
      <c r="B20" s="588"/>
      <c r="C20" s="2039"/>
      <c r="D20" s="407"/>
      <c r="E20" s="2032"/>
      <c r="F20" s="407"/>
      <c r="G20" s="2033"/>
      <c r="H20" s="407"/>
      <c r="I20" s="2033"/>
      <c r="J20" s="407"/>
      <c r="K20" s="572"/>
      <c r="L20" s="2899"/>
      <c r="M20" s="2893"/>
      <c r="N20" s="2893"/>
      <c r="O20" s="2893"/>
      <c r="P20" s="3530"/>
      <c r="Q20" s="1486"/>
      <c r="R20" s="714"/>
      <c r="S20" s="715"/>
      <c r="T20" s="714"/>
      <c r="U20" s="715"/>
      <c r="V20" s="714"/>
      <c r="W20" s="715"/>
      <c r="X20" s="1489"/>
      <c r="Y20" s="3523"/>
      <c r="Z20" s="1490"/>
      <c r="AA20" s="1487">
        <v>1</v>
      </c>
      <c r="AB20" s="1487">
        <v>1</v>
      </c>
      <c r="AC20" s="2097">
        <v>1</v>
      </c>
    </row>
    <row r="21" spans="1:29" ht="28.5">
      <c r="A21" s="387"/>
      <c r="B21" s="589" t="s">
        <v>2267</v>
      </c>
      <c r="C21" s="209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530"/>
      <c r="Q21" s="1486" t="str">
        <f>B21</f>
        <v>基础设施水平</v>
      </c>
      <c r="R21" s="714" t="s">
        <v>17</v>
      </c>
      <c r="S21" s="715">
        <f>F21</f>
        <v>100</v>
      </c>
      <c r="T21" s="714" t="s">
        <v>17</v>
      </c>
      <c r="U21" s="715">
        <f>H21</f>
        <v>100</v>
      </c>
      <c r="V21" s="714" t="s">
        <v>17</v>
      </c>
      <c r="W21" s="715">
        <f>J21</f>
        <v>100</v>
      </c>
      <c r="X21" s="1489"/>
      <c r="Y21" s="3523"/>
      <c r="Z21" s="1490" t="str">
        <f>Q21</f>
        <v>基础设施水平</v>
      </c>
      <c r="AA21" s="1487">
        <f t="shared" ref="AA21" si="8">D21/F21</f>
        <v>1</v>
      </c>
      <c r="AB21" s="1487">
        <f t="shared" ref="AB21" si="9">D21/H21</f>
        <v>1</v>
      </c>
      <c r="AC21" s="2097">
        <f t="shared" ref="AC21" si="10">D21/J21</f>
        <v>1</v>
      </c>
    </row>
    <row r="22" spans="1:29" ht="15">
      <c r="A22" s="387"/>
      <c r="B22" s="589"/>
      <c r="C22" s="2099"/>
      <c r="D22" s="407"/>
      <c r="E22" s="406"/>
      <c r="F22" s="407"/>
      <c r="G22" s="2039"/>
      <c r="H22" s="407"/>
      <c r="I22" s="2039"/>
      <c r="J22" s="407"/>
      <c r="K22" s="1245"/>
      <c r="L22" s="2899"/>
      <c r="M22" s="2893"/>
      <c r="N22" s="2893"/>
      <c r="O22" s="2893"/>
      <c r="P22" s="3530"/>
      <c r="Q22" s="1486"/>
      <c r="R22" s="714"/>
      <c r="S22" s="715"/>
      <c r="T22" s="714"/>
      <c r="U22" s="715"/>
      <c r="V22" s="714"/>
      <c r="W22" s="715"/>
      <c r="X22" s="1489"/>
      <c r="Y22" s="3523"/>
      <c r="Z22" s="1490"/>
      <c r="AA22" s="1487">
        <v>1</v>
      </c>
      <c r="AB22" s="1487">
        <v>1</v>
      </c>
      <c r="AC22" s="2097">
        <v>1</v>
      </c>
    </row>
    <row r="23" spans="1:29" ht="42.75">
      <c r="A23" s="387"/>
      <c r="B23" s="587" t="s">
        <v>2268</v>
      </c>
      <c r="C23" s="209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530"/>
      <c r="Q23" s="1486" t="str">
        <f>B23</f>
        <v>环境质量</v>
      </c>
      <c r="R23" s="714" t="s">
        <v>17</v>
      </c>
      <c r="S23" s="715">
        <f>F23</f>
        <v>100</v>
      </c>
      <c r="T23" s="714" t="s">
        <v>17</v>
      </c>
      <c r="U23" s="715">
        <f>H23</f>
        <v>100</v>
      </c>
      <c r="V23" s="714" t="s">
        <v>17</v>
      </c>
      <c r="W23" s="715">
        <f>J23</f>
        <v>100</v>
      </c>
      <c r="X23" s="1489"/>
      <c r="Y23" s="3523"/>
      <c r="Z23" s="1490" t="str">
        <f>Q23</f>
        <v>环境质量</v>
      </c>
      <c r="AA23" s="1487">
        <f t="shared" si="3"/>
        <v>1</v>
      </c>
      <c r="AB23" s="1487">
        <f t="shared" si="4"/>
        <v>1</v>
      </c>
      <c r="AC23" s="2097">
        <f t="shared" si="5"/>
        <v>1</v>
      </c>
    </row>
    <row r="24" spans="1:29" ht="15">
      <c r="A24" s="387"/>
      <c r="B24" s="589"/>
      <c r="C24" s="2039"/>
      <c r="D24" s="407"/>
      <c r="E24" s="2032"/>
      <c r="F24" s="407"/>
      <c r="G24" s="2033"/>
      <c r="H24" s="407"/>
      <c r="I24" s="2033"/>
      <c r="J24" s="407"/>
      <c r="K24" s="572"/>
      <c r="L24" s="2899"/>
      <c r="M24" s="2893"/>
      <c r="N24" s="2893"/>
      <c r="O24" s="2893"/>
      <c r="P24" s="3530"/>
      <c r="Q24" s="1486"/>
      <c r="R24" s="714"/>
      <c r="S24" s="715"/>
      <c r="T24" s="714"/>
      <c r="U24" s="715"/>
      <c r="V24" s="714"/>
      <c r="W24" s="715"/>
      <c r="X24" s="1489"/>
      <c r="Y24" s="3523"/>
      <c r="Z24" s="1490"/>
      <c r="AA24" s="1487">
        <v>1</v>
      </c>
      <c r="AB24" s="1487">
        <v>1</v>
      </c>
      <c r="AC24" s="2097">
        <v>1</v>
      </c>
    </row>
    <row r="25" spans="1:29" ht="27">
      <c r="A25" s="364"/>
      <c r="B25" s="587" t="s">
        <v>2269</v>
      </c>
      <c r="C25" s="2043"/>
      <c r="D25" s="394">
        <v>100</v>
      </c>
      <c r="E25" s="393"/>
      <c r="F25" s="394">
        <f>SUMIF(87:87,E26,88:88)-SUMIF(87:87,C26,88:88)+100</f>
        <v>100</v>
      </c>
      <c r="G25" s="2043"/>
      <c r="H25" s="394">
        <f>SUMIF(87:87,G26,88:88)-SUMIF(87:87,C26,88:88)+100</f>
        <v>100</v>
      </c>
      <c r="I25" s="393"/>
      <c r="J25" s="394">
        <f>SUMIF(87:87,I26,88:88)-SUMIF(87:87,C26,88:88)+100</f>
        <v>100</v>
      </c>
      <c r="K25" s="571"/>
      <c r="L25" s="2899"/>
      <c r="M25" s="2893"/>
      <c r="N25" s="2893"/>
      <c r="O25" s="2893"/>
      <c r="P25" s="3530"/>
      <c r="Q25" s="1486" t="str">
        <f>B25</f>
        <v>毗邻道路的类型与等级</v>
      </c>
      <c r="R25" s="714" t="s">
        <v>17</v>
      </c>
      <c r="S25" s="715">
        <f>F25</f>
        <v>100</v>
      </c>
      <c r="T25" s="714" t="s">
        <v>17</v>
      </c>
      <c r="U25" s="715">
        <f>H25</f>
        <v>100</v>
      </c>
      <c r="V25" s="714" t="s">
        <v>17</v>
      </c>
      <c r="W25" s="715">
        <f>J25</f>
        <v>100</v>
      </c>
      <c r="X25" s="1489"/>
      <c r="Y25" s="3523"/>
      <c r="Z25" s="1490" t="str">
        <f>Q25</f>
        <v>毗邻道路的类型与等级</v>
      </c>
      <c r="AA25" s="1487">
        <f t="shared" si="3"/>
        <v>1</v>
      </c>
      <c r="AB25" s="1487">
        <f t="shared" si="4"/>
        <v>1</v>
      </c>
      <c r="AC25" s="2097">
        <f t="shared" si="5"/>
        <v>1</v>
      </c>
    </row>
    <row r="26" spans="1:29" ht="15">
      <c r="A26" s="364"/>
      <c r="B26" s="588"/>
      <c r="C26" s="590"/>
      <c r="D26" s="394"/>
      <c r="E26" s="573"/>
      <c r="F26" s="394"/>
      <c r="G26" s="590"/>
      <c r="H26" s="394"/>
      <c r="I26" s="573"/>
      <c r="J26" s="394"/>
      <c r="K26" s="572"/>
      <c r="L26" s="2899"/>
      <c r="M26" s="2893"/>
      <c r="N26" s="2893"/>
      <c r="O26" s="2893"/>
      <c r="P26" s="3530"/>
      <c r="Q26" s="1486"/>
      <c r="R26" s="714"/>
      <c r="S26" s="715"/>
      <c r="T26" s="714"/>
      <c r="U26" s="715"/>
      <c r="V26" s="714"/>
      <c r="W26" s="715"/>
      <c r="X26" s="1489"/>
      <c r="Y26" s="3523"/>
      <c r="Z26" s="1490"/>
      <c r="AA26" s="1487">
        <v>1</v>
      </c>
      <c r="AB26" s="1487">
        <v>1</v>
      </c>
      <c r="AC26" s="2097">
        <v>1</v>
      </c>
    </row>
    <row r="27" spans="1:29" ht="15">
      <c r="A27" s="387"/>
      <c r="B27" s="588" t="s">
        <v>2237</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530"/>
      <c r="Q27" s="1486" t="str">
        <f t="shared" ref="Q27:Q47" si="11">B27</f>
        <v>楼层</v>
      </c>
      <c r="R27" s="714" t="s">
        <v>17</v>
      </c>
      <c r="S27" s="715">
        <f>F27</f>
        <v>100</v>
      </c>
      <c r="T27" s="714" t="s">
        <v>17</v>
      </c>
      <c r="U27" s="715">
        <f>H27</f>
        <v>100</v>
      </c>
      <c r="V27" s="714" t="s">
        <v>17</v>
      </c>
      <c r="W27" s="715">
        <f>J27</f>
        <v>100</v>
      </c>
      <c r="X27" s="1489"/>
      <c r="Y27" s="3523"/>
      <c r="Z27" s="1490" t="str">
        <f>Q27</f>
        <v>楼层</v>
      </c>
      <c r="AA27" s="1487">
        <f t="shared" si="3"/>
        <v>1</v>
      </c>
      <c r="AB27" s="1487">
        <f t="shared" si="4"/>
        <v>1</v>
      </c>
      <c r="AC27" s="2097">
        <f t="shared" si="5"/>
        <v>1</v>
      </c>
    </row>
    <row r="28" spans="1:29" s="113" customFormat="1" ht="15">
      <c r="A28" s="390"/>
      <c r="B28" s="587" t="s">
        <v>2270</v>
      </c>
      <c r="C28" s="2100"/>
      <c r="D28" s="421">
        <v>100</v>
      </c>
      <c r="E28" s="2091"/>
      <c r="F28" s="421">
        <f>SUMIF(91:91,E28,92:92)-SUMIF(91:91,C28,92:92)+100</f>
        <v>100</v>
      </c>
      <c r="G28" s="2100"/>
      <c r="H28" s="421">
        <f>SUMIF(91:91,G28,92:92)-SUMIF(91:91,C28,92:92)+100</f>
        <v>100</v>
      </c>
      <c r="I28" s="2091"/>
      <c r="J28" s="421">
        <f>SUMIF(91:91,I28,92:92)-SUMIF(91:91,C28,92:92)+100</f>
        <v>100</v>
      </c>
      <c r="K28" s="569"/>
      <c r="L28" s="2894"/>
      <c r="M28" s="2895"/>
      <c r="N28" s="2895"/>
      <c r="O28" s="2895"/>
      <c r="P28" s="3530"/>
      <c r="Q28" s="1477" t="str">
        <f t="shared" si="11"/>
        <v>朝向</v>
      </c>
      <c r="R28" s="710" t="s">
        <v>17</v>
      </c>
      <c r="S28" s="711">
        <f>F28</f>
        <v>100</v>
      </c>
      <c r="T28" s="710" t="s">
        <v>17</v>
      </c>
      <c r="U28" s="711">
        <f>H28</f>
        <v>100</v>
      </c>
      <c r="V28" s="710" t="s">
        <v>17</v>
      </c>
      <c r="W28" s="711">
        <f>J28</f>
        <v>100</v>
      </c>
      <c r="X28" s="712"/>
      <c r="Y28" s="3523"/>
      <c r="Z28" s="55" t="str">
        <f>Q28</f>
        <v>朝向</v>
      </c>
      <c r="AA28" s="1487">
        <f>D28/F28</f>
        <v>1</v>
      </c>
      <c r="AB28" s="1487">
        <f>D28/H28</f>
        <v>1</v>
      </c>
      <c r="AC28" s="2097">
        <f>D28/J28</f>
        <v>1</v>
      </c>
    </row>
    <row r="29" spans="1:29" ht="15">
      <c r="A29" s="387"/>
      <c r="B29" s="2101">
        <v>111</v>
      </c>
      <c r="C29" s="2043"/>
      <c r="D29" s="394">
        <v>100</v>
      </c>
      <c r="E29" s="391"/>
      <c r="F29" s="394">
        <f>SUMIF(93:93,E29,94:94)-SUMIF(93:93,C29,94:94)+100</f>
        <v>100</v>
      </c>
      <c r="G29" s="2095"/>
      <c r="H29" s="394">
        <f>SUMIF(93:93,G29,94:94)-SUMIF(93:93,C29,94:94)+100</f>
        <v>100</v>
      </c>
      <c r="I29" s="391"/>
      <c r="J29" s="394">
        <f>SUMIF(93:93,I29,94:94)-SUMIF(93:93,C29,94:94)+100</f>
        <v>100</v>
      </c>
      <c r="K29" s="570"/>
      <c r="L29" s="2899"/>
      <c r="M29" s="2893"/>
      <c r="N29" s="2893"/>
      <c r="O29" s="2893"/>
      <c r="P29" s="3530"/>
      <c r="Q29" s="1486">
        <f t="shared" si="11"/>
        <v>111</v>
      </c>
      <c r="R29" s="714" t="s">
        <v>17</v>
      </c>
      <c r="S29" s="715">
        <f t="shared" ref="S29:S47" si="12">F29</f>
        <v>100</v>
      </c>
      <c r="T29" s="714" t="s">
        <v>17</v>
      </c>
      <c r="U29" s="715">
        <f t="shared" ref="U29:U47" si="13">H29</f>
        <v>100</v>
      </c>
      <c r="V29" s="714" t="s">
        <v>17</v>
      </c>
      <c r="W29" s="715">
        <f t="shared" ref="W29:W47" si="14">J29</f>
        <v>100</v>
      </c>
      <c r="X29" s="1489"/>
      <c r="Y29" s="3523"/>
      <c r="Z29" s="1490">
        <f t="shared" ref="Z29:Z47" si="15">Q29</f>
        <v>111</v>
      </c>
      <c r="AA29" s="1487">
        <f t="shared" si="3"/>
        <v>1</v>
      </c>
      <c r="AB29" s="1487">
        <f t="shared" si="4"/>
        <v>1</v>
      </c>
      <c r="AC29" s="2097">
        <f t="shared" si="5"/>
        <v>1</v>
      </c>
    </row>
    <row r="30" spans="1:29" ht="15">
      <c r="A30" s="387"/>
      <c r="B30" s="2101">
        <v>111</v>
      </c>
      <c r="C30" s="2043"/>
      <c r="D30" s="394">
        <v>100</v>
      </c>
      <c r="E30" s="391"/>
      <c r="F30" s="394">
        <f>SUMIF(95:95,E30,96:96)-SUMIF(95:95,C30,96:96)+100</f>
        <v>100</v>
      </c>
      <c r="G30" s="2095"/>
      <c r="H30" s="394">
        <f>SUMIF(95:95,G30,96:96)-SUMIF(95:95,C30,96:96)+100</f>
        <v>100</v>
      </c>
      <c r="I30" s="391"/>
      <c r="J30" s="394">
        <f>SUMIF(95:95,I30,96:96)-SUMIF(95:95,C30,96:96)+100</f>
        <v>100</v>
      </c>
      <c r="K30" s="570"/>
      <c r="L30" s="2899"/>
      <c r="M30" s="2893"/>
      <c r="N30" s="2893"/>
      <c r="O30" s="2893"/>
      <c r="P30" s="3530"/>
      <c r="Q30" s="1486">
        <f t="shared" si="11"/>
        <v>111</v>
      </c>
      <c r="R30" s="714" t="s">
        <v>17</v>
      </c>
      <c r="S30" s="715">
        <f t="shared" si="12"/>
        <v>100</v>
      </c>
      <c r="T30" s="714" t="s">
        <v>17</v>
      </c>
      <c r="U30" s="715">
        <f t="shared" si="13"/>
        <v>100</v>
      </c>
      <c r="V30" s="714" t="s">
        <v>17</v>
      </c>
      <c r="W30" s="715">
        <f t="shared" si="14"/>
        <v>100</v>
      </c>
      <c r="X30" s="1489"/>
      <c r="Y30" s="3523"/>
      <c r="Z30" s="1490">
        <f t="shared" si="15"/>
        <v>111</v>
      </c>
      <c r="AA30" s="1487">
        <f t="shared" si="3"/>
        <v>1</v>
      </c>
      <c r="AB30" s="1487">
        <f t="shared" si="4"/>
        <v>1</v>
      </c>
      <c r="AC30" s="2097">
        <f t="shared" si="5"/>
        <v>1</v>
      </c>
    </row>
    <row r="31" spans="1:29" ht="15">
      <c r="A31" s="387"/>
      <c r="B31" s="2101">
        <v>111</v>
      </c>
      <c r="C31" s="2043"/>
      <c r="D31" s="394">
        <v>100</v>
      </c>
      <c r="E31" s="391"/>
      <c r="F31" s="394">
        <f>SUMIF(97:97,E31,98:98)-SUMIF(97:97,C31,98:98)+100</f>
        <v>100</v>
      </c>
      <c r="G31" s="2095"/>
      <c r="H31" s="394">
        <f>SUMIF(97:97,G31,98:98)-SUMIF(97:97,C31,98:98)+100</f>
        <v>100</v>
      </c>
      <c r="I31" s="391"/>
      <c r="J31" s="394">
        <f>SUMIF(97:97,I31,98:98)-SUMIF(97:97,C31,98:98)+100</f>
        <v>100</v>
      </c>
      <c r="K31" s="570"/>
      <c r="L31" s="2899"/>
      <c r="M31" s="2893"/>
      <c r="N31" s="2893"/>
      <c r="O31" s="2893"/>
      <c r="P31" s="3530"/>
      <c r="Q31" s="1486">
        <f t="shared" si="11"/>
        <v>111</v>
      </c>
      <c r="R31" s="714" t="s">
        <v>17</v>
      </c>
      <c r="S31" s="715">
        <f t="shared" si="12"/>
        <v>100</v>
      </c>
      <c r="T31" s="714" t="s">
        <v>17</v>
      </c>
      <c r="U31" s="715">
        <f t="shared" si="13"/>
        <v>100</v>
      </c>
      <c r="V31" s="714" t="s">
        <v>17</v>
      </c>
      <c r="W31" s="715">
        <f t="shared" si="14"/>
        <v>100</v>
      </c>
      <c r="X31" s="1489"/>
      <c r="Y31" s="3523"/>
      <c r="Z31" s="1490">
        <f t="shared" si="15"/>
        <v>111</v>
      </c>
      <c r="AA31" s="1487">
        <f t="shared" si="3"/>
        <v>1</v>
      </c>
      <c r="AB31" s="1487">
        <f t="shared" si="4"/>
        <v>1</v>
      </c>
      <c r="AC31" s="2097">
        <f t="shared" si="5"/>
        <v>1</v>
      </c>
    </row>
    <row r="32" spans="1:29" ht="15.75" thickBot="1">
      <c r="A32" s="395"/>
      <c r="B32" s="591">
        <v>111</v>
      </c>
      <c r="C32" s="2044"/>
      <c r="D32" s="397">
        <v>100</v>
      </c>
      <c r="E32" s="584"/>
      <c r="F32" s="397">
        <f>SUMIF(99:99,E32,100:100)-SUMIF(99:99,C32,100:100)+100</f>
        <v>100</v>
      </c>
      <c r="G32" s="2095"/>
      <c r="H32" s="397">
        <f>SUMIF(99:99,G32,100:100)-SUMIF(99:99,C32,100:100)+100</f>
        <v>100</v>
      </c>
      <c r="I32" s="391"/>
      <c r="J32" s="397">
        <f>SUMIF(99:99,I32,100:100)-SUMIF(99:99,C32,100:100)+100</f>
        <v>100</v>
      </c>
      <c r="K32" s="570"/>
      <c r="L32" s="2899"/>
      <c r="M32" s="2893"/>
      <c r="N32" s="2893"/>
      <c r="O32" s="2893"/>
      <c r="P32" s="3530"/>
      <c r="Q32" s="1486">
        <f t="shared" si="11"/>
        <v>111</v>
      </c>
      <c r="R32" s="714" t="s">
        <v>17</v>
      </c>
      <c r="S32" s="715">
        <f t="shared" si="12"/>
        <v>100</v>
      </c>
      <c r="T32" s="714" t="s">
        <v>17</v>
      </c>
      <c r="U32" s="715">
        <f t="shared" si="13"/>
        <v>100</v>
      </c>
      <c r="V32" s="714" t="s">
        <v>17</v>
      </c>
      <c r="W32" s="715">
        <f t="shared" si="14"/>
        <v>100</v>
      </c>
      <c r="X32" s="1489"/>
      <c r="Y32" s="3523"/>
      <c r="Z32" s="1490">
        <f t="shared" si="15"/>
        <v>111</v>
      </c>
      <c r="AA32" s="1487">
        <f t="shared" si="3"/>
        <v>1</v>
      </c>
      <c r="AB32" s="1487">
        <f t="shared" si="4"/>
        <v>1</v>
      </c>
      <c r="AC32" s="2097">
        <f t="shared" si="5"/>
        <v>1</v>
      </c>
    </row>
    <row r="33" spans="1:29" ht="15">
      <c r="A33" s="399" t="s">
        <v>2141</v>
      </c>
      <c r="B33" s="67" t="s">
        <v>2271</v>
      </c>
      <c r="C33" s="2102"/>
      <c r="D33" s="426">
        <v>100</v>
      </c>
      <c r="E33" s="2102"/>
      <c r="F33" s="420">
        <f>SUMIF(101:101,E33,102:102)-SUMIF(101:101,C33,102:102)+100</f>
        <v>100</v>
      </c>
      <c r="G33" s="2102"/>
      <c r="H33" s="394">
        <f>SUMIF(101:101,G33,102:102)-SUMIF(101:101,C33,102:102)+100</f>
        <v>100</v>
      </c>
      <c r="I33" s="2102"/>
      <c r="J33" s="426">
        <f>SUMIF(101:101,I33,102:102)-SUMIF(101:101,C33,102:102)+100</f>
        <v>100</v>
      </c>
      <c r="K33" s="569"/>
      <c r="L33" s="2899"/>
      <c r="M33" s="2893"/>
      <c r="N33" s="2893"/>
      <c r="O33" s="2893"/>
      <c r="P33" s="3524" t="s">
        <v>2143</v>
      </c>
      <c r="Q33" s="1486" t="str">
        <f t="shared" si="11"/>
        <v>建筑类型</v>
      </c>
      <c r="R33" s="714" t="s">
        <v>17</v>
      </c>
      <c r="S33" s="715">
        <f t="shared" si="12"/>
        <v>100</v>
      </c>
      <c r="T33" s="714" t="s">
        <v>17</v>
      </c>
      <c r="U33" s="715">
        <f t="shared" si="13"/>
        <v>100</v>
      </c>
      <c r="V33" s="714" t="s">
        <v>17</v>
      </c>
      <c r="W33" s="715">
        <f t="shared" si="14"/>
        <v>100</v>
      </c>
      <c r="X33" s="1489"/>
      <c r="Y33" s="3527" t="s">
        <v>2143</v>
      </c>
      <c r="Z33" s="1490" t="str">
        <f t="shared" si="15"/>
        <v>建筑类型</v>
      </c>
      <c r="AA33" s="1487">
        <f t="shared" si="3"/>
        <v>1</v>
      </c>
      <c r="AB33" s="1487">
        <f t="shared" si="4"/>
        <v>1</v>
      </c>
      <c r="AC33" s="2097">
        <f t="shared" si="5"/>
        <v>1</v>
      </c>
    </row>
    <row r="34" spans="1:29" s="430" customFormat="1" ht="15">
      <c r="A34" s="427"/>
      <c r="B34" s="381" t="s">
        <v>2144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525"/>
      <c r="Q34" s="716" t="str">
        <f t="shared" si="11"/>
        <v>项目建筑规模</v>
      </c>
      <c r="R34" s="717" t="s">
        <v>17</v>
      </c>
      <c r="S34" s="718" t="e">
        <f t="shared" si="12"/>
        <v>#N/A</v>
      </c>
      <c r="T34" s="717" t="s">
        <v>17</v>
      </c>
      <c r="U34" s="718" t="e">
        <f t="shared" si="13"/>
        <v>#N/A</v>
      </c>
      <c r="V34" s="717" t="s">
        <v>17</v>
      </c>
      <c r="W34" s="718" t="e">
        <f t="shared" si="14"/>
        <v>#N/A</v>
      </c>
      <c r="X34" s="719"/>
      <c r="Y34" s="3527"/>
      <c r="Z34" s="720" t="str">
        <f t="shared" si="15"/>
        <v>项目建筑规模</v>
      </c>
      <c r="AA34" s="1487" t="e">
        <f t="shared" si="3"/>
        <v>#N/A</v>
      </c>
      <c r="AB34" s="1487" t="e">
        <f t="shared" si="4"/>
        <v>#N/A</v>
      </c>
      <c r="AC34" s="2097" t="e">
        <f t="shared" si="5"/>
        <v>#N/A</v>
      </c>
    </row>
    <row r="35" spans="1:29" ht="15">
      <c r="A35" s="431"/>
      <c r="B35" s="381" t="s">
        <v>2145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525"/>
      <c r="Q35" s="1486" t="str">
        <f t="shared" si="11"/>
        <v>建筑结构</v>
      </c>
      <c r="R35" s="714" t="s">
        <v>17</v>
      </c>
      <c r="S35" s="715">
        <f t="shared" si="12"/>
        <v>100</v>
      </c>
      <c r="T35" s="714" t="s">
        <v>17</v>
      </c>
      <c r="U35" s="715">
        <f t="shared" si="13"/>
        <v>100</v>
      </c>
      <c r="V35" s="714" t="s">
        <v>17</v>
      </c>
      <c r="W35" s="715">
        <f t="shared" si="14"/>
        <v>100</v>
      </c>
      <c r="X35" s="1489"/>
      <c r="Y35" s="3527"/>
      <c r="Z35" s="1490" t="str">
        <f t="shared" si="15"/>
        <v>建筑结构</v>
      </c>
      <c r="AA35" s="1487">
        <f t="shared" si="3"/>
        <v>1</v>
      </c>
      <c r="AB35" s="1487">
        <f t="shared" si="4"/>
        <v>1</v>
      </c>
      <c r="AC35" s="2097">
        <f t="shared" si="5"/>
        <v>1</v>
      </c>
    </row>
    <row r="36" spans="1:29" ht="15">
      <c r="A36" s="431"/>
      <c r="B36" s="381" t="s">
        <v>2239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525"/>
      <c r="Q36" s="1486" t="str">
        <f t="shared" si="11"/>
        <v>公共部分装修</v>
      </c>
      <c r="R36" s="714" t="s">
        <v>17</v>
      </c>
      <c r="S36" s="715">
        <f t="shared" si="12"/>
        <v>100</v>
      </c>
      <c r="T36" s="714" t="s">
        <v>17</v>
      </c>
      <c r="U36" s="715">
        <f t="shared" si="13"/>
        <v>100</v>
      </c>
      <c r="V36" s="714" t="s">
        <v>17</v>
      </c>
      <c r="W36" s="715">
        <f t="shared" si="14"/>
        <v>100</v>
      </c>
      <c r="X36" s="1489"/>
      <c r="Y36" s="3527"/>
      <c r="Z36" s="1490" t="str">
        <f t="shared" si="15"/>
        <v>公共部分装修</v>
      </c>
      <c r="AA36" s="1487">
        <f t="shared" si="3"/>
        <v>1</v>
      </c>
      <c r="AB36" s="1487">
        <f t="shared" si="4"/>
        <v>1</v>
      </c>
      <c r="AC36" s="2097">
        <f t="shared" si="5"/>
        <v>1</v>
      </c>
    </row>
    <row r="37" spans="1:29" ht="15">
      <c r="A37" s="431"/>
      <c r="B37" s="381" t="s">
        <v>2240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525"/>
      <c r="Q37" s="1486" t="str">
        <f t="shared" si="11"/>
        <v>成新度</v>
      </c>
      <c r="R37" s="714" t="s">
        <v>17</v>
      </c>
      <c r="S37" s="715" t="e">
        <f t="shared" si="12"/>
        <v>#N/A</v>
      </c>
      <c r="T37" s="714" t="s">
        <v>17</v>
      </c>
      <c r="U37" s="715" t="e">
        <f t="shared" si="13"/>
        <v>#N/A</v>
      </c>
      <c r="V37" s="714" t="s">
        <v>17</v>
      </c>
      <c r="W37" s="715" t="e">
        <f t="shared" si="14"/>
        <v>#N/A</v>
      </c>
      <c r="X37" s="1489"/>
      <c r="Y37" s="3527"/>
      <c r="Z37" s="1490" t="str">
        <f t="shared" si="15"/>
        <v>成新度</v>
      </c>
      <c r="AA37" s="1487" t="e">
        <f t="shared" si="3"/>
        <v>#N/A</v>
      </c>
      <c r="AB37" s="1487" t="e">
        <f t="shared" si="4"/>
        <v>#N/A</v>
      </c>
      <c r="AC37" s="2097" t="e">
        <f t="shared" si="5"/>
        <v>#N/A</v>
      </c>
    </row>
    <row r="38" spans="1:29" s="113" customFormat="1" ht="15">
      <c r="A38" s="432"/>
      <c r="B38" s="381" t="s">
        <v>2272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525"/>
      <c r="Q38" s="1477" t="str">
        <f t="shared" si="11"/>
        <v>写字楼等级</v>
      </c>
      <c r="R38" s="710" t="s">
        <v>17</v>
      </c>
      <c r="S38" s="711">
        <f t="shared" si="12"/>
        <v>100</v>
      </c>
      <c r="T38" s="710" t="s">
        <v>17</v>
      </c>
      <c r="U38" s="711">
        <f t="shared" si="13"/>
        <v>100</v>
      </c>
      <c r="V38" s="710" t="s">
        <v>17</v>
      </c>
      <c r="W38" s="711">
        <f t="shared" si="14"/>
        <v>100</v>
      </c>
      <c r="X38" s="712"/>
      <c r="Y38" s="3527"/>
      <c r="Z38" s="55" t="str">
        <f t="shared" si="15"/>
        <v>写字楼等级</v>
      </c>
      <c r="AA38" s="713">
        <f t="shared" si="3"/>
        <v>1</v>
      </c>
      <c r="AB38" s="713">
        <f t="shared" si="4"/>
        <v>1</v>
      </c>
      <c r="AC38" s="2094">
        <f t="shared" si="5"/>
        <v>1</v>
      </c>
    </row>
    <row r="39" spans="1:29" ht="15">
      <c r="A39" s="431"/>
      <c r="B39" s="381" t="s">
        <v>2273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525" t="s">
        <v>2143</v>
      </c>
      <c r="Q39" s="1486" t="str">
        <f t="shared" si="11"/>
        <v>物业管理</v>
      </c>
      <c r="R39" s="714" t="s">
        <v>17</v>
      </c>
      <c r="S39" s="715">
        <f t="shared" si="12"/>
        <v>100</v>
      </c>
      <c r="T39" s="714" t="s">
        <v>17</v>
      </c>
      <c r="U39" s="715">
        <f t="shared" si="13"/>
        <v>100</v>
      </c>
      <c r="V39" s="714" t="s">
        <v>17</v>
      </c>
      <c r="W39" s="715">
        <f t="shared" si="14"/>
        <v>100</v>
      </c>
      <c r="X39" s="1489"/>
      <c r="Y39" s="3527" t="s">
        <v>2143</v>
      </c>
      <c r="Z39" s="1490" t="str">
        <f t="shared" si="15"/>
        <v>物业管理</v>
      </c>
      <c r="AA39" s="1487">
        <f t="shared" si="3"/>
        <v>1</v>
      </c>
      <c r="AB39" s="1487">
        <f t="shared" si="4"/>
        <v>1</v>
      </c>
      <c r="AC39" s="2097">
        <f t="shared" si="5"/>
        <v>1</v>
      </c>
    </row>
    <row r="40" spans="1:29" ht="15">
      <c r="A40" s="431"/>
      <c r="B40" s="381" t="s">
        <v>2241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525"/>
      <c r="Q40" s="1486" t="str">
        <f t="shared" si="11"/>
        <v>市政基础设施</v>
      </c>
      <c r="R40" s="714" t="s">
        <v>17</v>
      </c>
      <c r="S40" s="715">
        <f t="shared" si="12"/>
        <v>100</v>
      </c>
      <c r="T40" s="714" t="s">
        <v>17</v>
      </c>
      <c r="U40" s="715">
        <f t="shared" si="13"/>
        <v>100</v>
      </c>
      <c r="V40" s="714" t="s">
        <v>17</v>
      </c>
      <c r="W40" s="715">
        <f t="shared" si="14"/>
        <v>100</v>
      </c>
      <c r="X40" s="1489"/>
      <c r="Y40" s="3527"/>
      <c r="Z40" s="1490" t="str">
        <f t="shared" si="15"/>
        <v>市政基础设施</v>
      </c>
      <c r="AA40" s="1487">
        <f t="shared" si="3"/>
        <v>1</v>
      </c>
      <c r="AB40" s="1487">
        <f t="shared" si="4"/>
        <v>1</v>
      </c>
      <c r="AC40" s="2097">
        <f t="shared" si="5"/>
        <v>1</v>
      </c>
    </row>
    <row r="41" spans="1:29" ht="15">
      <c r="A41" s="431"/>
      <c r="B41" s="381" t="s">
        <v>2243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525"/>
      <c r="Q41" s="1486" t="str">
        <f t="shared" si="11"/>
        <v>层高</v>
      </c>
      <c r="R41" s="714" t="s">
        <v>17</v>
      </c>
      <c r="S41" s="715">
        <f t="shared" si="12"/>
        <v>100</v>
      </c>
      <c r="T41" s="714" t="s">
        <v>17</v>
      </c>
      <c r="U41" s="715">
        <f t="shared" si="13"/>
        <v>100</v>
      </c>
      <c r="V41" s="714" t="s">
        <v>17</v>
      </c>
      <c r="W41" s="715">
        <f t="shared" si="14"/>
        <v>100</v>
      </c>
      <c r="X41" s="1489"/>
      <c r="Y41" s="3527"/>
      <c r="Z41" s="1490" t="str">
        <f t="shared" si="15"/>
        <v>层高</v>
      </c>
      <c r="AA41" s="1487">
        <f t="shared" si="3"/>
        <v>1</v>
      </c>
      <c r="AB41" s="1487">
        <f t="shared" si="4"/>
        <v>1</v>
      </c>
      <c r="AC41" s="2097">
        <f t="shared" si="5"/>
        <v>1</v>
      </c>
    </row>
    <row r="42" spans="1:29" s="430" customFormat="1" ht="15">
      <c r="A42" s="427"/>
      <c r="B42" s="1488" t="s">
        <v>2274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525"/>
      <c r="Q42" s="716" t="str">
        <f t="shared" si="11"/>
        <v>单套建筑面积</v>
      </c>
      <c r="R42" s="717" t="s">
        <v>17</v>
      </c>
      <c r="S42" s="718">
        <f t="shared" si="12"/>
        <v>100</v>
      </c>
      <c r="T42" s="717" t="s">
        <v>17</v>
      </c>
      <c r="U42" s="718">
        <f t="shared" si="13"/>
        <v>100</v>
      </c>
      <c r="V42" s="717" t="s">
        <v>17</v>
      </c>
      <c r="W42" s="718">
        <f t="shared" si="14"/>
        <v>100</v>
      </c>
      <c r="X42" s="719"/>
      <c r="Y42" s="3527"/>
      <c r="Z42" s="720" t="str">
        <f t="shared" si="15"/>
        <v>单套建筑面积</v>
      </c>
      <c r="AA42" s="1487">
        <f t="shared" si="3"/>
        <v>1</v>
      </c>
      <c r="AB42" s="1487">
        <f t="shared" si="4"/>
        <v>1</v>
      </c>
      <c r="AC42" s="2097">
        <f t="shared" si="5"/>
        <v>1</v>
      </c>
    </row>
    <row r="43" spans="1:29" ht="15">
      <c r="A43" s="431"/>
      <c r="B43" s="381" t="s">
        <v>2246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525"/>
      <c r="Q43" s="1486" t="str">
        <f t="shared" si="11"/>
        <v>内部装修</v>
      </c>
      <c r="R43" s="714" t="s">
        <v>17</v>
      </c>
      <c r="S43" s="715">
        <f t="shared" si="12"/>
        <v>100</v>
      </c>
      <c r="T43" s="714" t="s">
        <v>17</v>
      </c>
      <c r="U43" s="715">
        <f t="shared" si="13"/>
        <v>100</v>
      </c>
      <c r="V43" s="714" t="s">
        <v>17</v>
      </c>
      <c r="W43" s="715">
        <f t="shared" si="14"/>
        <v>100</v>
      </c>
      <c r="X43" s="1489"/>
      <c r="Y43" s="3527"/>
      <c r="Z43" s="1490" t="str">
        <f t="shared" si="15"/>
        <v>内部装修</v>
      </c>
      <c r="AA43" s="1487">
        <f t="shared" si="3"/>
        <v>1</v>
      </c>
      <c r="AB43" s="1487">
        <f t="shared" si="4"/>
        <v>1</v>
      </c>
      <c r="AC43" s="2097">
        <f t="shared" si="5"/>
        <v>1</v>
      </c>
    </row>
    <row r="44" spans="1:29" ht="15">
      <c r="A44" s="431"/>
      <c r="B44" s="381" t="s">
        <v>2154</v>
      </c>
      <c r="C44" s="419"/>
      <c r="D44" s="394">
        <v>100</v>
      </c>
      <c r="E44" s="2041"/>
      <c r="F44" s="420">
        <f>SUMIF(125:125,E44,126:126)-SUMIF(125:125,C44,126:126)+100</f>
        <v>100</v>
      </c>
      <c r="G44" s="2041"/>
      <c r="H44" s="394">
        <f>SUMIF(125:125,G44,126:126)-SUMIF(125:125,C44,126:126)+100</f>
        <v>100</v>
      </c>
      <c r="I44" s="2041"/>
      <c r="J44" s="394">
        <f>SUMIF(125:125,I44,126:126)-SUMIF(125:125,C44,126:126)+100</f>
        <v>100</v>
      </c>
      <c r="K44" s="569"/>
      <c r="L44" s="2899"/>
      <c r="M44" s="2893"/>
      <c r="N44" s="2893"/>
      <c r="O44" s="2893"/>
      <c r="P44" s="3525"/>
      <c r="Q44" s="1486" t="str">
        <f t="shared" si="11"/>
        <v>内部装修维护情况</v>
      </c>
      <c r="R44" s="714" t="s">
        <v>17</v>
      </c>
      <c r="S44" s="715">
        <f t="shared" si="12"/>
        <v>100</v>
      </c>
      <c r="T44" s="714" t="s">
        <v>17</v>
      </c>
      <c r="U44" s="715">
        <f t="shared" si="13"/>
        <v>100</v>
      </c>
      <c r="V44" s="714" t="s">
        <v>17</v>
      </c>
      <c r="W44" s="715">
        <f t="shared" si="14"/>
        <v>100</v>
      </c>
      <c r="X44" s="1489"/>
      <c r="Y44" s="3527"/>
      <c r="Z44" s="1490" t="str">
        <f t="shared" si="15"/>
        <v>内部装修维护情况</v>
      </c>
      <c r="AA44" s="1487">
        <f t="shared" si="3"/>
        <v>1</v>
      </c>
      <c r="AB44" s="1487">
        <f t="shared" si="4"/>
        <v>1</v>
      </c>
      <c r="AC44" s="2097">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525"/>
      <c r="Q45" s="1477">
        <f t="shared" si="11"/>
        <v>111</v>
      </c>
      <c r="R45" s="710" t="s">
        <v>17</v>
      </c>
      <c r="S45" s="711">
        <f t="shared" si="12"/>
        <v>100</v>
      </c>
      <c r="T45" s="710" t="s">
        <v>17</v>
      </c>
      <c r="U45" s="711">
        <f t="shared" si="13"/>
        <v>100</v>
      </c>
      <c r="V45" s="710" t="s">
        <v>17</v>
      </c>
      <c r="W45" s="711">
        <f t="shared" si="14"/>
        <v>100</v>
      </c>
      <c r="X45" s="712"/>
      <c r="Y45" s="3527"/>
      <c r="Z45" s="55">
        <f t="shared" si="15"/>
        <v>111</v>
      </c>
      <c r="AA45" s="713">
        <f t="shared" si="3"/>
        <v>1</v>
      </c>
      <c r="AB45" s="713">
        <f t="shared" si="4"/>
        <v>1</v>
      </c>
      <c r="AC45" s="2094">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525"/>
      <c r="Q46" s="1486">
        <f t="shared" si="11"/>
        <v>111</v>
      </c>
      <c r="R46" s="714" t="s">
        <v>17</v>
      </c>
      <c r="S46" s="715">
        <f t="shared" si="12"/>
        <v>100</v>
      </c>
      <c r="T46" s="714" t="s">
        <v>17</v>
      </c>
      <c r="U46" s="715">
        <f t="shared" si="13"/>
        <v>100</v>
      </c>
      <c r="V46" s="714" t="s">
        <v>17</v>
      </c>
      <c r="W46" s="715">
        <f t="shared" si="14"/>
        <v>100</v>
      </c>
      <c r="X46" s="1489"/>
      <c r="Y46" s="3527"/>
      <c r="Z46" s="1490">
        <f t="shared" si="15"/>
        <v>111</v>
      </c>
      <c r="AA46" s="1487">
        <f t="shared" si="3"/>
        <v>1</v>
      </c>
      <c r="AB46" s="1487">
        <f t="shared" si="4"/>
        <v>1</v>
      </c>
      <c r="AC46" s="2097">
        <f t="shared" si="5"/>
        <v>1</v>
      </c>
    </row>
    <row r="47" spans="1:29" ht="15.75" thickBot="1">
      <c r="A47" s="437"/>
      <c r="B47" s="203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526"/>
      <c r="Q47" s="1486">
        <f t="shared" si="11"/>
        <v>111</v>
      </c>
      <c r="R47" s="714" t="s">
        <v>17</v>
      </c>
      <c r="S47" s="715">
        <f t="shared" si="12"/>
        <v>100</v>
      </c>
      <c r="T47" s="714" t="s">
        <v>17</v>
      </c>
      <c r="U47" s="715">
        <f t="shared" si="13"/>
        <v>100</v>
      </c>
      <c r="V47" s="714" t="s">
        <v>17</v>
      </c>
      <c r="W47" s="715">
        <f t="shared" si="14"/>
        <v>100</v>
      </c>
      <c r="X47" s="1489"/>
      <c r="Y47" s="3528"/>
      <c r="Z47" s="1490">
        <f t="shared" si="15"/>
        <v>111</v>
      </c>
      <c r="AA47" s="1487">
        <f t="shared" si="3"/>
        <v>1</v>
      </c>
      <c r="AB47" s="1487">
        <f t="shared" si="4"/>
        <v>1</v>
      </c>
      <c r="AC47" s="2097">
        <f t="shared" si="5"/>
        <v>1</v>
      </c>
    </row>
    <row r="48" spans="1:29" ht="15">
      <c r="A48" s="438" t="s">
        <v>2155</v>
      </c>
      <c r="B48" s="439"/>
      <c r="C48" s="1269" t="s">
        <v>1</v>
      </c>
      <c r="D48" s="1270"/>
      <c r="E48" s="1271"/>
      <c r="F48" s="1272"/>
      <c r="G48" s="1273"/>
      <c r="H48" s="1274"/>
      <c r="I48" s="1271"/>
      <c r="J48" s="444"/>
      <c r="K48" s="723"/>
      <c r="L48" s="2901"/>
      <c r="M48" s="2893"/>
      <c r="N48" s="2893"/>
      <c r="O48" s="2893"/>
      <c r="P48" s="3531" t="str">
        <f>A48</f>
        <v>成交单价（元/平方米）</v>
      </c>
      <c r="Q48" s="3520"/>
      <c r="R48" s="3521">
        <f>E48</f>
        <v>0</v>
      </c>
      <c r="S48" s="3521"/>
      <c r="T48" s="3521">
        <f>G48</f>
        <v>0</v>
      </c>
      <c r="U48" s="3521"/>
      <c r="V48" s="3521">
        <f>I48</f>
        <v>0</v>
      </c>
      <c r="W48" s="3521"/>
      <c r="X48" s="405"/>
      <c r="Y48" s="721"/>
      <c r="Z48" s="405"/>
      <c r="AA48" s="405"/>
      <c r="AB48" s="405"/>
      <c r="AC48" s="586"/>
    </row>
    <row r="49" spans="1:29" ht="15.75" thickBot="1">
      <c r="A49" s="445" t="s">
        <v>2247</v>
      </c>
      <c r="B49" s="446"/>
      <c r="C49" s="1275" t="e">
        <f>R50</f>
        <v>#DIV/0!</v>
      </c>
      <c r="D49" s="2487" t="s">
        <v>2636</v>
      </c>
      <c r="E49" s="1276" t="e">
        <f>R49</f>
        <v>#DIV/0!</v>
      </c>
      <c r="F49" s="2488"/>
      <c r="G49" s="1275" t="e">
        <f>T49</f>
        <v>#DIV/0!</v>
      </c>
      <c r="H49" s="2488"/>
      <c r="I49" s="1276" t="e">
        <f>V49</f>
        <v>#DIV/0!</v>
      </c>
      <c r="J49" s="2488"/>
      <c r="K49" s="2490">
        <f>F49+H49+J49</f>
        <v>0</v>
      </c>
      <c r="L49" s="2901"/>
      <c r="M49" s="2893"/>
      <c r="N49" s="2893"/>
      <c r="O49" s="2893"/>
      <c r="P49" s="3531" t="str">
        <f>A49</f>
        <v>比较价值（元/平方米）</v>
      </c>
      <c r="Q49" s="3520"/>
      <c r="R49" s="3521" t="e">
        <f>IF(F1="售价",ROUND(PRODUCT(R48,AA7:AA47),0),ROUND(PRODUCT(R48,AA7:AA47),1))</f>
        <v>#DIV/0!</v>
      </c>
      <c r="S49" s="3521"/>
      <c r="T49" s="3521" t="e">
        <f>IF(F1="售价",ROUND(PRODUCT(T48,AB7:AB47),0),ROUND(PRODUCT(T48,AB7:AB47),1))</f>
        <v>#DIV/0!</v>
      </c>
      <c r="U49" s="3521"/>
      <c r="V49" s="3521" t="e">
        <f>IF(F1="售价",ROUND(PRODUCT(V48,AC7:AC47),0),ROUND(PRODUCT(V48,AC7:AC47),1))</f>
        <v>#DIV/0!</v>
      </c>
      <c r="W49" s="3521"/>
      <c r="X49" s="405"/>
      <c r="Y49" s="405"/>
      <c r="Z49" s="405"/>
      <c r="AA49" s="405"/>
      <c r="AB49" s="405"/>
      <c r="AC49" s="586"/>
    </row>
    <row r="50" spans="1:29" ht="15.75" thickBot="1">
      <c r="A50" s="449" t="s">
        <v>2248</v>
      </c>
      <c r="B50" s="450"/>
      <c r="C50" s="1278" t="e">
        <f>R50</f>
        <v>#DIV/0!</v>
      </c>
      <c r="D50" s="1278"/>
      <c r="E50" s="1278"/>
      <c r="F50" s="1278"/>
      <c r="G50" s="1278"/>
      <c r="H50" s="1278"/>
      <c r="I50" s="1278"/>
      <c r="J50" s="451"/>
      <c r="K50" s="724"/>
      <c r="L50" s="2901"/>
      <c r="M50" s="2893"/>
      <c r="N50" s="2893"/>
      <c r="O50" s="2893"/>
      <c r="P50" s="3563" t="str">
        <f>A50</f>
        <v>估价对象XX用房的比较价值（楼面单价，元/平方米）</v>
      </c>
      <c r="Q50" s="3564"/>
      <c r="R50" s="3565" t="e">
        <f>IF(F1="售价",ROUND(IF(D49="简单平均",AVERAGE(R49:V49),R49*F49+T49*H49+V49*J49),0),ROUND(IF(D49="简单平均",AVERAGE(R49:V49),R49*F49+T49*H49+V49*J49),1))</f>
        <v>#DIV/0!</v>
      </c>
      <c r="S50" s="3565"/>
      <c r="T50" s="3565"/>
      <c r="U50" s="3565"/>
      <c r="V50" s="3565"/>
      <c r="W50" s="3565"/>
      <c r="X50" s="2081"/>
      <c r="Y50" s="2081"/>
      <c r="Z50" s="2081"/>
      <c r="AA50" s="2081"/>
      <c r="AB50" s="2081"/>
      <c r="AC50" s="2082"/>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2249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2250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2252</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2126</v>
      </c>
      <c r="B59" s="463"/>
      <c r="C59" s="1298" t="str">
        <f>YEAR(C7)&amp;"-"&amp;MONTH(C7)</f>
        <v>2022-7</v>
      </c>
      <c r="D59" s="1299">
        <f>EDATE(C59,-1)</f>
        <v>44713</v>
      </c>
      <c r="E59" s="1299">
        <f>EDATE(D59,-1)</f>
        <v>44682</v>
      </c>
      <c r="F59" s="1299">
        <f t="shared" ref="F59:O59" si="16">EDATE(E59,-1)</f>
        <v>44652</v>
      </c>
      <c r="G59" s="1299">
        <f t="shared" si="16"/>
        <v>44621</v>
      </c>
      <c r="H59" s="1299">
        <f t="shared" si="16"/>
        <v>44593</v>
      </c>
      <c r="I59" s="1299">
        <f t="shared" si="16"/>
        <v>44562</v>
      </c>
      <c r="J59" s="1299">
        <f t="shared" si="16"/>
        <v>44531</v>
      </c>
      <c r="K59" s="1299">
        <f t="shared" si="16"/>
        <v>44501</v>
      </c>
      <c r="L59" s="1299">
        <f t="shared" si="16"/>
        <v>44470</v>
      </c>
      <c r="M59" s="1299">
        <f t="shared" si="16"/>
        <v>44440</v>
      </c>
      <c r="N59" s="1299">
        <f t="shared" si="16"/>
        <v>44409</v>
      </c>
      <c r="O59" s="1299">
        <f t="shared" si="16"/>
        <v>44378</v>
      </c>
      <c r="P59" s="2936"/>
      <c r="Q59" s="2918"/>
      <c r="R59" s="2918"/>
      <c r="S59" s="2918"/>
      <c r="T59" s="2918"/>
      <c r="U59" s="2918"/>
      <c r="V59" s="2918"/>
      <c r="W59" s="2918"/>
      <c r="X59" s="2918"/>
      <c r="Y59" s="2918"/>
      <c r="Z59" s="2918"/>
      <c r="AA59" s="2918"/>
      <c r="AB59" s="2918"/>
      <c r="AC59" s="2918"/>
    </row>
    <row r="60" spans="1:29" s="113" customFormat="1" ht="15">
      <c r="A60" s="466"/>
      <c r="B60" s="467"/>
      <c r="C60" s="1297">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2163</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2128</v>
      </c>
      <c r="B62" s="467"/>
      <c r="C62" s="479" t="s">
        <v>2230</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2166</v>
      </c>
      <c r="B64" s="485" t="s">
        <v>2132</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2135</v>
      </c>
      <c r="C66" s="496" t="s">
        <v>2167</v>
      </c>
      <c r="D66" s="496" t="s">
        <v>2168</v>
      </c>
      <c r="E66" s="496" t="s">
        <v>2169</v>
      </c>
      <c r="F66" s="496" t="s">
        <v>2170</v>
      </c>
      <c r="G66" s="496" t="s">
        <v>2171</v>
      </c>
      <c r="H66" s="496" t="s">
        <v>2172</v>
      </c>
      <c r="I66" s="496" t="s">
        <v>2173</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2137</v>
      </c>
      <c r="B77" s="485" t="s">
        <v>2275</v>
      </c>
      <c r="C77" s="530" t="s">
        <v>2175</v>
      </c>
      <c r="D77" s="530" t="s">
        <v>2176</v>
      </c>
      <c r="E77" s="530" t="s">
        <v>2177</v>
      </c>
      <c r="F77" s="530" t="s">
        <v>2178</v>
      </c>
      <c r="G77" s="530" t="s">
        <v>2179</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2180</v>
      </c>
      <c r="C79" s="535" t="s">
        <v>2175</v>
      </c>
      <c r="D79" s="535" t="s">
        <v>2176</v>
      </c>
      <c r="E79" s="535" t="s">
        <v>2177</v>
      </c>
      <c r="F79" s="535" t="s">
        <v>2178</v>
      </c>
      <c r="G79" s="535" t="s">
        <v>2179</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2181</v>
      </c>
      <c r="C81" s="535" t="s">
        <v>2175</v>
      </c>
      <c r="D81" s="535" t="s">
        <v>2176</v>
      </c>
      <c r="E81" s="535" t="s">
        <v>2177</v>
      </c>
      <c r="F81" s="535" t="s">
        <v>2178</v>
      </c>
      <c r="G81" s="535" t="s">
        <v>2179</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2267</v>
      </c>
      <c r="C83" s="616" t="s">
        <v>2253</v>
      </c>
      <c r="D83" s="616" t="s">
        <v>2254</v>
      </c>
      <c r="E83" s="616" t="s">
        <v>2255</v>
      </c>
      <c r="F83" s="616" t="s">
        <v>2256</v>
      </c>
      <c r="G83" s="616" t="s">
        <v>2257</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2276</v>
      </c>
      <c r="C85" s="535" t="s">
        <v>2175</v>
      </c>
      <c r="D85" s="535" t="s">
        <v>2176</v>
      </c>
      <c r="E85" s="535" t="s">
        <v>2177</v>
      </c>
      <c r="F85" s="535" t="s">
        <v>2178</v>
      </c>
      <c r="G85" s="535" t="s">
        <v>2179</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2277</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2"/>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3"/>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2141</v>
      </c>
      <c r="B101" s="485" t="s">
        <v>2190</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2192</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2194</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2278</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2195</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2196</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2279</v>
      </c>
      <c r="C119" s="540"/>
      <c r="D119" s="540"/>
      <c r="E119" s="540"/>
      <c r="F119" s="540"/>
      <c r="G119" s="540"/>
      <c r="H119" s="540"/>
      <c r="I119" s="540"/>
      <c r="J119" s="540"/>
      <c r="K119" s="540"/>
      <c r="L119" s="2103"/>
      <c r="M119" s="2104"/>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2262</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2198</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2199</v>
      </c>
      <c r="C125" s="535" t="s">
        <v>2175</v>
      </c>
      <c r="D125" s="535" t="s">
        <v>2176</v>
      </c>
      <c r="E125" s="535" t="s">
        <v>2177</v>
      </c>
      <c r="F125" s="535" t="s">
        <v>2178</v>
      </c>
      <c r="G125" s="535" t="s">
        <v>2179</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3"/>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1" sqref="D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92" t="s">
        <v>2280</v>
      </c>
      <c r="C1" s="1344" t="s">
        <v>2108</v>
      </c>
      <c r="D1" s="1345"/>
      <c r="E1" s="1354"/>
      <c r="F1" s="2014"/>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9" t="e">
        <f ca="1">IF(C2="——",ROUND(C43*D3/10000,0),ROUND(C43*D3/10000,0)-D2)</f>
        <v>#DIV/0!</v>
      </c>
      <c r="C2" s="2016"/>
      <c r="D2" s="1019" t="e">
        <f ca="1">SUMIF(INDIRECT("'"&amp;F2&amp;"'"&amp;"!A:A"),"承租人权益价值",INDIRECT("'"&amp;F2&amp;"'"&amp;"!c:c"))</f>
        <v>#REF!</v>
      </c>
      <c r="E2" s="2017" t="s">
        <v>1906</v>
      </c>
      <c r="F2" s="2018"/>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1907</v>
      </c>
      <c r="B3" s="566" t="e">
        <f ca="1">IF(C2="——",C43,ROUND(B2*10000/D3,0))</f>
        <v>#DIV/0!</v>
      </c>
      <c r="C3" s="360" t="s">
        <v>2222</v>
      </c>
      <c r="D3" s="359">
        <f>IF(D1="",'数据-汇总表'!E3,SUMIF('数据-汇总表'!$C19:$C33,D1,'数据-汇总表'!$E19:$E33))</f>
        <v>242531.24000000002</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2223</v>
      </c>
      <c r="B4" s="362"/>
      <c r="C4" s="3535" t="s">
        <v>2224</v>
      </c>
      <c r="D4" s="3536"/>
      <c r="E4" s="3537" t="s">
        <v>2225</v>
      </c>
      <c r="F4" s="3538"/>
      <c r="G4" s="3535" t="s">
        <v>2226</v>
      </c>
      <c r="H4" s="3536"/>
      <c r="I4" s="3535" t="s">
        <v>2227</v>
      </c>
      <c r="J4" s="3536"/>
      <c r="K4" s="567" t="s">
        <v>2228</v>
      </c>
      <c r="L4" s="1025"/>
      <c r="M4" s="1026"/>
      <c r="N4" s="1026"/>
      <c r="O4" s="1026"/>
      <c r="P4" s="3539" t="s">
        <v>2229</v>
      </c>
      <c r="Q4" s="3540"/>
      <c r="R4" s="3545" t="s">
        <v>2225</v>
      </c>
      <c r="S4" s="3546"/>
      <c r="T4" s="3545" t="s">
        <v>2226</v>
      </c>
      <c r="U4" s="3546"/>
      <c r="V4" s="3551" t="s">
        <v>2227</v>
      </c>
      <c r="W4" s="3551"/>
      <c r="X4" s="1489"/>
      <c r="Y4" s="3545" t="s">
        <v>2229</v>
      </c>
      <c r="Z4" s="3546"/>
      <c r="AA4" s="3532" t="s">
        <v>2225</v>
      </c>
      <c r="AB4" s="3533" t="s">
        <v>2226</v>
      </c>
      <c r="AC4" s="3532" t="s">
        <v>2227</v>
      </c>
    </row>
    <row r="5" spans="1:29" ht="15">
      <c r="A5" s="364"/>
      <c r="B5" s="365"/>
      <c r="C5" s="3554" t="s">
        <v>2120</v>
      </c>
      <c r="D5" s="3555"/>
      <c r="E5" s="3561" t="s">
        <v>2121</v>
      </c>
      <c r="F5" s="3562"/>
      <c r="G5" s="3554" t="s">
        <v>2122</v>
      </c>
      <c r="H5" s="3555"/>
      <c r="I5" s="3554" t="s">
        <v>2123</v>
      </c>
      <c r="J5" s="3555"/>
      <c r="K5" s="567"/>
      <c r="L5" s="1025"/>
      <c r="M5" s="1026"/>
      <c r="N5" s="1026"/>
      <c r="O5" s="1026"/>
      <c r="P5" s="3541"/>
      <c r="Q5" s="3542"/>
      <c r="R5" s="3547"/>
      <c r="S5" s="3548"/>
      <c r="T5" s="3547"/>
      <c r="U5" s="3548"/>
      <c r="V5" s="3551"/>
      <c r="W5" s="3551"/>
      <c r="X5" s="1489"/>
      <c r="Y5" s="3547"/>
      <c r="Z5" s="3548"/>
      <c r="AA5" s="3533"/>
      <c r="AB5" s="3533"/>
      <c r="AC5" s="3533"/>
    </row>
    <row r="6" spans="1:29" ht="15.75" thickBot="1">
      <c r="A6" s="366"/>
      <c r="B6" s="367"/>
      <c r="C6" s="3552" t="s">
        <v>2124</v>
      </c>
      <c r="D6" s="3553"/>
      <c r="E6" s="3559" t="s">
        <v>2124</v>
      </c>
      <c r="F6" s="3560"/>
      <c r="G6" s="3552" t="s">
        <v>2124</v>
      </c>
      <c r="H6" s="3553"/>
      <c r="I6" s="3552" t="s">
        <v>2124</v>
      </c>
      <c r="J6" s="3553"/>
      <c r="K6" s="567" t="s">
        <v>2125</v>
      </c>
      <c r="L6" s="1025"/>
      <c r="M6" s="1026"/>
      <c r="N6" s="1026"/>
      <c r="O6" s="1026"/>
      <c r="P6" s="3543"/>
      <c r="Q6" s="3544"/>
      <c r="R6" s="3547"/>
      <c r="S6" s="3548"/>
      <c r="T6" s="3549"/>
      <c r="U6" s="3550"/>
      <c r="V6" s="3551"/>
      <c r="W6" s="3551"/>
      <c r="X6" s="1489"/>
      <c r="Y6" s="3549"/>
      <c r="Z6" s="3550"/>
      <c r="AA6" s="3534"/>
      <c r="AB6" s="3534"/>
      <c r="AC6" s="3534"/>
    </row>
    <row r="7" spans="1:29" s="113" customFormat="1" ht="15.75" thickBot="1">
      <c r="A7" s="368" t="s">
        <v>2126</v>
      </c>
      <c r="B7" s="369"/>
      <c r="C7" s="370">
        <f>'数据-取费表'!B2</f>
        <v>44769</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56" t="s">
        <v>2127</v>
      </c>
      <c r="Q7" s="3558"/>
      <c r="R7" s="710" t="s">
        <v>17</v>
      </c>
      <c r="S7" s="711">
        <f t="shared" ref="S7:S15" si="0">F7</f>
        <v>0</v>
      </c>
      <c r="T7" s="710" t="s">
        <v>17</v>
      </c>
      <c r="U7" s="711">
        <f t="shared" ref="U7:U15" si="1">H7</f>
        <v>0</v>
      </c>
      <c r="V7" s="710" t="s">
        <v>17</v>
      </c>
      <c r="W7" s="711">
        <f t="shared" ref="W7:W15" si="2">J7</f>
        <v>0</v>
      </c>
      <c r="X7" s="712"/>
      <c r="Y7" s="3556" t="s">
        <v>2127</v>
      </c>
      <c r="Z7" s="3557"/>
      <c r="AA7" s="713" t="e">
        <f>D7/F7</f>
        <v>#DIV/0!</v>
      </c>
      <c r="AB7" s="713" t="e">
        <f>D7/H7</f>
        <v>#DIV/0!</v>
      </c>
      <c r="AC7" s="713" t="e">
        <f>D7/J7</f>
        <v>#DIV/0!</v>
      </c>
    </row>
    <row r="8" spans="1:29" s="113" customFormat="1" ht="15.75" thickBot="1">
      <c r="A8" s="368" t="s">
        <v>2128</v>
      </c>
      <c r="B8" s="369"/>
      <c r="C8" s="374" t="s">
        <v>2129</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56" t="s">
        <v>2130</v>
      </c>
      <c r="Q8" s="3557"/>
      <c r="R8" s="710" t="s">
        <v>17</v>
      </c>
      <c r="S8" s="711">
        <f t="shared" si="0"/>
        <v>0</v>
      </c>
      <c r="T8" s="710" t="s">
        <v>17</v>
      </c>
      <c r="U8" s="711">
        <f t="shared" si="1"/>
        <v>0</v>
      </c>
      <c r="V8" s="710" t="s">
        <v>17</v>
      </c>
      <c r="W8" s="711">
        <f t="shared" si="2"/>
        <v>0</v>
      </c>
      <c r="X8" s="712"/>
      <c r="Y8" s="3556" t="s">
        <v>2130</v>
      </c>
      <c r="Z8" s="3557"/>
      <c r="AA8" s="713" t="e">
        <f t="shared" ref="AA8:AA40" si="3">D8/F8</f>
        <v>#DIV/0!</v>
      </c>
      <c r="AB8" s="713" t="e">
        <f t="shared" ref="AB8:AB40" si="4">D8/H8</f>
        <v>#DIV/0!</v>
      </c>
      <c r="AC8" s="713" t="e">
        <f t="shared" ref="AC8:AC40" si="5">D8/J8</f>
        <v>#DIV/0!</v>
      </c>
    </row>
    <row r="9" spans="1:29" s="113" customFormat="1">
      <c r="A9" s="375" t="s">
        <v>2131</v>
      </c>
      <c r="B9" s="67" t="s">
        <v>2132</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20" t="s">
        <v>2133</v>
      </c>
      <c r="Q9" s="1477" t="str">
        <f t="shared" ref="Q9:Q15" si="6">B9</f>
        <v>用途</v>
      </c>
      <c r="R9" s="710" t="s">
        <v>17</v>
      </c>
      <c r="S9" s="711">
        <f t="shared" si="0"/>
        <v>100</v>
      </c>
      <c r="T9" s="710" t="s">
        <v>17</v>
      </c>
      <c r="U9" s="711">
        <f t="shared" si="1"/>
        <v>100</v>
      </c>
      <c r="V9" s="710" t="s">
        <v>17</v>
      </c>
      <c r="W9" s="711">
        <f t="shared" si="2"/>
        <v>100</v>
      </c>
      <c r="X9" s="712"/>
      <c r="Y9" s="3392"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20"/>
      <c r="Q10" s="1477" t="str">
        <f t="shared" si="6"/>
        <v>土地使用年限（年）</v>
      </c>
      <c r="R10" s="710" t="s">
        <v>17</v>
      </c>
      <c r="S10" s="711">
        <f t="shared" si="0"/>
        <v>100</v>
      </c>
      <c r="T10" s="710" t="s">
        <v>17</v>
      </c>
      <c r="U10" s="711">
        <f t="shared" si="1"/>
        <v>100</v>
      </c>
      <c r="V10" s="710" t="s">
        <v>17</v>
      </c>
      <c r="W10" s="711">
        <f t="shared" si="2"/>
        <v>100</v>
      </c>
      <c r="X10" s="712"/>
      <c r="Y10" s="3392"/>
      <c r="Z10" s="55" t="str">
        <f t="shared" si="7"/>
        <v>土地使用年限（年）</v>
      </c>
      <c r="AA10" s="713">
        <f t="shared" si="3"/>
        <v>1</v>
      </c>
      <c r="AB10" s="713">
        <f t="shared" si="4"/>
        <v>1</v>
      </c>
      <c r="AC10" s="713">
        <f t="shared" si="5"/>
        <v>1</v>
      </c>
    </row>
    <row r="11" spans="1:29" ht="15">
      <c r="A11" s="387"/>
      <c r="B11" s="381" t="s">
        <v>2136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20"/>
      <c r="Q11" s="1477" t="str">
        <f t="shared" si="6"/>
        <v>容积率</v>
      </c>
      <c r="R11" s="710" t="s">
        <v>17</v>
      </c>
      <c r="S11" s="711" t="e">
        <f t="shared" si="0"/>
        <v>#N/A</v>
      </c>
      <c r="T11" s="710" t="s">
        <v>17</v>
      </c>
      <c r="U11" s="711" t="e">
        <f t="shared" si="1"/>
        <v>#N/A</v>
      </c>
      <c r="V11" s="710" t="s">
        <v>17</v>
      </c>
      <c r="W11" s="711" t="e">
        <f t="shared" si="2"/>
        <v>#N/A</v>
      </c>
      <c r="X11" s="712"/>
      <c r="Y11" s="3392"/>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132">
        <f>SUMIF(64:64,E12,65:65)-SUMIF(64:64,C12,65:65)+100</f>
        <v>100</v>
      </c>
      <c r="G12" s="2105"/>
      <c r="H12" s="132">
        <f>SUMIF(64:64,G12,65:65)-SUMIF(64:64,C12,65:65)+100</f>
        <v>100</v>
      </c>
      <c r="I12" s="428"/>
      <c r="J12" s="132">
        <f>SUMIF(64:64,I12,65:65)-SUMIF(64:64,C12,65:65)+100</f>
        <v>100</v>
      </c>
      <c r="K12" s="570"/>
      <c r="L12" s="1027"/>
      <c r="M12" s="1028"/>
      <c r="N12" s="1028"/>
      <c r="O12" s="1029"/>
      <c r="P12" s="3520"/>
      <c r="Q12" s="1477">
        <f t="shared" si="6"/>
        <v>111</v>
      </c>
      <c r="R12" s="710" t="s">
        <v>17</v>
      </c>
      <c r="S12" s="711">
        <f t="shared" si="0"/>
        <v>100</v>
      </c>
      <c r="T12" s="710" t="s">
        <v>17</v>
      </c>
      <c r="U12" s="711">
        <f t="shared" si="1"/>
        <v>100</v>
      </c>
      <c r="V12" s="710" t="s">
        <v>17</v>
      </c>
      <c r="W12" s="711">
        <f t="shared" si="2"/>
        <v>100</v>
      </c>
      <c r="X12" s="712"/>
      <c r="Y12" s="3392"/>
      <c r="Z12" s="55">
        <f t="shared" si="7"/>
        <v>111</v>
      </c>
      <c r="AA12" s="713">
        <f>D12/F12</f>
        <v>1</v>
      </c>
      <c r="AB12" s="713">
        <f>D12/H12</f>
        <v>1</v>
      </c>
      <c r="AC12" s="713">
        <f>D12/J12</f>
        <v>1</v>
      </c>
    </row>
    <row r="13" spans="1:29" ht="15">
      <c r="A13" s="387"/>
      <c r="B13" s="2028">
        <v>111</v>
      </c>
      <c r="C13" s="393"/>
      <c r="D13" s="394">
        <v>100</v>
      </c>
      <c r="E13" s="393"/>
      <c r="F13" s="132">
        <f>SUMIF(66:66,E13,67:67)-SUMIF(66:66,C13,67:67)+100</f>
        <v>100</v>
      </c>
      <c r="G13" s="2105"/>
      <c r="H13" s="394">
        <f>SUMIF(66:66,G13,67:67)-SUMIF(66:66,C13,67:67)+100</f>
        <v>100</v>
      </c>
      <c r="I13" s="428"/>
      <c r="J13" s="394">
        <f>SUMIF(66:66,I13,67:67)-SUMIF(66:66,C13,67:67)+100</f>
        <v>100</v>
      </c>
      <c r="K13" s="570"/>
      <c r="L13" s="1035"/>
      <c r="M13" s="1026"/>
      <c r="N13" s="1026"/>
      <c r="O13" s="1034"/>
      <c r="P13" s="3520"/>
      <c r="Q13" s="1477">
        <f t="shared" si="6"/>
        <v>111</v>
      </c>
      <c r="R13" s="710" t="s">
        <v>17</v>
      </c>
      <c r="S13" s="711">
        <f t="shared" si="0"/>
        <v>100</v>
      </c>
      <c r="T13" s="710" t="s">
        <v>17</v>
      </c>
      <c r="U13" s="711">
        <f t="shared" si="1"/>
        <v>100</v>
      </c>
      <c r="V13" s="710" t="s">
        <v>17</v>
      </c>
      <c r="W13" s="711">
        <f t="shared" si="2"/>
        <v>100</v>
      </c>
      <c r="X13" s="712"/>
      <c r="Y13" s="3392"/>
      <c r="Z13" s="55">
        <f t="shared" si="7"/>
        <v>111</v>
      </c>
      <c r="AA13" s="713">
        <f t="shared" si="3"/>
        <v>1</v>
      </c>
      <c r="AB13" s="713">
        <f t="shared" si="4"/>
        <v>1</v>
      </c>
      <c r="AC13" s="713">
        <f t="shared" si="5"/>
        <v>1</v>
      </c>
    </row>
    <row r="14" spans="1:29" ht="15.75" thickBot="1">
      <c r="A14" s="395"/>
      <c r="B14" s="2030">
        <v>111</v>
      </c>
      <c r="C14" s="396"/>
      <c r="D14" s="397">
        <v>100</v>
      </c>
      <c r="E14" s="396"/>
      <c r="F14" s="397">
        <f>SUMIF(68:68,E14,69:69)-SUMIF(68:68,C14,69:69)+100</f>
        <v>100</v>
      </c>
      <c r="G14" s="2105"/>
      <c r="H14" s="397">
        <f>SUMIF(68:68,G14,69:69)-SUMIF(68:68,C14,69:69)+100</f>
        <v>100</v>
      </c>
      <c r="I14" s="428"/>
      <c r="J14" s="397">
        <f>SUMIF(68:68,I14,69:69)-SUMIF(68:68,C14,69:69)+100</f>
        <v>100</v>
      </c>
      <c r="K14" s="570"/>
      <c r="L14" s="1035"/>
      <c r="M14" s="1026"/>
      <c r="N14" s="1026"/>
      <c r="O14" s="1034"/>
      <c r="P14" s="3520"/>
      <c r="Q14" s="1477">
        <f t="shared" si="6"/>
        <v>111</v>
      </c>
      <c r="R14" s="710" t="s">
        <v>17</v>
      </c>
      <c r="S14" s="711">
        <f t="shared" si="0"/>
        <v>100</v>
      </c>
      <c r="T14" s="710" t="s">
        <v>17</v>
      </c>
      <c r="U14" s="711">
        <f t="shared" si="1"/>
        <v>100</v>
      </c>
      <c r="V14" s="710" t="s">
        <v>17</v>
      </c>
      <c r="W14" s="711">
        <f t="shared" si="2"/>
        <v>100</v>
      </c>
      <c r="X14" s="712"/>
      <c r="Y14" s="3392"/>
      <c r="Z14" s="55">
        <f t="shared" si="7"/>
        <v>111</v>
      </c>
      <c r="AA14" s="713">
        <f t="shared" si="3"/>
        <v>1</v>
      </c>
      <c r="AB14" s="713">
        <f t="shared" si="4"/>
        <v>1</v>
      </c>
      <c r="AC14" s="713">
        <f t="shared" si="5"/>
        <v>1</v>
      </c>
    </row>
    <row r="15" spans="1:29" ht="57">
      <c r="A15" s="399" t="s">
        <v>2137</v>
      </c>
      <c r="B15" s="65" t="s">
        <v>2281</v>
      </c>
      <c r="C15" s="210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22" t="s">
        <v>2138</v>
      </c>
      <c r="Q15" s="1486" t="str">
        <f t="shared" si="6"/>
        <v>产业集聚程度</v>
      </c>
      <c r="R15" s="714" t="s">
        <v>17</v>
      </c>
      <c r="S15" s="715">
        <f t="shared" si="0"/>
        <v>100</v>
      </c>
      <c r="T15" s="714" t="s">
        <v>17</v>
      </c>
      <c r="U15" s="715">
        <f t="shared" si="1"/>
        <v>100</v>
      </c>
      <c r="V15" s="714" t="s">
        <v>17</v>
      </c>
      <c r="W15" s="715">
        <f t="shared" si="2"/>
        <v>100</v>
      </c>
      <c r="X15" s="1489"/>
      <c r="Y15" s="3522" t="s">
        <v>2138</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523"/>
      <c r="Q16" s="1486"/>
      <c r="R16" s="714"/>
      <c r="S16" s="715"/>
      <c r="T16" s="714"/>
      <c r="U16" s="715"/>
      <c r="V16" s="714"/>
      <c r="W16" s="715"/>
      <c r="X16" s="1489"/>
      <c r="Y16" s="3523"/>
      <c r="Z16" s="1490"/>
      <c r="AA16" s="1487">
        <v>1</v>
      </c>
      <c r="AB16" s="1487">
        <v>1</v>
      </c>
      <c r="AC16" s="1487">
        <v>1</v>
      </c>
    </row>
    <row r="17" spans="1:29" ht="85.5">
      <c r="A17" s="387"/>
      <c r="B17" s="410" t="s">
        <v>1702</v>
      </c>
      <c r="C17" s="203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23"/>
      <c r="Q17" s="1486" t="str">
        <f>B17</f>
        <v>交通便捷度</v>
      </c>
      <c r="R17" s="714" t="s">
        <v>17</v>
      </c>
      <c r="S17" s="715">
        <f>F17</f>
        <v>100</v>
      </c>
      <c r="T17" s="714" t="s">
        <v>17</v>
      </c>
      <c r="U17" s="715">
        <f>H17</f>
        <v>100</v>
      </c>
      <c r="V17" s="714" t="s">
        <v>17</v>
      </c>
      <c r="W17" s="715">
        <f>J17</f>
        <v>100</v>
      </c>
      <c r="X17" s="1489"/>
      <c r="Y17" s="3523"/>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1035"/>
      <c r="M18" s="1026"/>
      <c r="N18" s="1026"/>
      <c r="O18" s="1034"/>
      <c r="P18" s="3523"/>
      <c r="Q18" s="1486"/>
      <c r="R18" s="714"/>
      <c r="S18" s="715"/>
      <c r="T18" s="714"/>
      <c r="U18" s="715"/>
      <c r="V18" s="714"/>
      <c r="W18" s="715"/>
      <c r="X18" s="1489"/>
      <c r="Y18" s="3523"/>
      <c r="Z18" s="1490"/>
      <c r="AA18" s="1487">
        <v>1</v>
      </c>
      <c r="AB18" s="1487">
        <v>1</v>
      </c>
      <c r="AC18" s="1487">
        <v>1</v>
      </c>
    </row>
    <row r="19" spans="1:29" ht="42.75">
      <c r="A19" s="387"/>
      <c r="B19" s="410" t="s">
        <v>2266</v>
      </c>
      <c r="C19" s="203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23"/>
      <c r="Q19" s="1486" t="str">
        <f>B19</f>
        <v>公共配套设施</v>
      </c>
      <c r="R19" s="714" t="s">
        <v>17</v>
      </c>
      <c r="S19" s="715">
        <f>F19</f>
        <v>100</v>
      </c>
      <c r="T19" s="714" t="s">
        <v>17</v>
      </c>
      <c r="U19" s="715">
        <f>H19</f>
        <v>100</v>
      </c>
      <c r="V19" s="714" t="s">
        <v>17</v>
      </c>
      <c r="W19" s="715">
        <f>J19</f>
        <v>100</v>
      </c>
      <c r="X19" s="1489"/>
      <c r="Y19" s="3523"/>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1035"/>
      <c r="M20" s="1026"/>
      <c r="N20" s="1026"/>
      <c r="O20" s="1034"/>
      <c r="P20" s="3523"/>
      <c r="Q20" s="1486"/>
      <c r="R20" s="714"/>
      <c r="S20" s="715"/>
      <c r="T20" s="714"/>
      <c r="U20" s="715"/>
      <c r="V20" s="714"/>
      <c r="W20" s="715"/>
      <c r="X20" s="1489"/>
      <c r="Y20" s="3523"/>
      <c r="Z20" s="1490"/>
      <c r="AA20" s="1487">
        <v>1</v>
      </c>
      <c r="AB20" s="1487">
        <v>1</v>
      </c>
      <c r="AC20" s="1487">
        <v>1</v>
      </c>
    </row>
    <row r="21" spans="1:29" ht="28.5">
      <c r="A21" s="387"/>
      <c r="B21" s="1246" t="s">
        <v>2267</v>
      </c>
      <c r="C21" s="203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23"/>
      <c r="Q21" s="1486" t="str">
        <f>B21</f>
        <v>基础设施水平</v>
      </c>
      <c r="R21" s="714" t="s">
        <v>17</v>
      </c>
      <c r="S21" s="715">
        <f>F21</f>
        <v>100</v>
      </c>
      <c r="T21" s="714" t="s">
        <v>17</v>
      </c>
      <c r="U21" s="715">
        <f>H21</f>
        <v>100</v>
      </c>
      <c r="V21" s="714" t="s">
        <v>17</v>
      </c>
      <c r="W21" s="715">
        <f>J21</f>
        <v>100</v>
      </c>
      <c r="X21" s="1489"/>
      <c r="Y21" s="3523"/>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8"/>
      <c r="G22" s="406"/>
      <c r="H22" s="407"/>
      <c r="I22" s="406"/>
      <c r="J22" s="407"/>
      <c r="K22" s="1245"/>
      <c r="L22" s="1035"/>
      <c r="M22" s="1026"/>
      <c r="N22" s="1026"/>
      <c r="O22" s="1034"/>
      <c r="P22" s="3523"/>
      <c r="Q22" s="1486"/>
      <c r="R22" s="714"/>
      <c r="S22" s="715"/>
      <c r="T22" s="714"/>
      <c r="U22" s="715"/>
      <c r="V22" s="714"/>
      <c r="W22" s="715"/>
      <c r="X22" s="1489"/>
      <c r="Y22" s="3523"/>
      <c r="Z22" s="1490"/>
      <c r="AA22" s="1487">
        <v>1</v>
      </c>
      <c r="AB22" s="1487">
        <v>1</v>
      </c>
      <c r="AC22" s="1487">
        <v>1</v>
      </c>
    </row>
    <row r="23" spans="1:29" ht="71.25">
      <c r="A23" s="387"/>
      <c r="B23" s="410" t="s">
        <v>2268</v>
      </c>
      <c r="C23" s="203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23"/>
      <c r="Q23" s="1486" t="str">
        <f>B23</f>
        <v>环境质量</v>
      </c>
      <c r="R23" s="714" t="s">
        <v>17</v>
      </c>
      <c r="S23" s="715">
        <f>F23</f>
        <v>100</v>
      </c>
      <c r="T23" s="714" t="s">
        <v>17</v>
      </c>
      <c r="U23" s="715">
        <f>H23</f>
        <v>100</v>
      </c>
      <c r="V23" s="714" t="s">
        <v>17</v>
      </c>
      <c r="W23" s="715">
        <f>J23</f>
        <v>100</v>
      </c>
      <c r="X23" s="1489"/>
      <c r="Y23" s="3523"/>
      <c r="Z23" s="1490" t="str">
        <f>Q23</f>
        <v>环境质量</v>
      </c>
      <c r="AA23" s="1487">
        <f t="shared" si="3"/>
        <v>1</v>
      </c>
      <c r="AB23" s="1487">
        <f t="shared" si="4"/>
        <v>1</v>
      </c>
      <c r="AC23" s="1487">
        <f t="shared" si="5"/>
        <v>1</v>
      </c>
    </row>
    <row r="24" spans="1:29" ht="15">
      <c r="A24" s="387"/>
      <c r="B24" s="1246"/>
      <c r="C24" s="406"/>
      <c r="D24" s="407"/>
      <c r="E24" s="2033"/>
      <c r="F24" s="408"/>
      <c r="G24" s="2032"/>
      <c r="H24" s="407"/>
      <c r="I24" s="2033"/>
      <c r="J24" s="407"/>
      <c r="K24" s="572"/>
      <c r="L24" s="1035"/>
      <c r="M24" s="1026"/>
      <c r="N24" s="1026"/>
      <c r="O24" s="1034"/>
      <c r="P24" s="3523"/>
      <c r="Q24" s="1486"/>
      <c r="R24" s="714"/>
      <c r="S24" s="715"/>
      <c r="T24" s="714"/>
      <c r="U24" s="715"/>
      <c r="V24" s="714"/>
      <c r="W24" s="715"/>
      <c r="X24" s="1489"/>
      <c r="Y24" s="3523"/>
      <c r="Z24" s="1490"/>
      <c r="AA24" s="1487">
        <v>1</v>
      </c>
      <c r="AB24" s="1487">
        <v>1</v>
      </c>
      <c r="AC24" s="1487">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23"/>
      <c r="Q25" s="1486">
        <f>B25</f>
        <v>111</v>
      </c>
      <c r="R25" s="714" t="s">
        <v>17</v>
      </c>
      <c r="S25" s="715">
        <f>F25</f>
        <v>100</v>
      </c>
      <c r="T25" s="714" t="s">
        <v>17</v>
      </c>
      <c r="U25" s="715">
        <f>H25</f>
        <v>100</v>
      </c>
      <c r="V25" s="714" t="s">
        <v>17</v>
      </c>
      <c r="W25" s="715">
        <f>J25</f>
        <v>100</v>
      </c>
      <c r="X25" s="1489"/>
      <c r="Y25" s="3523"/>
      <c r="Z25" s="1490">
        <f>Q25</f>
        <v>111</v>
      </c>
      <c r="AA25" s="1487">
        <f t="shared" si="3"/>
        <v>1</v>
      </c>
      <c r="AB25" s="1487">
        <f t="shared" si="4"/>
        <v>1</v>
      </c>
      <c r="AC25" s="1487">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23"/>
      <c r="Q26" s="1486">
        <f t="shared" ref="Q26:Q40" si="11">B26</f>
        <v>111</v>
      </c>
      <c r="R26" s="714" t="s">
        <v>17</v>
      </c>
      <c r="S26" s="715">
        <f>F26</f>
        <v>100</v>
      </c>
      <c r="T26" s="714" t="s">
        <v>17</v>
      </c>
      <c r="U26" s="715">
        <f>H26</f>
        <v>100</v>
      </c>
      <c r="V26" s="714" t="s">
        <v>17</v>
      </c>
      <c r="W26" s="715">
        <f>J26</f>
        <v>100</v>
      </c>
      <c r="X26" s="1489"/>
      <c r="Y26" s="3523"/>
      <c r="Z26" s="1490">
        <f>Q26</f>
        <v>111</v>
      </c>
      <c r="AA26" s="1487">
        <f t="shared" si="3"/>
        <v>1</v>
      </c>
      <c r="AB26" s="1487">
        <f t="shared" si="4"/>
        <v>1</v>
      </c>
      <c r="AC26" s="1487">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23"/>
      <c r="Q27" s="1477">
        <f t="shared" si="11"/>
        <v>111</v>
      </c>
      <c r="R27" s="710" t="s">
        <v>17</v>
      </c>
      <c r="S27" s="711">
        <f>F27</f>
        <v>100</v>
      </c>
      <c r="T27" s="710" t="s">
        <v>17</v>
      </c>
      <c r="U27" s="711">
        <f>H27</f>
        <v>100</v>
      </c>
      <c r="V27" s="710" t="s">
        <v>17</v>
      </c>
      <c r="W27" s="711">
        <f>J27</f>
        <v>100</v>
      </c>
      <c r="X27" s="712"/>
      <c r="Y27" s="3523"/>
      <c r="Z27" s="55">
        <f>Q27</f>
        <v>111</v>
      </c>
      <c r="AA27" s="1487">
        <f>D27/F27</f>
        <v>1</v>
      </c>
      <c r="AB27" s="1487">
        <f>D27/H27</f>
        <v>1</v>
      </c>
      <c r="AC27" s="1487">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23"/>
      <c r="Q28" s="1486">
        <f t="shared" si="11"/>
        <v>111</v>
      </c>
      <c r="R28" s="714" t="s">
        <v>17</v>
      </c>
      <c r="S28" s="715">
        <f t="shared" ref="S28:S40" si="12">F28</f>
        <v>100</v>
      </c>
      <c r="T28" s="714" t="s">
        <v>17</v>
      </c>
      <c r="U28" s="715">
        <f t="shared" ref="U28:U40" si="13">H28</f>
        <v>100</v>
      </c>
      <c r="V28" s="714" t="s">
        <v>17</v>
      </c>
      <c r="W28" s="715">
        <f t="shared" ref="W28:W40" si="14">J28</f>
        <v>100</v>
      </c>
      <c r="X28" s="1489"/>
      <c r="Y28" s="3523"/>
      <c r="Z28" s="1490">
        <f t="shared" ref="Z28:Z40" si="15">Q28</f>
        <v>111</v>
      </c>
      <c r="AA28" s="1487">
        <f t="shared" si="3"/>
        <v>1</v>
      </c>
      <c r="AB28" s="1487">
        <f t="shared" si="4"/>
        <v>1</v>
      </c>
      <c r="AC28" s="1487">
        <f t="shared" si="5"/>
        <v>1</v>
      </c>
    </row>
    <row r="29" spans="1:29" ht="28.5">
      <c r="A29" s="425" t="s">
        <v>2141</v>
      </c>
      <c r="B29" s="67" t="s">
        <v>2271</v>
      </c>
      <c r="C29" s="2102"/>
      <c r="D29" s="426">
        <v>100</v>
      </c>
      <c r="E29" s="2102"/>
      <c r="F29" s="420">
        <f>SUMIF(88:88,E29,89:89)-SUMIF(88:88,C29,89:89)+100</f>
        <v>100</v>
      </c>
      <c r="G29" s="2102"/>
      <c r="H29" s="394">
        <f>SUMIF(88:88,G29,89:89)-SUMIF(88:88,C29,89:89)+100</f>
        <v>100</v>
      </c>
      <c r="I29" s="2102"/>
      <c r="J29" s="426">
        <f>SUMIF(88:88,I29,89:89)-SUMIF(88:88,C29,89:89)+100</f>
        <v>100</v>
      </c>
      <c r="K29" s="569"/>
      <c r="L29" s="1035"/>
      <c r="M29" s="1026"/>
      <c r="N29" s="1026"/>
      <c r="O29" s="1034"/>
      <c r="P29" s="3578" t="s">
        <v>2143</v>
      </c>
      <c r="Q29" s="1486" t="str">
        <f t="shared" si="11"/>
        <v>建筑类型</v>
      </c>
      <c r="R29" s="714" t="s">
        <v>17</v>
      </c>
      <c r="S29" s="715">
        <f t="shared" si="12"/>
        <v>100</v>
      </c>
      <c r="T29" s="714" t="s">
        <v>17</v>
      </c>
      <c r="U29" s="715">
        <f t="shared" si="13"/>
        <v>100</v>
      </c>
      <c r="V29" s="714" t="s">
        <v>17</v>
      </c>
      <c r="W29" s="715">
        <f t="shared" si="14"/>
        <v>100</v>
      </c>
      <c r="X29" s="1489"/>
      <c r="Y29" s="3527" t="s">
        <v>2143</v>
      </c>
      <c r="Z29" s="1490" t="str">
        <f t="shared" si="15"/>
        <v>建筑类型</v>
      </c>
      <c r="AA29" s="1487">
        <f t="shared" si="3"/>
        <v>1</v>
      </c>
      <c r="AB29" s="1487">
        <f t="shared" si="4"/>
        <v>1</v>
      </c>
      <c r="AC29" s="1487">
        <f t="shared" si="5"/>
        <v>1</v>
      </c>
    </row>
    <row r="30" spans="1:29" s="430" customFormat="1" ht="15">
      <c r="A30" s="427"/>
      <c r="B30" s="381" t="s">
        <v>2144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27"/>
      <c r="Q30" s="716" t="str">
        <f t="shared" si="11"/>
        <v>项目建筑规模</v>
      </c>
      <c r="R30" s="717" t="s">
        <v>17</v>
      </c>
      <c r="S30" s="718" t="e">
        <f t="shared" si="12"/>
        <v>#N/A</v>
      </c>
      <c r="T30" s="717" t="s">
        <v>17</v>
      </c>
      <c r="U30" s="718" t="e">
        <f t="shared" si="13"/>
        <v>#N/A</v>
      </c>
      <c r="V30" s="717" t="s">
        <v>17</v>
      </c>
      <c r="W30" s="718" t="e">
        <f t="shared" si="14"/>
        <v>#N/A</v>
      </c>
      <c r="X30" s="719"/>
      <c r="Y30" s="3527"/>
      <c r="Z30" s="720" t="str">
        <f t="shared" si="15"/>
        <v>项目建筑规模</v>
      </c>
      <c r="AA30" s="1487" t="e">
        <f t="shared" si="3"/>
        <v>#N/A</v>
      </c>
      <c r="AB30" s="1487" t="e">
        <f t="shared" si="4"/>
        <v>#N/A</v>
      </c>
      <c r="AC30" s="1487" t="e">
        <f t="shared" si="5"/>
        <v>#N/A</v>
      </c>
    </row>
    <row r="31" spans="1:29" ht="15">
      <c r="A31" s="431"/>
      <c r="B31" s="381" t="s">
        <v>2145</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27"/>
      <c r="Q31" s="1486" t="str">
        <f t="shared" si="11"/>
        <v>建筑结构</v>
      </c>
      <c r="R31" s="714" t="s">
        <v>17</v>
      </c>
      <c r="S31" s="715">
        <f t="shared" si="12"/>
        <v>100</v>
      </c>
      <c r="T31" s="714" t="s">
        <v>17</v>
      </c>
      <c r="U31" s="715">
        <f t="shared" si="13"/>
        <v>100</v>
      </c>
      <c r="V31" s="714" t="s">
        <v>17</v>
      </c>
      <c r="W31" s="715">
        <f t="shared" si="14"/>
        <v>100</v>
      </c>
      <c r="X31" s="1489"/>
      <c r="Y31" s="3527"/>
      <c r="Z31" s="1490" t="str">
        <f t="shared" si="15"/>
        <v>建筑结构</v>
      </c>
      <c r="AA31" s="1487">
        <f t="shared" si="3"/>
        <v>1</v>
      </c>
      <c r="AB31" s="1487">
        <f t="shared" si="4"/>
        <v>1</v>
      </c>
      <c r="AC31" s="1487">
        <f t="shared" si="5"/>
        <v>1</v>
      </c>
    </row>
    <row r="32" spans="1:29" ht="15">
      <c r="A32" s="431"/>
      <c r="B32" s="381" t="s">
        <v>2239</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27"/>
      <c r="Q32" s="1486" t="str">
        <f t="shared" si="11"/>
        <v>公共部分装修</v>
      </c>
      <c r="R32" s="714" t="s">
        <v>17</v>
      </c>
      <c r="S32" s="715">
        <f t="shared" si="12"/>
        <v>100</v>
      </c>
      <c r="T32" s="714" t="s">
        <v>17</v>
      </c>
      <c r="U32" s="715">
        <f t="shared" si="13"/>
        <v>100</v>
      </c>
      <c r="V32" s="714" t="s">
        <v>17</v>
      </c>
      <c r="W32" s="715">
        <f t="shared" si="14"/>
        <v>100</v>
      </c>
      <c r="X32" s="1489"/>
      <c r="Y32" s="3527"/>
      <c r="Z32" s="1490" t="str">
        <f t="shared" si="15"/>
        <v>公共部分装修</v>
      </c>
      <c r="AA32" s="1487">
        <f t="shared" si="3"/>
        <v>1</v>
      </c>
      <c r="AB32" s="1487">
        <f t="shared" si="4"/>
        <v>1</v>
      </c>
      <c r="AC32" s="1487">
        <f t="shared" si="5"/>
        <v>1</v>
      </c>
    </row>
    <row r="33" spans="1:29" ht="15">
      <c r="A33" s="431"/>
      <c r="B33" s="381" t="s">
        <v>2240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27"/>
      <c r="Q33" s="1486" t="str">
        <f t="shared" si="11"/>
        <v>成新度</v>
      </c>
      <c r="R33" s="714" t="s">
        <v>17</v>
      </c>
      <c r="S33" s="715" t="e">
        <f t="shared" si="12"/>
        <v>#N/A</v>
      </c>
      <c r="T33" s="714" t="s">
        <v>17</v>
      </c>
      <c r="U33" s="715" t="e">
        <f t="shared" si="13"/>
        <v>#N/A</v>
      </c>
      <c r="V33" s="714" t="s">
        <v>17</v>
      </c>
      <c r="W33" s="715" t="e">
        <f t="shared" si="14"/>
        <v>#N/A</v>
      </c>
      <c r="X33" s="1489"/>
      <c r="Y33" s="3527"/>
      <c r="Z33" s="1490" t="str">
        <f t="shared" si="15"/>
        <v>成新度</v>
      </c>
      <c r="AA33" s="1487" t="e">
        <f t="shared" si="3"/>
        <v>#N/A</v>
      </c>
      <c r="AB33" s="1487" t="e">
        <f t="shared" si="4"/>
        <v>#N/A</v>
      </c>
      <c r="AC33" s="1487" t="e">
        <f t="shared" si="5"/>
        <v>#N/A</v>
      </c>
    </row>
    <row r="34" spans="1:29" s="113" customFormat="1" ht="15">
      <c r="A34" s="432"/>
      <c r="B34" s="381" t="s">
        <v>2273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27"/>
      <c r="Q34" s="1477" t="str">
        <f t="shared" si="11"/>
        <v>物业管理</v>
      </c>
      <c r="R34" s="710" t="s">
        <v>17</v>
      </c>
      <c r="S34" s="711">
        <f t="shared" si="12"/>
        <v>100</v>
      </c>
      <c r="T34" s="710" t="s">
        <v>17</v>
      </c>
      <c r="U34" s="711">
        <f t="shared" si="13"/>
        <v>100</v>
      </c>
      <c r="V34" s="710" t="s">
        <v>17</v>
      </c>
      <c r="W34" s="711">
        <f t="shared" si="14"/>
        <v>100</v>
      </c>
      <c r="X34" s="712"/>
      <c r="Y34" s="3527"/>
      <c r="Z34" s="55" t="str">
        <f t="shared" si="15"/>
        <v>物业管理</v>
      </c>
      <c r="AA34" s="713">
        <f t="shared" si="3"/>
        <v>1</v>
      </c>
      <c r="AB34" s="713">
        <f t="shared" si="4"/>
        <v>1</v>
      </c>
      <c r="AC34" s="713">
        <f t="shared" si="5"/>
        <v>1</v>
      </c>
    </row>
    <row r="35" spans="1:29" ht="15">
      <c r="A35" s="431"/>
      <c r="B35" s="381" t="s">
        <v>2241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27" t="s">
        <v>2143</v>
      </c>
      <c r="Q35" s="1486" t="str">
        <f t="shared" si="11"/>
        <v>市政基础设施</v>
      </c>
      <c r="R35" s="714" t="s">
        <v>17</v>
      </c>
      <c r="S35" s="715">
        <f t="shared" si="12"/>
        <v>100</v>
      </c>
      <c r="T35" s="714" t="s">
        <v>17</v>
      </c>
      <c r="U35" s="715">
        <f t="shared" si="13"/>
        <v>100</v>
      </c>
      <c r="V35" s="714" t="s">
        <v>17</v>
      </c>
      <c r="W35" s="715">
        <f t="shared" si="14"/>
        <v>100</v>
      </c>
      <c r="X35" s="1489"/>
      <c r="Y35" s="3527" t="s">
        <v>2143</v>
      </c>
      <c r="Z35" s="1490" t="str">
        <f t="shared" si="15"/>
        <v>市政基础设施</v>
      </c>
      <c r="AA35" s="1487">
        <f t="shared" si="3"/>
        <v>1</v>
      </c>
      <c r="AB35" s="1487">
        <f t="shared" si="4"/>
        <v>1</v>
      </c>
      <c r="AC35" s="1487">
        <f t="shared" si="5"/>
        <v>1</v>
      </c>
    </row>
    <row r="36" spans="1:29" ht="15">
      <c r="A36" s="431"/>
      <c r="B36" s="381" t="s">
        <v>2246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27"/>
      <c r="Q36" s="1486" t="str">
        <f t="shared" si="11"/>
        <v>内部装修</v>
      </c>
      <c r="R36" s="714" t="s">
        <v>17</v>
      </c>
      <c r="S36" s="715">
        <f t="shared" si="12"/>
        <v>100</v>
      </c>
      <c r="T36" s="714" t="s">
        <v>17</v>
      </c>
      <c r="U36" s="715">
        <f t="shared" si="13"/>
        <v>100</v>
      </c>
      <c r="V36" s="714" t="s">
        <v>17</v>
      </c>
      <c r="W36" s="715">
        <f t="shared" si="14"/>
        <v>100</v>
      </c>
      <c r="X36" s="1489"/>
      <c r="Y36" s="3527"/>
      <c r="Z36" s="1490" t="str">
        <f t="shared" si="15"/>
        <v>内部装修</v>
      </c>
      <c r="AA36" s="1487">
        <f t="shared" si="3"/>
        <v>1</v>
      </c>
      <c r="AB36" s="1487">
        <f t="shared" si="4"/>
        <v>1</v>
      </c>
      <c r="AC36" s="1487">
        <f t="shared" si="5"/>
        <v>1</v>
      </c>
    </row>
    <row r="37" spans="1:29" ht="15">
      <c r="A37" s="431"/>
      <c r="B37" s="381" t="s">
        <v>2282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27"/>
      <c r="Q37" s="1486" t="str">
        <f t="shared" si="11"/>
        <v>内部装修状况</v>
      </c>
      <c r="R37" s="714" t="s">
        <v>17</v>
      </c>
      <c r="S37" s="715">
        <f t="shared" si="12"/>
        <v>100</v>
      </c>
      <c r="T37" s="714" t="s">
        <v>17</v>
      </c>
      <c r="U37" s="715">
        <f t="shared" si="13"/>
        <v>100</v>
      </c>
      <c r="V37" s="714" t="s">
        <v>17</v>
      </c>
      <c r="W37" s="715">
        <f t="shared" si="14"/>
        <v>100</v>
      </c>
      <c r="X37" s="1489"/>
      <c r="Y37" s="3527"/>
      <c r="Z37" s="1490" t="str">
        <f t="shared" si="15"/>
        <v>内部装修状况</v>
      </c>
      <c r="AA37" s="1487">
        <f t="shared" si="3"/>
        <v>1</v>
      </c>
      <c r="AB37" s="1487">
        <f t="shared" si="4"/>
        <v>1</v>
      </c>
      <c r="AC37" s="1487">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27"/>
      <c r="Q38" s="716">
        <f t="shared" si="11"/>
        <v>111</v>
      </c>
      <c r="R38" s="717" t="s">
        <v>17</v>
      </c>
      <c r="S38" s="718">
        <f t="shared" si="12"/>
        <v>100</v>
      </c>
      <c r="T38" s="717" t="s">
        <v>17</v>
      </c>
      <c r="U38" s="718">
        <f t="shared" si="13"/>
        <v>100</v>
      </c>
      <c r="V38" s="717" t="s">
        <v>17</v>
      </c>
      <c r="W38" s="718">
        <f t="shared" si="14"/>
        <v>100</v>
      </c>
      <c r="X38" s="719"/>
      <c r="Y38" s="3527"/>
      <c r="Z38" s="720">
        <f t="shared" si="15"/>
        <v>111</v>
      </c>
      <c r="AA38" s="1487">
        <f t="shared" si="3"/>
        <v>1</v>
      </c>
      <c r="AB38" s="1487">
        <f t="shared" si="4"/>
        <v>1</v>
      </c>
      <c r="AC38" s="1487">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27"/>
      <c r="Q39" s="1486">
        <f t="shared" si="11"/>
        <v>111</v>
      </c>
      <c r="R39" s="714" t="s">
        <v>17</v>
      </c>
      <c r="S39" s="715">
        <f t="shared" si="12"/>
        <v>100</v>
      </c>
      <c r="T39" s="714" t="s">
        <v>17</v>
      </c>
      <c r="U39" s="715">
        <f t="shared" si="13"/>
        <v>100</v>
      </c>
      <c r="V39" s="714" t="s">
        <v>17</v>
      </c>
      <c r="W39" s="715">
        <f t="shared" si="14"/>
        <v>100</v>
      </c>
      <c r="X39" s="1489"/>
      <c r="Y39" s="3527"/>
      <c r="Z39" s="1490">
        <f t="shared" si="15"/>
        <v>111</v>
      </c>
      <c r="AA39" s="1487">
        <f t="shared" si="3"/>
        <v>1</v>
      </c>
      <c r="AB39" s="1487">
        <f t="shared" si="4"/>
        <v>1</v>
      </c>
      <c r="AC39" s="1487">
        <f t="shared" si="5"/>
        <v>1</v>
      </c>
    </row>
    <row r="40" spans="1:29" ht="15.75" thickBot="1">
      <c r="A40" s="437"/>
      <c r="B40" s="203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28"/>
      <c r="Q40" s="1486">
        <f t="shared" si="11"/>
        <v>111</v>
      </c>
      <c r="R40" s="714" t="s">
        <v>17</v>
      </c>
      <c r="S40" s="715">
        <f t="shared" si="12"/>
        <v>100</v>
      </c>
      <c r="T40" s="714" t="s">
        <v>17</v>
      </c>
      <c r="U40" s="715">
        <f t="shared" si="13"/>
        <v>100</v>
      </c>
      <c r="V40" s="714" t="s">
        <v>17</v>
      </c>
      <c r="W40" s="715">
        <f t="shared" si="14"/>
        <v>100</v>
      </c>
      <c r="X40" s="1489"/>
      <c r="Y40" s="3528"/>
      <c r="Z40" s="1490">
        <f t="shared" si="15"/>
        <v>111</v>
      </c>
      <c r="AA40" s="1487">
        <f t="shared" si="3"/>
        <v>1</v>
      </c>
      <c r="AB40" s="1487">
        <f t="shared" si="4"/>
        <v>1</v>
      </c>
      <c r="AC40" s="1487">
        <f t="shared" si="5"/>
        <v>1</v>
      </c>
    </row>
    <row r="41" spans="1:29" ht="15">
      <c r="A41" s="438" t="s">
        <v>2155</v>
      </c>
      <c r="B41" s="439"/>
      <c r="C41" s="1269" t="s">
        <v>1</v>
      </c>
      <c r="D41" s="1270"/>
      <c r="E41" s="1271"/>
      <c r="F41" s="1272"/>
      <c r="G41" s="1273"/>
      <c r="H41" s="1274"/>
      <c r="I41" s="1271"/>
      <c r="J41" s="1274"/>
      <c r="K41" s="723"/>
      <c r="L41" s="1038"/>
      <c r="M41" s="1039"/>
      <c r="N41" s="1026"/>
      <c r="O41" s="1039"/>
      <c r="P41" s="3520" t="str">
        <f>A41</f>
        <v>成交单价（元/平方米）</v>
      </c>
      <c r="Q41" s="3520"/>
      <c r="R41" s="3521">
        <f>E41</f>
        <v>0</v>
      </c>
      <c r="S41" s="3521"/>
      <c r="T41" s="3521">
        <f>G41</f>
        <v>0</v>
      </c>
      <c r="U41" s="3521"/>
      <c r="V41" s="3521">
        <f>I41</f>
        <v>0</v>
      </c>
      <c r="W41" s="3521"/>
      <c r="X41" s="699"/>
      <c r="Y41" s="721"/>
      <c r="Z41" s="699"/>
      <c r="AA41" s="699"/>
      <c r="AB41" s="699"/>
      <c r="AC41" s="699"/>
    </row>
    <row r="42" spans="1:29" ht="15.75" thickBot="1">
      <c r="A42" s="445" t="s">
        <v>2247</v>
      </c>
      <c r="B42" s="446"/>
      <c r="C42" s="1275" t="e">
        <f>R43</f>
        <v>#DIV/0!</v>
      </c>
      <c r="D42" s="2487" t="s">
        <v>2636</v>
      </c>
      <c r="E42" s="1276" t="e">
        <f>R42</f>
        <v>#DIV/0!</v>
      </c>
      <c r="F42" s="2488"/>
      <c r="G42" s="1275" t="e">
        <f>T42</f>
        <v>#DIV/0!</v>
      </c>
      <c r="H42" s="2488"/>
      <c r="I42" s="1276" t="e">
        <f>V42</f>
        <v>#DIV/0!</v>
      </c>
      <c r="J42" s="2488"/>
      <c r="K42" s="2490">
        <f>F42+H42+J42</f>
        <v>0</v>
      </c>
      <c r="L42" s="1038"/>
      <c r="M42" s="1039"/>
      <c r="N42" s="1026"/>
      <c r="O42" s="1039"/>
      <c r="P42" s="3520" t="str">
        <f>A42</f>
        <v>比较价值（元/平方米）</v>
      </c>
      <c r="Q42" s="3520"/>
      <c r="R42" s="3521" t="e">
        <f>IF(F1="售价",ROUND(PRODUCT(R41,AA7:AA40),0),ROUND(PRODUCT(R41,AA7:AA40),1))</f>
        <v>#DIV/0!</v>
      </c>
      <c r="S42" s="3521"/>
      <c r="T42" s="3521" t="e">
        <f>IF(F1="售价",ROUND(PRODUCT(T41,AB7:AB40),0),ROUND(PRODUCT(T41,AB7:AB40),1))</f>
        <v>#DIV/0!</v>
      </c>
      <c r="U42" s="3521"/>
      <c r="V42" s="3521" t="e">
        <f>IF(F1="售价",ROUND(PRODUCT(V41,AC7:AC40),0),ROUND(PRODUCT(V41,AC7:AC40),1))</f>
        <v>#DIV/0!</v>
      </c>
      <c r="W42" s="3521"/>
      <c r="X42" s="699"/>
      <c r="Y42" s="699"/>
      <c r="Z42" s="699"/>
      <c r="AA42" s="699"/>
      <c r="AB42" s="699"/>
      <c r="AC42" s="699"/>
    </row>
    <row r="43" spans="1:29" ht="15.75" thickBot="1">
      <c r="A43" s="449" t="s">
        <v>2248</v>
      </c>
      <c r="B43" s="450"/>
      <c r="C43" s="1278" t="e">
        <f>R43</f>
        <v>#DIV/0!</v>
      </c>
      <c r="D43" s="1278"/>
      <c r="E43" s="1278"/>
      <c r="F43" s="1278"/>
      <c r="G43" s="1278"/>
      <c r="H43" s="1278"/>
      <c r="I43" s="1278"/>
      <c r="J43" s="1278"/>
      <c r="K43" s="724"/>
      <c r="L43" s="1038"/>
      <c r="M43" s="1039"/>
      <c r="N43" s="1039"/>
      <c r="O43" s="1039"/>
      <c r="P43" s="3517" t="str">
        <f>A43</f>
        <v>估价对象XX用房的比较价值（楼面单价，元/平方米）</v>
      </c>
      <c r="Q43" s="3518"/>
      <c r="R43" s="3519" t="e">
        <f>IF(F1="售价",ROUND(IF(D42="简单平均",AVERAGE(R42:V42),R42*F42+T42*H42+V42*J42),0),ROUND(IF(D42="简单平均",AVERAGE(R42:V42),R42*F42+T42*H42+V42*J42),1))</f>
        <v>#DIV/0!</v>
      </c>
      <c r="S43" s="3519"/>
      <c r="T43" s="3519"/>
      <c r="U43" s="3519"/>
      <c r="V43" s="3519"/>
      <c r="W43" s="3519"/>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2252</v>
      </c>
      <c r="B51" s="699"/>
      <c r="C51" s="704"/>
      <c r="D51" s="704"/>
      <c r="E51" s="704"/>
      <c r="F51" s="705"/>
      <c r="G51" s="705"/>
      <c r="H51" s="704"/>
      <c r="I51" s="704"/>
      <c r="J51" s="704"/>
      <c r="K51" s="1053"/>
      <c r="L51" s="1054"/>
      <c r="M51" s="1052"/>
      <c r="N51" s="1052"/>
      <c r="O51" s="1052"/>
      <c r="P51" s="460"/>
      <c r="Q51" s="461"/>
    </row>
    <row r="52" spans="1:17" s="465" customFormat="1" ht="15">
      <c r="A52" s="462" t="s">
        <v>2126</v>
      </c>
      <c r="B52" s="463"/>
      <c r="C52" s="1298" t="str">
        <f>YEAR(C7)&amp;"-"&amp;MONTH(C7)</f>
        <v>2022-7</v>
      </c>
      <c r="D52" s="1299">
        <f>EDATE(C52,-1)</f>
        <v>44713</v>
      </c>
      <c r="E52" s="1299">
        <f t="shared" ref="E52:O52" si="16">EDATE(D52,-1)</f>
        <v>44682</v>
      </c>
      <c r="F52" s="1299">
        <f t="shared" si="16"/>
        <v>44652</v>
      </c>
      <c r="G52" s="1299">
        <f t="shared" si="16"/>
        <v>44621</v>
      </c>
      <c r="H52" s="1299">
        <f t="shared" si="16"/>
        <v>44593</v>
      </c>
      <c r="I52" s="1299">
        <f t="shared" si="16"/>
        <v>44562</v>
      </c>
      <c r="J52" s="1299">
        <f t="shared" si="16"/>
        <v>44531</v>
      </c>
      <c r="K52" s="1299">
        <f t="shared" si="16"/>
        <v>44501</v>
      </c>
      <c r="L52" s="1299">
        <f t="shared" si="16"/>
        <v>44470</v>
      </c>
      <c r="M52" s="1299">
        <f t="shared" si="16"/>
        <v>44440</v>
      </c>
      <c r="N52" s="1299">
        <f t="shared" si="16"/>
        <v>44409</v>
      </c>
      <c r="O52" s="1299">
        <f t="shared" si="16"/>
        <v>44378</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2163</v>
      </c>
      <c r="B54" s="473"/>
      <c r="C54" s="474"/>
      <c r="D54" s="475"/>
      <c r="E54" s="475"/>
      <c r="F54" s="475"/>
      <c r="G54" s="475"/>
      <c r="H54" s="475"/>
      <c r="I54" s="475"/>
      <c r="J54" s="475"/>
      <c r="K54" s="475"/>
      <c r="L54" s="475"/>
      <c r="M54" s="476"/>
      <c r="N54" s="2947"/>
      <c r="O54" s="2948"/>
      <c r="P54" s="461"/>
      <c r="Q54" s="461"/>
    </row>
    <row r="55" spans="1:17" s="113" customFormat="1" ht="15">
      <c r="A55" s="478" t="s">
        <v>2128</v>
      </c>
      <c r="B55" s="467"/>
      <c r="C55" s="479" t="s">
        <v>2230</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2166</v>
      </c>
      <c r="B57" s="485" t="s">
        <v>2132</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2135</v>
      </c>
      <c r="C59" s="496" t="s">
        <v>2167</v>
      </c>
      <c r="D59" s="496" t="s">
        <v>2168</v>
      </c>
      <c r="E59" s="496" t="s">
        <v>2169</v>
      </c>
      <c r="F59" s="496" t="s">
        <v>2170</v>
      </c>
      <c r="G59" s="496" t="s">
        <v>2171</v>
      </c>
      <c r="H59" s="496" t="s">
        <v>2172</v>
      </c>
      <c r="I59" s="496" t="s">
        <v>2173</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2137</v>
      </c>
      <c r="B70" s="485" t="s">
        <v>2283</v>
      </c>
      <c r="C70" s="530" t="s">
        <v>2175</v>
      </c>
      <c r="D70" s="530" t="s">
        <v>2176</v>
      </c>
      <c r="E70" s="530" t="s">
        <v>2177</v>
      </c>
      <c r="F70" s="530" t="s">
        <v>2178</v>
      </c>
      <c r="G70" s="530" t="s">
        <v>2179</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2180</v>
      </c>
      <c r="C72" s="535" t="s">
        <v>2175</v>
      </c>
      <c r="D72" s="535" t="s">
        <v>2176</v>
      </c>
      <c r="E72" s="535" t="s">
        <v>2177</v>
      </c>
      <c r="F72" s="535" t="s">
        <v>2178</v>
      </c>
      <c r="G72" s="535" t="s">
        <v>2179</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2181</v>
      </c>
      <c r="C74" s="535" t="s">
        <v>2175</v>
      </c>
      <c r="D74" s="535" t="s">
        <v>2176</v>
      </c>
      <c r="E74" s="535" t="s">
        <v>2177</v>
      </c>
      <c r="F74" s="535" t="s">
        <v>2178</v>
      </c>
      <c r="G74" s="535" t="s">
        <v>2179</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2267</v>
      </c>
      <c r="C76" s="616" t="s">
        <v>2253</v>
      </c>
      <c r="D76" s="616" t="s">
        <v>2254</v>
      </c>
      <c r="E76" s="616" t="s">
        <v>2255</v>
      </c>
      <c r="F76" s="616" t="s">
        <v>2256</v>
      </c>
      <c r="G76" s="616" t="s">
        <v>2257</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2276</v>
      </c>
      <c r="C78" s="535" t="s">
        <v>2175</v>
      </c>
      <c r="D78" s="535" t="s">
        <v>2176</v>
      </c>
      <c r="E78" s="535" t="s">
        <v>2177</v>
      </c>
      <c r="F78" s="535" t="s">
        <v>2178</v>
      </c>
      <c r="G78" s="535" t="s">
        <v>2179</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3"/>
      <c r="B87" s="526"/>
      <c r="C87" s="527"/>
      <c r="D87" s="527"/>
      <c r="E87" s="527"/>
      <c r="F87" s="527"/>
      <c r="G87" s="548"/>
      <c r="H87" s="548"/>
      <c r="I87" s="548"/>
      <c r="J87" s="548"/>
      <c r="K87" s="548"/>
      <c r="L87" s="548"/>
      <c r="M87" s="549"/>
      <c r="N87" s="1046"/>
      <c r="O87" s="1046"/>
      <c r="P87" s="45"/>
      <c r="Q87" s="461"/>
    </row>
    <row r="88" spans="1:17">
      <c r="A88" s="484" t="s">
        <v>2141</v>
      </c>
      <c r="B88" s="485" t="s">
        <v>2190</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2192</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2194</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2195</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2196</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2198</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2284</v>
      </c>
      <c r="C106" s="535" t="s">
        <v>2175</v>
      </c>
      <c r="D106" s="535" t="s">
        <v>2176</v>
      </c>
      <c r="E106" s="535" t="s">
        <v>2177</v>
      </c>
      <c r="F106" s="535" t="s">
        <v>2178</v>
      </c>
      <c r="G106" s="535" t="s">
        <v>2179</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3"/>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2285</v>
      </c>
      <c r="B1" s="1343"/>
      <c r="C1" s="1344" t="s">
        <v>2108</v>
      </c>
      <c r="D1" s="1345"/>
      <c r="E1" s="1346"/>
      <c r="F1" s="2014"/>
      <c r="G1" s="1347" t="s">
        <v>2221</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1905</v>
      </c>
      <c r="B2" s="1279" t="e">
        <f ca="1">IF(C2="——",IF(B37="元/平方米",ROUND(C39*D3/10000,0),ROUND(F3*C39/10000,0)),IF(B37="元/平方米",ROUND(C39*D3/10000,0),ROUND(F3*C39/10000,0))-D2)</f>
        <v>#DIV/0!</v>
      </c>
      <c r="C2" s="2016"/>
      <c r="D2" s="1019" t="e">
        <f ca="1">SUMIF(INDIRECT("'"&amp;F2&amp;"'"&amp;"!A:A"),"承租人权益价值",INDIRECT("'"&amp;F2&amp;"'"&amp;"!c:c"))</f>
        <v>#REF!</v>
      </c>
      <c r="E2" s="2017" t="s">
        <v>1906</v>
      </c>
      <c r="F2" s="2018"/>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1907</v>
      </c>
      <c r="B3" s="566" t="e">
        <f ca="1">IF(AND(C2="——",B37="元/平方米"),C39,ROUND(B2*10000/D3,0))</f>
        <v>#DIV/0!</v>
      </c>
      <c r="C3" s="360" t="s">
        <v>2222</v>
      </c>
      <c r="D3" s="359">
        <f>SUMIF('数据-汇总表'!$C19:$C33,D1,'数据-汇总表'!$E19:$E33)</f>
        <v>0</v>
      </c>
      <c r="E3" s="360" t="s">
        <v>2286</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2223</v>
      </c>
      <c r="B4" s="362"/>
      <c r="C4" s="3535" t="s">
        <v>2224</v>
      </c>
      <c r="D4" s="3536"/>
      <c r="E4" s="3537" t="s">
        <v>2225</v>
      </c>
      <c r="F4" s="3538"/>
      <c r="G4" s="3535" t="s">
        <v>2226</v>
      </c>
      <c r="H4" s="3536"/>
      <c r="I4" s="3535" t="s">
        <v>2227</v>
      </c>
      <c r="J4" s="3536"/>
      <c r="K4" s="567" t="s">
        <v>2228</v>
      </c>
      <c r="L4" s="2892"/>
      <c r="M4" s="2893"/>
      <c r="N4" s="2893"/>
      <c r="O4" s="2893"/>
      <c r="P4" s="3539" t="s">
        <v>2229</v>
      </c>
      <c r="Q4" s="3540"/>
      <c r="R4" s="3545" t="s">
        <v>2225</v>
      </c>
      <c r="S4" s="3546"/>
      <c r="T4" s="3545" t="s">
        <v>2226</v>
      </c>
      <c r="U4" s="3546"/>
      <c r="V4" s="3551" t="s">
        <v>2227</v>
      </c>
      <c r="W4" s="3551"/>
      <c r="X4" s="1489"/>
      <c r="Y4" s="3545" t="s">
        <v>2229</v>
      </c>
      <c r="Z4" s="3546"/>
      <c r="AA4" s="3532" t="s">
        <v>2225</v>
      </c>
      <c r="AB4" s="3533" t="s">
        <v>2226</v>
      </c>
      <c r="AC4" s="3532" t="s">
        <v>2227</v>
      </c>
    </row>
    <row r="5" spans="1:29" ht="15">
      <c r="A5" s="364"/>
      <c r="B5" s="365"/>
      <c r="C5" s="3554" t="s">
        <v>2120</v>
      </c>
      <c r="D5" s="3555"/>
      <c r="E5" s="3561" t="s">
        <v>2121</v>
      </c>
      <c r="F5" s="3562"/>
      <c r="G5" s="3554" t="s">
        <v>2122</v>
      </c>
      <c r="H5" s="3555"/>
      <c r="I5" s="3554" t="s">
        <v>2123</v>
      </c>
      <c r="J5" s="3555"/>
      <c r="K5" s="567"/>
      <c r="L5" s="2892"/>
      <c r="M5" s="2893"/>
      <c r="N5" s="2893"/>
      <c r="O5" s="2893"/>
      <c r="P5" s="3541"/>
      <c r="Q5" s="3542"/>
      <c r="R5" s="3547"/>
      <c r="S5" s="3548"/>
      <c r="T5" s="3547"/>
      <c r="U5" s="3548"/>
      <c r="V5" s="3551"/>
      <c r="W5" s="3551"/>
      <c r="X5" s="1489"/>
      <c r="Y5" s="3547"/>
      <c r="Z5" s="3548"/>
      <c r="AA5" s="3533"/>
      <c r="AB5" s="3533"/>
      <c r="AC5" s="3533"/>
    </row>
    <row r="6" spans="1:29" ht="15.75" thickBot="1">
      <c r="A6" s="366"/>
      <c r="B6" s="367"/>
      <c r="C6" s="3552" t="s">
        <v>2124</v>
      </c>
      <c r="D6" s="3553"/>
      <c r="E6" s="3559" t="s">
        <v>2124</v>
      </c>
      <c r="F6" s="3560"/>
      <c r="G6" s="3552" t="s">
        <v>2124</v>
      </c>
      <c r="H6" s="3553"/>
      <c r="I6" s="3552" t="s">
        <v>2124</v>
      </c>
      <c r="J6" s="3553"/>
      <c r="K6" s="567" t="s">
        <v>2125</v>
      </c>
      <c r="L6" s="2892"/>
      <c r="M6" s="2893"/>
      <c r="N6" s="2893"/>
      <c r="O6" s="2893"/>
      <c r="P6" s="3543"/>
      <c r="Q6" s="3544"/>
      <c r="R6" s="3547"/>
      <c r="S6" s="3548"/>
      <c r="T6" s="3549"/>
      <c r="U6" s="3550"/>
      <c r="V6" s="3551"/>
      <c r="W6" s="3551"/>
      <c r="X6" s="1489"/>
      <c r="Y6" s="3549"/>
      <c r="Z6" s="3550"/>
      <c r="AA6" s="3534"/>
      <c r="AB6" s="3534"/>
      <c r="AC6" s="3534"/>
    </row>
    <row r="7" spans="1:29" s="113" customFormat="1" ht="15.75" thickBot="1">
      <c r="A7" s="368" t="s">
        <v>2126</v>
      </c>
      <c r="B7" s="369"/>
      <c r="C7" s="370">
        <f>'数据-取费表'!B2</f>
        <v>44769</v>
      </c>
      <c r="D7" s="371">
        <v>100</v>
      </c>
      <c r="E7" s="372"/>
      <c r="F7" s="373">
        <f>SUMIF(48:48,YEAR(E7)&amp;"-"&amp;MONTH(E7),49:49)</f>
        <v>0</v>
      </c>
      <c r="G7" s="372"/>
      <c r="H7" s="371">
        <f>SUMIF(48:48,YEAR(G7)&amp;"-"&amp;MONTH(G7),49:49)</f>
        <v>0</v>
      </c>
      <c r="I7" s="372"/>
      <c r="J7" s="371">
        <f>SUMIF(48:48,YEAR(I7)&amp;"-"&amp;MONTH(I7),49:49)</f>
        <v>0</v>
      </c>
      <c r="K7" s="568"/>
      <c r="L7" s="2894"/>
      <c r="M7" s="2895"/>
      <c r="N7" s="2895"/>
      <c r="O7" s="2895"/>
      <c r="P7" s="3556" t="s">
        <v>2127</v>
      </c>
      <c r="Q7" s="3558"/>
      <c r="R7" s="710" t="s">
        <v>17</v>
      </c>
      <c r="S7" s="711">
        <f t="shared" ref="S7:S14" si="0">F7</f>
        <v>0</v>
      </c>
      <c r="T7" s="710" t="s">
        <v>17</v>
      </c>
      <c r="U7" s="711">
        <f t="shared" ref="U7:U14" si="1">H7</f>
        <v>0</v>
      </c>
      <c r="V7" s="710" t="s">
        <v>17</v>
      </c>
      <c r="W7" s="711">
        <f t="shared" ref="W7:W14" si="2">J7</f>
        <v>0</v>
      </c>
      <c r="X7" s="712"/>
      <c r="Y7" s="3556" t="s">
        <v>2127</v>
      </c>
      <c r="Z7" s="3557"/>
      <c r="AA7" s="713" t="e">
        <f>D7/F7</f>
        <v>#DIV/0!</v>
      </c>
      <c r="AB7" s="713" t="e">
        <f>D7/H7</f>
        <v>#DIV/0!</v>
      </c>
      <c r="AC7" s="713" t="e">
        <f>D7/J7</f>
        <v>#DIV/0!</v>
      </c>
    </row>
    <row r="8" spans="1:29" s="113" customFormat="1" ht="15.75" thickBot="1">
      <c r="A8" s="368" t="s">
        <v>2128</v>
      </c>
      <c r="B8" s="369"/>
      <c r="C8" s="374" t="s">
        <v>2230</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556" t="s">
        <v>2130</v>
      </c>
      <c r="Q8" s="3557"/>
      <c r="R8" s="710" t="s">
        <v>17</v>
      </c>
      <c r="S8" s="711">
        <f t="shared" si="0"/>
        <v>0</v>
      </c>
      <c r="T8" s="710" t="s">
        <v>17</v>
      </c>
      <c r="U8" s="711">
        <f t="shared" si="1"/>
        <v>0</v>
      </c>
      <c r="V8" s="710" t="s">
        <v>17</v>
      </c>
      <c r="W8" s="711">
        <f t="shared" si="2"/>
        <v>0</v>
      </c>
      <c r="X8" s="712"/>
      <c r="Y8" s="3556" t="s">
        <v>2130</v>
      </c>
      <c r="Z8" s="3557"/>
      <c r="AA8" s="713" t="e">
        <f t="shared" ref="AA8:AA36" si="3">D8/F8</f>
        <v>#DIV/0!</v>
      </c>
      <c r="AB8" s="713" t="e">
        <f t="shared" ref="AB8:AB36" si="4">D8/H8</f>
        <v>#DIV/0!</v>
      </c>
      <c r="AC8" s="713" t="e">
        <f t="shared" ref="AC8:AC36" si="5">D8/J8</f>
        <v>#DIV/0!</v>
      </c>
    </row>
    <row r="9" spans="1:29" s="113" customFormat="1">
      <c r="A9" s="64" t="s">
        <v>2131</v>
      </c>
      <c r="B9" s="596" t="s">
        <v>2132</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520" t="s">
        <v>2133</v>
      </c>
      <c r="Q9" s="1477" t="str">
        <f t="shared" ref="Q9:Q14" si="6">B9</f>
        <v>用途</v>
      </c>
      <c r="R9" s="710" t="s">
        <v>17</v>
      </c>
      <c r="S9" s="711">
        <f t="shared" si="0"/>
        <v>100</v>
      </c>
      <c r="T9" s="710" t="s">
        <v>17</v>
      </c>
      <c r="U9" s="711">
        <f t="shared" si="1"/>
        <v>100</v>
      </c>
      <c r="V9" s="710" t="s">
        <v>17</v>
      </c>
      <c r="W9" s="711">
        <f t="shared" si="2"/>
        <v>100</v>
      </c>
      <c r="X9" s="712"/>
      <c r="Y9" s="3392" t="s">
        <v>2134</v>
      </c>
      <c r="Z9" s="55" t="str">
        <f t="shared" ref="Z9:Z14" si="7">Q9</f>
        <v>用途</v>
      </c>
      <c r="AA9" s="713">
        <f t="shared" si="3"/>
        <v>1</v>
      </c>
      <c r="AB9" s="713">
        <f t="shared" si="4"/>
        <v>1</v>
      </c>
      <c r="AC9" s="713">
        <f t="shared" si="5"/>
        <v>1</v>
      </c>
    </row>
    <row r="10" spans="1:29" s="386" customFormat="1" ht="27">
      <c r="A10" s="597"/>
      <c r="B10" s="598" t="s">
        <v>2135</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520"/>
      <c r="Q10" s="1477" t="str">
        <f t="shared" si="6"/>
        <v>土地使用年限（年）</v>
      </c>
      <c r="R10" s="710" t="s">
        <v>17</v>
      </c>
      <c r="S10" s="711">
        <f t="shared" si="0"/>
        <v>100</v>
      </c>
      <c r="T10" s="710" t="s">
        <v>17</v>
      </c>
      <c r="U10" s="711">
        <f t="shared" si="1"/>
        <v>100</v>
      </c>
      <c r="V10" s="710" t="s">
        <v>17</v>
      </c>
      <c r="W10" s="711">
        <f t="shared" si="2"/>
        <v>100</v>
      </c>
      <c r="X10" s="712"/>
      <c r="Y10" s="339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520"/>
      <c r="Q11" s="1477">
        <f t="shared" si="6"/>
        <v>111</v>
      </c>
      <c r="R11" s="710" t="s">
        <v>17</v>
      </c>
      <c r="S11" s="711">
        <f t="shared" si="0"/>
        <v>100</v>
      </c>
      <c r="T11" s="710" t="s">
        <v>17</v>
      </c>
      <c r="U11" s="711">
        <f t="shared" si="1"/>
        <v>100</v>
      </c>
      <c r="V11" s="710" t="s">
        <v>17</v>
      </c>
      <c r="W11" s="711">
        <f t="shared" si="2"/>
        <v>100</v>
      </c>
      <c r="X11" s="712"/>
      <c r="Y11" s="339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520"/>
      <c r="Q12" s="1477">
        <f t="shared" si="6"/>
        <v>111</v>
      </c>
      <c r="R12" s="710" t="s">
        <v>17</v>
      </c>
      <c r="S12" s="711">
        <f t="shared" si="0"/>
        <v>100</v>
      </c>
      <c r="T12" s="710" t="s">
        <v>17</v>
      </c>
      <c r="U12" s="711">
        <f t="shared" si="1"/>
        <v>100</v>
      </c>
      <c r="V12" s="710" t="s">
        <v>17</v>
      </c>
      <c r="W12" s="711">
        <f t="shared" si="2"/>
        <v>100</v>
      </c>
      <c r="X12" s="712"/>
      <c r="Y12" s="339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520"/>
      <c r="Q13" s="1477">
        <f t="shared" si="6"/>
        <v>111</v>
      </c>
      <c r="R13" s="710" t="s">
        <v>17</v>
      </c>
      <c r="S13" s="711">
        <f t="shared" si="0"/>
        <v>100</v>
      </c>
      <c r="T13" s="710" t="s">
        <v>17</v>
      </c>
      <c r="U13" s="711">
        <f t="shared" si="1"/>
        <v>100</v>
      </c>
      <c r="V13" s="710" t="s">
        <v>17</v>
      </c>
      <c r="W13" s="711">
        <f t="shared" si="2"/>
        <v>100</v>
      </c>
      <c r="X13" s="712"/>
      <c r="Y13" s="3392"/>
      <c r="Z13" s="55">
        <f t="shared" si="7"/>
        <v>111</v>
      </c>
      <c r="AA13" s="713">
        <f t="shared" si="3"/>
        <v>1</v>
      </c>
      <c r="AB13" s="713">
        <f t="shared" si="4"/>
        <v>1</v>
      </c>
      <c r="AC13" s="713">
        <f t="shared" si="5"/>
        <v>1</v>
      </c>
    </row>
    <row r="14" spans="1:29" ht="85.5">
      <c r="A14" s="361" t="s">
        <v>2137</v>
      </c>
      <c r="B14" s="585" t="s">
        <v>2287</v>
      </c>
      <c r="C14" s="210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522" t="s">
        <v>2138</v>
      </c>
      <c r="Q14" s="1486" t="str">
        <f t="shared" si="6"/>
        <v>交通便捷度</v>
      </c>
      <c r="R14" s="714" t="s">
        <v>17</v>
      </c>
      <c r="S14" s="715">
        <f t="shared" si="0"/>
        <v>100</v>
      </c>
      <c r="T14" s="714" t="s">
        <v>17</v>
      </c>
      <c r="U14" s="715">
        <f t="shared" si="1"/>
        <v>100</v>
      </c>
      <c r="V14" s="714" t="s">
        <v>17</v>
      </c>
      <c r="W14" s="715">
        <f t="shared" si="2"/>
        <v>100</v>
      </c>
      <c r="X14" s="1489"/>
      <c r="Y14" s="3522" t="s">
        <v>2138</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9"/>
      <c r="M15" s="2893"/>
      <c r="N15" s="2893"/>
      <c r="O15" s="2893"/>
      <c r="P15" s="3523"/>
      <c r="Q15" s="1486"/>
      <c r="R15" s="714"/>
      <c r="S15" s="715"/>
      <c r="T15" s="714"/>
      <c r="U15" s="715"/>
      <c r="V15" s="714"/>
      <c r="W15" s="715"/>
      <c r="X15" s="1489"/>
      <c r="Y15" s="3523"/>
      <c r="Z15" s="1490"/>
      <c r="AA15" s="1487">
        <v>1</v>
      </c>
      <c r="AB15" s="1487">
        <v>1</v>
      </c>
      <c r="AC15" s="1487">
        <v>1</v>
      </c>
    </row>
    <row r="16" spans="1:29" ht="42.75">
      <c r="A16" s="364"/>
      <c r="B16" s="587" t="s">
        <v>2266</v>
      </c>
      <c r="C16" s="203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523"/>
      <c r="Q16" s="1486" t="str">
        <f>B16</f>
        <v>公共配套设施</v>
      </c>
      <c r="R16" s="714" t="s">
        <v>17</v>
      </c>
      <c r="S16" s="715">
        <f>F16</f>
        <v>100</v>
      </c>
      <c r="T16" s="714" t="s">
        <v>17</v>
      </c>
      <c r="U16" s="715">
        <f>H16</f>
        <v>100</v>
      </c>
      <c r="V16" s="714" t="s">
        <v>17</v>
      </c>
      <c r="W16" s="715">
        <f>J16</f>
        <v>100</v>
      </c>
      <c r="X16" s="1489"/>
      <c r="Y16" s="3523"/>
      <c r="Z16" s="1490" t="str">
        <f>Q16</f>
        <v>公共配套设施</v>
      </c>
      <c r="AA16" s="1487">
        <f t="shared" si="3"/>
        <v>1</v>
      </c>
      <c r="AB16" s="1487">
        <f t="shared" si="4"/>
        <v>1</v>
      </c>
      <c r="AC16" s="1487">
        <f t="shared" si="5"/>
        <v>1</v>
      </c>
    </row>
    <row r="17" spans="1:29" ht="15">
      <c r="A17" s="364"/>
      <c r="B17" s="588"/>
      <c r="C17" s="2036"/>
      <c r="D17" s="407"/>
      <c r="E17" s="406"/>
      <c r="F17" s="408"/>
      <c r="G17" s="406"/>
      <c r="H17" s="407"/>
      <c r="I17" s="406"/>
      <c r="J17" s="407"/>
      <c r="K17" s="572"/>
      <c r="L17" s="2899"/>
      <c r="M17" s="2893"/>
      <c r="N17" s="2893"/>
      <c r="O17" s="2893"/>
      <c r="P17" s="3523"/>
      <c r="Q17" s="1486"/>
      <c r="R17" s="714"/>
      <c r="S17" s="715"/>
      <c r="T17" s="714"/>
      <c r="U17" s="715"/>
      <c r="V17" s="714"/>
      <c r="W17" s="715"/>
      <c r="X17" s="1489"/>
      <c r="Y17" s="3523"/>
      <c r="Z17" s="1490"/>
      <c r="AA17" s="1487">
        <v>1</v>
      </c>
      <c r="AB17" s="1487">
        <v>1</v>
      </c>
      <c r="AC17" s="1487">
        <v>1</v>
      </c>
    </row>
    <row r="18" spans="1:29" ht="28.5">
      <c r="A18" s="364"/>
      <c r="B18" s="589" t="s">
        <v>2267</v>
      </c>
      <c r="C18" s="203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523"/>
      <c r="Q18" s="1486" t="str">
        <f>B18</f>
        <v>基础设施水平</v>
      </c>
      <c r="R18" s="714" t="s">
        <v>17</v>
      </c>
      <c r="S18" s="715">
        <f>F18</f>
        <v>100</v>
      </c>
      <c r="T18" s="714" t="s">
        <v>17</v>
      </c>
      <c r="U18" s="715">
        <f>H18</f>
        <v>100</v>
      </c>
      <c r="V18" s="714" t="s">
        <v>17</v>
      </c>
      <c r="W18" s="715">
        <f>J18</f>
        <v>100</v>
      </c>
      <c r="X18" s="1489"/>
      <c r="Y18" s="3523"/>
      <c r="Z18" s="1490" t="str">
        <f>Q18</f>
        <v>基础设施水平</v>
      </c>
      <c r="AA18" s="1487">
        <f t="shared" ref="AA18" si="8">D18/F18</f>
        <v>1</v>
      </c>
      <c r="AB18" s="1487">
        <f t="shared" ref="AB18" si="9">D18/H18</f>
        <v>1</v>
      </c>
      <c r="AC18" s="1487">
        <f t="shared" ref="AC18" si="10">D18/J18</f>
        <v>1</v>
      </c>
    </row>
    <row r="19" spans="1:29" ht="15">
      <c r="A19" s="364"/>
      <c r="B19" s="589"/>
      <c r="C19" s="2036"/>
      <c r="D19" s="409"/>
      <c r="E19" s="2036"/>
      <c r="F19" s="412"/>
      <c r="G19" s="2036"/>
      <c r="H19" s="407"/>
      <c r="I19" s="406"/>
      <c r="J19" s="407"/>
      <c r="K19" s="1245"/>
      <c r="L19" s="2899"/>
      <c r="M19" s="2893"/>
      <c r="N19" s="2893"/>
      <c r="O19" s="2893"/>
      <c r="P19" s="3523"/>
      <c r="Q19" s="1486"/>
      <c r="R19" s="714"/>
      <c r="S19" s="715"/>
      <c r="T19" s="714"/>
      <c r="U19" s="715"/>
      <c r="V19" s="714"/>
      <c r="W19" s="715"/>
      <c r="X19" s="1489"/>
      <c r="Y19" s="3523"/>
      <c r="Z19" s="1490"/>
      <c r="AA19" s="1487">
        <v>1</v>
      </c>
      <c r="AB19" s="1487">
        <v>1</v>
      </c>
      <c r="AC19" s="1487">
        <v>1</v>
      </c>
    </row>
    <row r="20" spans="1:29" ht="57">
      <c r="A20" s="364"/>
      <c r="B20" s="587" t="s">
        <v>2288</v>
      </c>
      <c r="C20" s="203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523"/>
      <c r="Q20" s="1486" t="str">
        <f>B20</f>
        <v>自然及人文环境</v>
      </c>
      <c r="R20" s="714" t="s">
        <v>17</v>
      </c>
      <c r="S20" s="715">
        <f>F20</f>
        <v>100</v>
      </c>
      <c r="T20" s="714" t="s">
        <v>17</v>
      </c>
      <c r="U20" s="715">
        <f>H20</f>
        <v>100</v>
      </c>
      <c r="V20" s="714" t="s">
        <v>17</v>
      </c>
      <c r="W20" s="715">
        <f>J20</f>
        <v>100</v>
      </c>
      <c r="X20" s="1489"/>
      <c r="Y20" s="3523"/>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9"/>
      <c r="M21" s="2893"/>
      <c r="N21" s="2893"/>
      <c r="O21" s="2893"/>
      <c r="P21" s="3523"/>
      <c r="Q21" s="1486"/>
      <c r="R21" s="714"/>
      <c r="S21" s="715"/>
      <c r="T21" s="714"/>
      <c r="U21" s="715"/>
      <c r="V21" s="714"/>
      <c r="W21" s="715"/>
      <c r="X21" s="1489"/>
      <c r="Y21" s="3523"/>
      <c r="Z21" s="1490"/>
      <c r="AA21" s="1487">
        <v>1</v>
      </c>
      <c r="AB21" s="1487">
        <v>1</v>
      </c>
      <c r="AC21" s="1487">
        <v>1</v>
      </c>
    </row>
    <row r="22" spans="1:29" ht="15">
      <c r="A22" s="364"/>
      <c r="B22" s="587" t="s">
        <v>2289</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523"/>
      <c r="Q22" s="1486" t="str">
        <f>B22</f>
        <v>楼层</v>
      </c>
      <c r="R22" s="714" t="s">
        <v>17</v>
      </c>
      <c r="S22" s="715">
        <f>F22</f>
        <v>100</v>
      </c>
      <c r="T22" s="714" t="s">
        <v>17</v>
      </c>
      <c r="U22" s="715">
        <f>H22</f>
        <v>100</v>
      </c>
      <c r="V22" s="714" t="s">
        <v>17</v>
      </c>
      <c r="W22" s="715">
        <f>J22</f>
        <v>100</v>
      </c>
      <c r="X22" s="1489"/>
      <c r="Y22" s="3523"/>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523"/>
      <c r="Q23" s="1486">
        <f>B23</f>
        <v>111</v>
      </c>
      <c r="R23" s="714" t="s">
        <v>17</v>
      </c>
      <c r="S23" s="715">
        <f>F23</f>
        <v>100</v>
      </c>
      <c r="T23" s="714" t="s">
        <v>17</v>
      </c>
      <c r="U23" s="715">
        <f>H23</f>
        <v>100</v>
      </c>
      <c r="V23" s="714" t="s">
        <v>17</v>
      </c>
      <c r="W23" s="715">
        <f>J23</f>
        <v>100</v>
      </c>
      <c r="X23" s="1489"/>
      <c r="Y23" s="3523"/>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523"/>
      <c r="Q24" s="1486">
        <f t="shared" ref="Q24:Q36" si="11">B24</f>
        <v>111</v>
      </c>
      <c r="R24" s="714" t="s">
        <v>17</v>
      </c>
      <c r="S24" s="715">
        <f>F24</f>
        <v>100</v>
      </c>
      <c r="T24" s="714" t="s">
        <v>17</v>
      </c>
      <c r="U24" s="715">
        <f>H24</f>
        <v>100</v>
      </c>
      <c r="V24" s="714" t="s">
        <v>17</v>
      </c>
      <c r="W24" s="715">
        <f>J24</f>
        <v>100</v>
      </c>
      <c r="X24" s="1489"/>
      <c r="Y24" s="3523"/>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523"/>
      <c r="Q25" s="1477">
        <f t="shared" si="11"/>
        <v>111</v>
      </c>
      <c r="R25" s="710" t="s">
        <v>17</v>
      </c>
      <c r="S25" s="711">
        <f>F25</f>
        <v>100</v>
      </c>
      <c r="T25" s="710" t="s">
        <v>17</v>
      </c>
      <c r="U25" s="711">
        <f>H25</f>
        <v>100</v>
      </c>
      <c r="V25" s="710" t="s">
        <v>17</v>
      </c>
      <c r="W25" s="711">
        <f>J25</f>
        <v>100</v>
      </c>
      <c r="X25" s="712"/>
      <c r="Y25" s="3523"/>
      <c r="Z25" s="55">
        <f>Q25</f>
        <v>111</v>
      </c>
      <c r="AA25" s="1487">
        <f>D25/F25</f>
        <v>1</v>
      </c>
      <c r="AB25" s="1487">
        <f>D25/H25</f>
        <v>1</v>
      </c>
      <c r="AC25" s="1487">
        <f>D25/J25</f>
        <v>1</v>
      </c>
    </row>
    <row r="26" spans="1:29" ht="28.5">
      <c r="A26" s="608" t="s">
        <v>2141</v>
      </c>
      <c r="B26" s="66" t="s">
        <v>2290</v>
      </c>
      <c r="C26" s="2107">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578" t="s">
        <v>2143</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527" t="s">
        <v>2143</v>
      </c>
      <c r="Z26" s="1490" t="str">
        <f t="shared" ref="Z26:Z36" si="15">Q26</f>
        <v>配套类型</v>
      </c>
      <c r="AA26" s="1487">
        <f t="shared" si="3"/>
        <v>1</v>
      </c>
      <c r="AB26" s="1487">
        <f t="shared" si="4"/>
        <v>1</v>
      </c>
      <c r="AC26" s="1487">
        <f t="shared" si="5"/>
        <v>1</v>
      </c>
    </row>
    <row r="27" spans="1:29" s="430" customFormat="1" ht="15">
      <c r="A27" s="609"/>
      <c r="B27" s="610" t="s">
        <v>2291</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527"/>
      <c r="Q27" s="716" t="str">
        <f t="shared" si="11"/>
        <v>项目停车位配比</v>
      </c>
      <c r="R27" s="717" t="s">
        <v>17</v>
      </c>
      <c r="S27" s="718">
        <f t="shared" si="12"/>
        <v>100</v>
      </c>
      <c r="T27" s="717" t="s">
        <v>17</v>
      </c>
      <c r="U27" s="718">
        <f t="shared" si="13"/>
        <v>100</v>
      </c>
      <c r="V27" s="717" t="s">
        <v>17</v>
      </c>
      <c r="W27" s="718">
        <f t="shared" si="14"/>
        <v>100</v>
      </c>
      <c r="X27" s="719"/>
      <c r="Y27" s="3527"/>
      <c r="Z27" s="720" t="str">
        <f t="shared" si="15"/>
        <v>项目停车位配比</v>
      </c>
      <c r="AA27" s="1487">
        <f t="shared" si="3"/>
        <v>1</v>
      </c>
      <c r="AB27" s="1487">
        <f t="shared" si="4"/>
        <v>1</v>
      </c>
      <c r="AC27" s="1487">
        <f t="shared" si="5"/>
        <v>1</v>
      </c>
    </row>
    <row r="28" spans="1:29" ht="15">
      <c r="A28" s="612"/>
      <c r="B28" s="610" t="s">
        <v>2292</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527"/>
      <c r="Q28" s="1486" t="str">
        <f t="shared" si="11"/>
        <v>公共部分装修</v>
      </c>
      <c r="R28" s="714" t="s">
        <v>17</v>
      </c>
      <c r="S28" s="715">
        <f t="shared" si="12"/>
        <v>100</v>
      </c>
      <c r="T28" s="714" t="s">
        <v>17</v>
      </c>
      <c r="U28" s="715">
        <f t="shared" si="13"/>
        <v>100</v>
      </c>
      <c r="V28" s="714" t="s">
        <v>17</v>
      </c>
      <c r="W28" s="715">
        <f t="shared" si="14"/>
        <v>100</v>
      </c>
      <c r="X28" s="1489"/>
      <c r="Y28" s="3527"/>
      <c r="Z28" s="1490" t="str">
        <f t="shared" si="15"/>
        <v>公共部分装修</v>
      </c>
      <c r="AA28" s="1487">
        <f t="shared" si="3"/>
        <v>1</v>
      </c>
      <c r="AB28" s="1487">
        <f t="shared" si="4"/>
        <v>1</v>
      </c>
      <c r="AC28" s="1487">
        <f t="shared" si="5"/>
        <v>1</v>
      </c>
    </row>
    <row r="29" spans="1:29" ht="15">
      <c r="A29" s="612"/>
      <c r="B29" s="610" t="s">
        <v>2293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527"/>
      <c r="Q29" s="1486" t="str">
        <f t="shared" si="11"/>
        <v>成新率</v>
      </c>
      <c r="R29" s="714" t="s">
        <v>17</v>
      </c>
      <c r="S29" s="715" t="e">
        <f t="shared" si="12"/>
        <v>#N/A</v>
      </c>
      <c r="T29" s="714" t="s">
        <v>17</v>
      </c>
      <c r="U29" s="715" t="e">
        <f t="shared" si="13"/>
        <v>#N/A</v>
      </c>
      <c r="V29" s="714" t="s">
        <v>17</v>
      </c>
      <c r="W29" s="715" t="e">
        <f t="shared" si="14"/>
        <v>#N/A</v>
      </c>
      <c r="X29" s="1489"/>
      <c r="Y29" s="3527"/>
      <c r="Z29" s="1490" t="str">
        <f t="shared" si="15"/>
        <v>成新率</v>
      </c>
      <c r="AA29" s="1487" t="e">
        <f t="shared" si="3"/>
        <v>#N/A</v>
      </c>
      <c r="AB29" s="1487" t="e">
        <f t="shared" si="4"/>
        <v>#N/A</v>
      </c>
      <c r="AC29" s="1487" t="e">
        <f t="shared" si="5"/>
        <v>#N/A</v>
      </c>
    </row>
    <row r="30" spans="1:29" ht="15">
      <c r="A30" s="612"/>
      <c r="B30" s="610" t="s">
        <v>2294</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527"/>
      <c r="Q30" s="1486" t="str">
        <f t="shared" si="11"/>
        <v>物业等级</v>
      </c>
      <c r="R30" s="714" t="s">
        <v>17</v>
      </c>
      <c r="S30" s="715">
        <f t="shared" si="12"/>
        <v>100</v>
      </c>
      <c r="T30" s="714" t="s">
        <v>17</v>
      </c>
      <c r="U30" s="715">
        <f t="shared" si="13"/>
        <v>100</v>
      </c>
      <c r="V30" s="714" t="s">
        <v>17</v>
      </c>
      <c r="W30" s="715">
        <f t="shared" si="14"/>
        <v>100</v>
      </c>
      <c r="X30" s="1489"/>
      <c r="Y30" s="3527"/>
      <c r="Z30" s="1490" t="str">
        <f t="shared" si="15"/>
        <v>物业等级</v>
      </c>
      <c r="AA30" s="1487">
        <f t="shared" si="3"/>
        <v>1</v>
      </c>
      <c r="AB30" s="1487">
        <f t="shared" si="4"/>
        <v>1</v>
      </c>
      <c r="AC30" s="1487">
        <f t="shared" si="5"/>
        <v>1</v>
      </c>
    </row>
    <row r="31" spans="1:29" s="113" customFormat="1" ht="15">
      <c r="A31" s="614"/>
      <c r="B31" s="610" t="s">
        <v>2295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527"/>
      <c r="Q31" s="1477" t="str">
        <f t="shared" si="11"/>
        <v>停车位面积</v>
      </c>
      <c r="R31" s="710" t="s">
        <v>17</v>
      </c>
      <c r="S31" s="711" t="e">
        <f t="shared" si="12"/>
        <v>#N/A</v>
      </c>
      <c r="T31" s="710" t="s">
        <v>17</v>
      </c>
      <c r="U31" s="711" t="e">
        <f t="shared" si="13"/>
        <v>#N/A</v>
      </c>
      <c r="V31" s="710" t="s">
        <v>17</v>
      </c>
      <c r="W31" s="711" t="e">
        <f t="shared" si="14"/>
        <v>#N/A</v>
      </c>
      <c r="X31" s="712"/>
      <c r="Y31" s="3527"/>
      <c r="Z31" s="55" t="str">
        <f t="shared" si="15"/>
        <v>停车位面积</v>
      </c>
      <c r="AA31" s="713" t="e">
        <f t="shared" si="3"/>
        <v>#N/A</v>
      </c>
      <c r="AB31" s="713" t="e">
        <f t="shared" si="4"/>
        <v>#N/A</v>
      </c>
      <c r="AC31" s="713" t="e">
        <f t="shared" si="5"/>
        <v>#N/A</v>
      </c>
    </row>
    <row r="32" spans="1:29" ht="15">
      <c r="A32" s="612"/>
      <c r="B32" s="610" t="s">
        <v>2296</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527" t="s">
        <v>2143</v>
      </c>
      <c r="Q32" s="1486" t="str">
        <f t="shared" si="11"/>
        <v>车位类型</v>
      </c>
      <c r="R32" s="714" t="s">
        <v>17</v>
      </c>
      <c r="S32" s="715">
        <f t="shared" si="12"/>
        <v>100</v>
      </c>
      <c r="T32" s="714" t="s">
        <v>17</v>
      </c>
      <c r="U32" s="715">
        <f t="shared" si="13"/>
        <v>100</v>
      </c>
      <c r="V32" s="714" t="s">
        <v>17</v>
      </c>
      <c r="W32" s="715">
        <f t="shared" si="14"/>
        <v>100</v>
      </c>
      <c r="X32" s="1489"/>
      <c r="Y32" s="3527" t="s">
        <v>2143</v>
      </c>
      <c r="Z32" s="1490" t="str">
        <f t="shared" si="15"/>
        <v>车位类型</v>
      </c>
      <c r="AA32" s="1487">
        <f t="shared" si="3"/>
        <v>1</v>
      </c>
      <c r="AB32" s="1487">
        <f t="shared" si="4"/>
        <v>1</v>
      </c>
      <c r="AC32" s="1487">
        <f t="shared" si="5"/>
        <v>1</v>
      </c>
    </row>
    <row r="33" spans="1:29" ht="15">
      <c r="A33" s="612"/>
      <c r="B33" s="610" t="s">
        <v>2297</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527"/>
      <c r="Q33" s="1486" t="str">
        <f t="shared" si="11"/>
        <v>是否直接入户</v>
      </c>
      <c r="R33" s="714" t="s">
        <v>17</v>
      </c>
      <c r="S33" s="715">
        <f t="shared" si="12"/>
        <v>100</v>
      </c>
      <c r="T33" s="714" t="s">
        <v>17</v>
      </c>
      <c r="U33" s="715">
        <f t="shared" si="13"/>
        <v>100</v>
      </c>
      <c r="V33" s="714" t="s">
        <v>17</v>
      </c>
      <c r="W33" s="715">
        <f t="shared" si="14"/>
        <v>100</v>
      </c>
      <c r="X33" s="1489"/>
      <c r="Y33" s="3527"/>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527"/>
      <c r="Q34" s="1486">
        <f t="shared" si="11"/>
        <v>111</v>
      </c>
      <c r="R34" s="714" t="s">
        <v>17</v>
      </c>
      <c r="S34" s="715">
        <f t="shared" si="12"/>
        <v>100</v>
      </c>
      <c r="T34" s="714" t="s">
        <v>17</v>
      </c>
      <c r="U34" s="715">
        <f t="shared" si="13"/>
        <v>100</v>
      </c>
      <c r="V34" s="714" t="s">
        <v>17</v>
      </c>
      <c r="W34" s="715">
        <f t="shared" si="14"/>
        <v>100</v>
      </c>
      <c r="X34" s="1489"/>
      <c r="Y34" s="3527"/>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527"/>
      <c r="Q35" s="716">
        <f t="shared" si="11"/>
        <v>111</v>
      </c>
      <c r="R35" s="717" t="s">
        <v>17</v>
      </c>
      <c r="S35" s="718">
        <f t="shared" si="12"/>
        <v>100</v>
      </c>
      <c r="T35" s="717" t="s">
        <v>17</v>
      </c>
      <c r="U35" s="718">
        <f t="shared" si="13"/>
        <v>100</v>
      </c>
      <c r="V35" s="717" t="s">
        <v>17</v>
      </c>
      <c r="W35" s="718">
        <f t="shared" si="14"/>
        <v>100</v>
      </c>
      <c r="X35" s="719"/>
      <c r="Y35" s="3527"/>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527"/>
      <c r="Q36" s="1486">
        <f t="shared" si="11"/>
        <v>111</v>
      </c>
      <c r="R36" s="714" t="s">
        <v>17</v>
      </c>
      <c r="S36" s="715">
        <f t="shared" si="12"/>
        <v>100</v>
      </c>
      <c r="T36" s="714" t="s">
        <v>17</v>
      </c>
      <c r="U36" s="715">
        <f t="shared" si="13"/>
        <v>100</v>
      </c>
      <c r="V36" s="714" t="s">
        <v>17</v>
      </c>
      <c r="W36" s="715">
        <f t="shared" si="14"/>
        <v>100</v>
      </c>
      <c r="X36" s="1489"/>
      <c r="Y36" s="3527"/>
      <c r="Z36" s="1490">
        <f t="shared" si="15"/>
        <v>111</v>
      </c>
      <c r="AA36" s="1487">
        <f t="shared" si="3"/>
        <v>1</v>
      </c>
      <c r="AB36" s="1487">
        <f t="shared" si="4"/>
        <v>1</v>
      </c>
      <c r="AC36" s="1487">
        <f t="shared" si="5"/>
        <v>1</v>
      </c>
    </row>
    <row r="37" spans="1:29" ht="15">
      <c r="A37" s="438" t="s">
        <v>2298</v>
      </c>
      <c r="B37" s="2108" t="s">
        <v>2299</v>
      </c>
      <c r="C37" s="1269" t="s">
        <v>1</v>
      </c>
      <c r="D37" s="1270"/>
      <c r="E37" s="1271"/>
      <c r="F37" s="1272"/>
      <c r="G37" s="1273"/>
      <c r="H37" s="1274"/>
      <c r="I37" s="1271"/>
      <c r="J37" s="1274"/>
      <c r="K37" s="576"/>
      <c r="L37" s="2901"/>
      <c r="M37" s="2902"/>
      <c r="N37" s="2893"/>
      <c r="O37" s="2902"/>
      <c r="P37" s="3520" t="str">
        <f>A37</f>
        <v>成交单价</v>
      </c>
      <c r="Q37" s="3520"/>
      <c r="R37" s="3521">
        <f>E37</f>
        <v>0</v>
      </c>
      <c r="S37" s="3521"/>
      <c r="T37" s="3521">
        <f>G37</f>
        <v>0</v>
      </c>
      <c r="U37" s="3521"/>
      <c r="V37" s="3521">
        <f>I37</f>
        <v>0</v>
      </c>
      <c r="W37" s="3521"/>
      <c r="X37" s="699"/>
      <c r="Y37" s="721"/>
      <c r="Z37" s="699"/>
      <c r="AA37" s="699"/>
      <c r="AB37" s="699"/>
      <c r="AC37" s="699"/>
    </row>
    <row r="38" spans="1:29" ht="15.75" thickBot="1">
      <c r="A38" s="445" t="s">
        <v>2300</v>
      </c>
      <c r="B38" s="446" t="str">
        <f>B37</f>
        <v>元/车位</v>
      </c>
      <c r="C38" s="1275" t="e">
        <f>R39</f>
        <v>#DIV/0!</v>
      </c>
      <c r="D38" s="2487" t="s">
        <v>2636</v>
      </c>
      <c r="E38" s="1276" t="e">
        <f>R38</f>
        <v>#DIV/0!</v>
      </c>
      <c r="F38" s="2488"/>
      <c r="G38" s="1275" t="e">
        <f>T38</f>
        <v>#DIV/0!</v>
      </c>
      <c r="H38" s="2488"/>
      <c r="I38" s="1276" t="e">
        <f>V38</f>
        <v>#DIV/0!</v>
      </c>
      <c r="J38" s="2488"/>
      <c r="K38" s="2490">
        <f>F38+H38+J38</f>
        <v>0</v>
      </c>
      <c r="L38" s="2901"/>
      <c r="M38" s="2902"/>
      <c r="N38" s="2902"/>
      <c r="O38" s="2902"/>
      <c r="P38" s="3520" t="str">
        <f>A38</f>
        <v>比较价值（元/平方米）</v>
      </c>
      <c r="Q38" s="3520"/>
      <c r="R38" s="3521" t="e">
        <f>IF(F1="售价",ROUND(PRODUCT(R37,AA7:AA36),0),ROUND(PRODUCT(R37,AA7:AA36),1))</f>
        <v>#DIV/0!</v>
      </c>
      <c r="S38" s="3521"/>
      <c r="T38" s="3521" t="e">
        <f>IF(F1="售价",ROUND(PRODUCT(T37,AB7:AB36),0),ROUND(PRODUCT(T37,AB7:AB36),1))</f>
        <v>#DIV/0!</v>
      </c>
      <c r="U38" s="3521"/>
      <c r="V38" s="3521" t="e">
        <f>IF(F1="售价",ROUND(PRODUCT(V37,AC7:AC36),0),ROUND(PRODUCT(V37,AC7:AC36),1))</f>
        <v>#DIV/0!</v>
      </c>
      <c r="W38" s="3521"/>
      <c r="X38" s="699"/>
      <c r="Y38" s="699"/>
      <c r="Z38" s="699"/>
      <c r="AA38" s="699"/>
      <c r="AB38" s="699"/>
      <c r="AC38" s="699"/>
    </row>
    <row r="39" spans="1:29" ht="15.75" thickBot="1">
      <c r="A39" s="449" t="s">
        <v>2301</v>
      </c>
      <c r="B39" s="450"/>
      <c r="C39" s="1278" t="e">
        <f>R39</f>
        <v>#DIV/0!</v>
      </c>
      <c r="D39" s="1278"/>
      <c r="E39" s="1278"/>
      <c r="F39" s="1278"/>
      <c r="G39" s="1278"/>
      <c r="H39" s="1278"/>
      <c r="I39" s="1278"/>
      <c r="J39" s="1278"/>
      <c r="K39" s="577"/>
      <c r="L39" s="2901"/>
      <c r="M39" s="2902"/>
      <c r="N39" s="2902"/>
      <c r="O39" s="2902"/>
      <c r="P39" s="3517" t="str">
        <f>A39</f>
        <v>估价对象XX用房的比较价值（楼面单价，元/平方米）</v>
      </c>
      <c r="Q39" s="3518"/>
      <c r="R39" s="3579" t="e">
        <f>IF(F1="售价",ROUND(IF(D38="简单平均",AVERAGE(R38:W38),R38*F38+T38*H38+V38*J38),0),ROUND(IF(D38="简单平均",AVERAGE(R38:V38),R38*F38+T38*H38+V38*J38),1))</f>
        <v>#DIV/0!</v>
      </c>
      <c r="S39" s="3579"/>
      <c r="T39" s="3579"/>
      <c r="U39" s="3579"/>
      <c r="V39" s="3579"/>
      <c r="W39" s="3579"/>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2305</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2306</v>
      </c>
      <c r="B48" s="463"/>
      <c r="C48" s="1298" t="str">
        <f>YEAR(C7)&amp;"-"&amp;MONTH(C7)</f>
        <v>2022-7</v>
      </c>
      <c r="D48" s="1299">
        <f>EDATE(C48,-1)</f>
        <v>44713</v>
      </c>
      <c r="E48" s="1299">
        <f t="shared" ref="E48:O48" si="16">EDATE(D48,-1)</f>
        <v>44682</v>
      </c>
      <c r="F48" s="1299">
        <f t="shared" si="16"/>
        <v>44652</v>
      </c>
      <c r="G48" s="1299">
        <f t="shared" si="16"/>
        <v>44621</v>
      </c>
      <c r="H48" s="1299">
        <f t="shared" si="16"/>
        <v>44593</v>
      </c>
      <c r="I48" s="1299">
        <f t="shared" si="16"/>
        <v>44562</v>
      </c>
      <c r="J48" s="1299">
        <f t="shared" si="16"/>
        <v>44531</v>
      </c>
      <c r="K48" s="1299">
        <f t="shared" si="16"/>
        <v>44501</v>
      </c>
      <c r="L48" s="1299">
        <f t="shared" si="16"/>
        <v>44470</v>
      </c>
      <c r="M48" s="1299">
        <f t="shared" si="16"/>
        <v>44440</v>
      </c>
      <c r="N48" s="1299">
        <f t="shared" si="16"/>
        <v>44409</v>
      </c>
      <c r="O48" s="1299">
        <f t="shared" si="16"/>
        <v>44378</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2163</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2128</v>
      </c>
      <c r="B51" s="467"/>
      <c r="C51" s="479" t="s">
        <v>2230</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2166</v>
      </c>
      <c r="B53" s="485" t="s">
        <v>2132</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2135</v>
      </c>
      <c r="C55" s="496" t="s">
        <v>2167</v>
      </c>
      <c r="D55" s="496" t="s">
        <v>2168</v>
      </c>
      <c r="E55" s="496" t="s">
        <v>2169</v>
      </c>
      <c r="F55" s="496" t="s">
        <v>2170</v>
      </c>
      <c r="G55" s="496" t="s">
        <v>2171</v>
      </c>
      <c r="H55" s="496" t="s">
        <v>2172</v>
      </c>
      <c r="I55" s="496" t="s">
        <v>2173</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2137</v>
      </c>
      <c r="B63" s="485" t="s">
        <v>2180</v>
      </c>
      <c r="C63" s="530" t="s">
        <v>2175</v>
      </c>
      <c r="D63" s="530" t="s">
        <v>2176</v>
      </c>
      <c r="E63" s="530" t="s">
        <v>2177</v>
      </c>
      <c r="F63" s="530" t="s">
        <v>2178</v>
      </c>
      <c r="G63" s="530" t="s">
        <v>2179</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2181</v>
      </c>
      <c r="C65" s="535" t="s">
        <v>2175</v>
      </c>
      <c r="D65" s="535" t="s">
        <v>2176</v>
      </c>
      <c r="E65" s="535" t="s">
        <v>2177</v>
      </c>
      <c r="F65" s="535" t="s">
        <v>2178</v>
      </c>
      <c r="G65" s="535" t="s">
        <v>2179</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2267</v>
      </c>
      <c r="C67" s="616" t="s">
        <v>2253</v>
      </c>
      <c r="D67" s="616" t="s">
        <v>2254</v>
      </c>
      <c r="E67" s="616" t="s">
        <v>2255</v>
      </c>
      <c r="F67" s="616" t="s">
        <v>2256</v>
      </c>
      <c r="G67" s="616" t="s">
        <v>2257</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2187</v>
      </c>
      <c r="C69" s="535" t="s">
        <v>2175</v>
      </c>
      <c r="D69" s="535" t="s">
        <v>2176</v>
      </c>
      <c r="E69" s="535" t="s">
        <v>2177</v>
      </c>
      <c r="F69" s="535" t="s">
        <v>2178</v>
      </c>
      <c r="G69" s="535" t="s">
        <v>2179</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2307</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2141</v>
      </c>
      <c r="B79" s="485" t="s">
        <v>2308</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2309</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2194</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2310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2311</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2313</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2314</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4" sqref="C14:H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2285</v>
      </c>
      <c r="B1" s="1343"/>
      <c r="C1" s="1344" t="s">
        <v>2108</v>
      </c>
      <c r="D1" s="1345"/>
      <c r="E1" s="1354"/>
      <c r="F1" s="2014"/>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9" t="e">
        <f ca="1">IF(C2="——",ROUND(C37*D3/10000,0),ROUND(C37*D3/10000,0)-D2)</f>
        <v>#DIV/0!</v>
      </c>
      <c r="C2" s="2016"/>
      <c r="D2" s="1019" t="e">
        <f ca="1">SUMIF(INDIRECT("'"&amp;F2&amp;"'"&amp;"!A:A"),"承租人权益价值",INDIRECT("'"&amp;F2&amp;"'"&amp;"!c:c"))</f>
        <v>#REF!</v>
      </c>
      <c r="E2" s="2017" t="s">
        <v>1906</v>
      </c>
      <c r="F2" s="2018"/>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1907</v>
      </c>
      <c r="B3" s="566" t="e">
        <f ca="1">IF(C2="——",C37,ROUND(B2*10000/D3,0))</f>
        <v>#DIV/0!</v>
      </c>
      <c r="C3" s="360" t="s">
        <v>2222</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2223</v>
      </c>
      <c r="B4" s="362"/>
      <c r="C4" s="3535" t="s">
        <v>2224</v>
      </c>
      <c r="D4" s="3536"/>
      <c r="E4" s="3537" t="s">
        <v>2225</v>
      </c>
      <c r="F4" s="3538"/>
      <c r="G4" s="3535" t="s">
        <v>2226</v>
      </c>
      <c r="H4" s="3536"/>
      <c r="I4" s="3535" t="s">
        <v>2227</v>
      </c>
      <c r="J4" s="3536"/>
      <c r="K4" s="567" t="s">
        <v>2228</v>
      </c>
      <c r="L4" s="2892"/>
      <c r="M4" s="2893"/>
      <c r="N4" s="2893"/>
      <c r="O4" s="2893"/>
      <c r="P4" s="3539" t="s">
        <v>2229</v>
      </c>
      <c r="Q4" s="3540"/>
      <c r="R4" s="3545" t="s">
        <v>2225</v>
      </c>
      <c r="S4" s="3546"/>
      <c r="T4" s="3545" t="s">
        <v>2226</v>
      </c>
      <c r="U4" s="3546"/>
      <c r="V4" s="3551" t="s">
        <v>2227</v>
      </c>
      <c r="W4" s="3551"/>
      <c r="X4" s="1489"/>
      <c r="Y4" s="3545" t="s">
        <v>2229</v>
      </c>
      <c r="Z4" s="3546"/>
      <c r="AA4" s="3532" t="s">
        <v>2225</v>
      </c>
      <c r="AB4" s="3533" t="s">
        <v>2226</v>
      </c>
      <c r="AC4" s="3532" t="s">
        <v>2227</v>
      </c>
    </row>
    <row r="5" spans="1:29" ht="15">
      <c r="A5" s="364"/>
      <c r="B5" s="365"/>
      <c r="C5" s="3554" t="s">
        <v>2120</v>
      </c>
      <c r="D5" s="3555"/>
      <c r="E5" s="3561" t="s">
        <v>2121</v>
      </c>
      <c r="F5" s="3562"/>
      <c r="G5" s="3554" t="s">
        <v>2122</v>
      </c>
      <c r="H5" s="3555"/>
      <c r="I5" s="3554" t="s">
        <v>2123</v>
      </c>
      <c r="J5" s="3555"/>
      <c r="K5" s="567"/>
      <c r="L5" s="2892"/>
      <c r="M5" s="2893"/>
      <c r="N5" s="2893"/>
      <c r="O5" s="2893"/>
      <c r="P5" s="3541"/>
      <c r="Q5" s="3542"/>
      <c r="R5" s="3547"/>
      <c r="S5" s="3548"/>
      <c r="T5" s="3547"/>
      <c r="U5" s="3548"/>
      <c r="V5" s="3551"/>
      <c r="W5" s="3551"/>
      <c r="X5" s="1489"/>
      <c r="Y5" s="3547"/>
      <c r="Z5" s="3548"/>
      <c r="AA5" s="3533"/>
      <c r="AB5" s="3533"/>
      <c r="AC5" s="3533"/>
    </row>
    <row r="6" spans="1:29" ht="15.75" thickBot="1">
      <c r="A6" s="366"/>
      <c r="B6" s="367"/>
      <c r="C6" s="3552" t="s">
        <v>2124</v>
      </c>
      <c r="D6" s="3553"/>
      <c r="E6" s="3559" t="s">
        <v>2124</v>
      </c>
      <c r="F6" s="3560"/>
      <c r="G6" s="3552" t="s">
        <v>2124</v>
      </c>
      <c r="H6" s="3553"/>
      <c r="I6" s="3552" t="s">
        <v>2124</v>
      </c>
      <c r="J6" s="3553"/>
      <c r="K6" s="567" t="s">
        <v>2125</v>
      </c>
      <c r="L6" s="2892"/>
      <c r="M6" s="2893"/>
      <c r="N6" s="2893"/>
      <c r="O6" s="2893"/>
      <c r="P6" s="3543"/>
      <c r="Q6" s="3544"/>
      <c r="R6" s="3547"/>
      <c r="S6" s="3548"/>
      <c r="T6" s="3549"/>
      <c r="U6" s="3550"/>
      <c r="V6" s="3551"/>
      <c r="W6" s="3551"/>
      <c r="X6" s="1489"/>
      <c r="Y6" s="3549"/>
      <c r="Z6" s="3550"/>
      <c r="AA6" s="3534"/>
      <c r="AB6" s="3534"/>
      <c r="AC6" s="3534"/>
    </row>
    <row r="7" spans="1:29" s="113" customFormat="1" ht="15.75" thickBot="1">
      <c r="A7" s="368" t="s">
        <v>2126</v>
      </c>
      <c r="B7" s="369"/>
      <c r="C7" s="370">
        <f>'数据-取费表'!B2</f>
        <v>44769</v>
      </c>
      <c r="D7" s="371">
        <v>100</v>
      </c>
      <c r="E7" s="372"/>
      <c r="F7" s="373">
        <f>SUMIF(46:46,YEAR(E7)&amp;"-"&amp;MONTH(E7),47:47)</f>
        <v>0</v>
      </c>
      <c r="G7" s="2109"/>
      <c r="H7" s="371">
        <f>SUMIF(46:46,YEAR(G7)&amp;"-"&amp;MONTH(G7),47:47)</f>
        <v>0</v>
      </c>
      <c r="I7" s="372"/>
      <c r="J7" s="371">
        <f>SUMIF(46:46,YEAR(I7)&amp;"-"&amp;MONTH(I7),47:47)</f>
        <v>0</v>
      </c>
      <c r="K7" s="568"/>
      <c r="L7" s="2894"/>
      <c r="M7" s="2895"/>
      <c r="N7" s="2895"/>
      <c r="O7" s="2895"/>
      <c r="P7" s="3556" t="s">
        <v>2127</v>
      </c>
      <c r="Q7" s="3558"/>
      <c r="R7" s="710" t="s">
        <v>17</v>
      </c>
      <c r="S7" s="711">
        <f t="shared" ref="S7:S14" si="0">F7</f>
        <v>0</v>
      </c>
      <c r="T7" s="710" t="s">
        <v>17</v>
      </c>
      <c r="U7" s="711">
        <f t="shared" ref="U7:U14" si="1">H7</f>
        <v>0</v>
      </c>
      <c r="V7" s="710" t="s">
        <v>17</v>
      </c>
      <c r="W7" s="711">
        <f t="shared" ref="W7:W14" si="2">J7</f>
        <v>0</v>
      </c>
      <c r="X7" s="712"/>
      <c r="Y7" s="3556" t="s">
        <v>2127</v>
      </c>
      <c r="Z7" s="3557"/>
      <c r="AA7" s="713" t="e">
        <f>D7/F7</f>
        <v>#DIV/0!</v>
      </c>
      <c r="AB7" s="713" t="e">
        <f>D7/H7</f>
        <v>#DIV/0!</v>
      </c>
      <c r="AC7" s="713" t="e">
        <f>D7/J7</f>
        <v>#DIV/0!</v>
      </c>
    </row>
    <row r="8" spans="1:29" s="113" customFormat="1" ht="15.75" thickBot="1">
      <c r="A8" s="368" t="s">
        <v>2128</v>
      </c>
      <c r="B8" s="369"/>
      <c r="C8" s="374" t="s">
        <v>2230</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556" t="s">
        <v>2130</v>
      </c>
      <c r="Q8" s="3557"/>
      <c r="R8" s="710" t="s">
        <v>17</v>
      </c>
      <c r="S8" s="711">
        <f t="shared" si="0"/>
        <v>0</v>
      </c>
      <c r="T8" s="710" t="s">
        <v>17</v>
      </c>
      <c r="U8" s="711">
        <f t="shared" si="1"/>
        <v>0</v>
      </c>
      <c r="V8" s="710" t="s">
        <v>17</v>
      </c>
      <c r="W8" s="711">
        <f t="shared" si="2"/>
        <v>0</v>
      </c>
      <c r="X8" s="712"/>
      <c r="Y8" s="3556" t="s">
        <v>2130</v>
      </c>
      <c r="Z8" s="3557"/>
      <c r="AA8" s="713" t="e">
        <f t="shared" ref="AA8:AA34" si="3">D8/F8</f>
        <v>#DIV/0!</v>
      </c>
      <c r="AB8" s="713" t="e">
        <f t="shared" ref="AB8:AB34" si="4">D8/H8</f>
        <v>#DIV/0!</v>
      </c>
      <c r="AC8" s="713" t="e">
        <f t="shared" ref="AC8:AC34" si="5">D8/J8</f>
        <v>#DIV/0!</v>
      </c>
    </row>
    <row r="9" spans="1:29" s="113" customFormat="1">
      <c r="A9" s="375" t="s">
        <v>2131</v>
      </c>
      <c r="B9" s="67" t="s">
        <v>2132</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520" t="s">
        <v>2133</v>
      </c>
      <c r="Q9" s="1477" t="str">
        <f t="shared" ref="Q9:Q14" si="6">B9</f>
        <v>用途</v>
      </c>
      <c r="R9" s="710" t="s">
        <v>17</v>
      </c>
      <c r="S9" s="711">
        <f t="shared" si="0"/>
        <v>100</v>
      </c>
      <c r="T9" s="710" t="s">
        <v>17</v>
      </c>
      <c r="U9" s="711">
        <f t="shared" si="1"/>
        <v>100</v>
      </c>
      <c r="V9" s="710" t="s">
        <v>17</v>
      </c>
      <c r="W9" s="711">
        <f t="shared" si="2"/>
        <v>100</v>
      </c>
      <c r="X9" s="712"/>
      <c r="Y9" s="3392" t="s">
        <v>2134</v>
      </c>
      <c r="Z9" s="55" t="str">
        <f t="shared" ref="Z9:Z14" si="7">Q9</f>
        <v>用途</v>
      </c>
      <c r="AA9" s="713">
        <f t="shared" si="3"/>
        <v>1</v>
      </c>
      <c r="AB9" s="713">
        <f t="shared" si="4"/>
        <v>1</v>
      </c>
      <c r="AC9" s="713">
        <f t="shared" si="5"/>
        <v>1</v>
      </c>
    </row>
    <row r="10" spans="1:29" s="386" customFormat="1" ht="27">
      <c r="A10" s="380"/>
      <c r="B10" s="381" t="s">
        <v>2135</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520"/>
      <c r="Q10" s="1477" t="str">
        <f t="shared" si="6"/>
        <v>土地使用年限（年）</v>
      </c>
      <c r="R10" s="710" t="s">
        <v>17</v>
      </c>
      <c r="S10" s="711">
        <f t="shared" si="0"/>
        <v>100</v>
      </c>
      <c r="T10" s="710" t="s">
        <v>17</v>
      </c>
      <c r="U10" s="711">
        <f t="shared" si="1"/>
        <v>100</v>
      </c>
      <c r="V10" s="710" t="s">
        <v>17</v>
      </c>
      <c r="W10" s="711">
        <f t="shared" si="2"/>
        <v>100</v>
      </c>
      <c r="X10" s="712"/>
      <c r="Y10" s="3392"/>
      <c r="Z10" s="55" t="str">
        <f t="shared" si="7"/>
        <v>土地使用年限（年）</v>
      </c>
      <c r="AA10" s="713">
        <f t="shared" si="3"/>
        <v>1</v>
      </c>
      <c r="AB10" s="713">
        <f t="shared" si="4"/>
        <v>1</v>
      </c>
      <c r="AC10" s="713">
        <f t="shared" si="5"/>
        <v>1</v>
      </c>
    </row>
    <row r="11" spans="1:29" ht="15">
      <c r="A11" s="387"/>
      <c r="B11" s="2028">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520"/>
      <c r="Q11" s="1477">
        <f t="shared" si="6"/>
        <v>111</v>
      </c>
      <c r="R11" s="710" t="s">
        <v>17</v>
      </c>
      <c r="S11" s="711">
        <f t="shared" si="0"/>
        <v>100</v>
      </c>
      <c r="T11" s="710" t="s">
        <v>17</v>
      </c>
      <c r="U11" s="711">
        <f t="shared" si="1"/>
        <v>100</v>
      </c>
      <c r="V11" s="710" t="s">
        <v>17</v>
      </c>
      <c r="W11" s="711">
        <f t="shared" si="2"/>
        <v>100</v>
      </c>
      <c r="X11" s="712"/>
      <c r="Y11" s="3392"/>
      <c r="Z11" s="55">
        <f t="shared" si="7"/>
        <v>111</v>
      </c>
      <c r="AA11" s="713">
        <f t="shared" si="3"/>
        <v>1</v>
      </c>
      <c r="AB11" s="713">
        <f t="shared" si="4"/>
        <v>1</v>
      </c>
      <c r="AC11" s="713">
        <f t="shared" si="5"/>
        <v>1</v>
      </c>
    </row>
    <row r="12" spans="1:29" s="113" customFormat="1" ht="15">
      <c r="A12" s="390"/>
      <c r="B12" s="2028">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520"/>
      <c r="Q12" s="1477">
        <f t="shared" si="6"/>
        <v>111</v>
      </c>
      <c r="R12" s="710" t="s">
        <v>17</v>
      </c>
      <c r="S12" s="711">
        <f t="shared" si="0"/>
        <v>100</v>
      </c>
      <c r="T12" s="710" t="s">
        <v>17</v>
      </c>
      <c r="U12" s="711">
        <f t="shared" si="1"/>
        <v>100</v>
      </c>
      <c r="V12" s="710" t="s">
        <v>17</v>
      </c>
      <c r="W12" s="711">
        <f t="shared" si="2"/>
        <v>100</v>
      </c>
      <c r="X12" s="712"/>
      <c r="Y12" s="3392"/>
      <c r="Z12" s="55">
        <f t="shared" si="7"/>
        <v>111</v>
      </c>
      <c r="AA12" s="713">
        <f>D12/F12</f>
        <v>1</v>
      </c>
      <c r="AB12" s="713">
        <f>D12/H12</f>
        <v>1</v>
      </c>
      <c r="AC12" s="713">
        <f>D12/J12</f>
        <v>1</v>
      </c>
    </row>
    <row r="13" spans="1:29" ht="15.75" thickBot="1">
      <c r="A13" s="387"/>
      <c r="B13" s="2028">
        <v>111</v>
      </c>
      <c r="C13" s="393"/>
      <c r="D13" s="394">
        <v>100</v>
      </c>
      <c r="E13" s="428"/>
      <c r="F13" s="384">
        <f>SUMIF(59:59,E13,60:60)-SUMIF(59:59,C13,60:60)+100</f>
        <v>100</v>
      </c>
      <c r="G13" s="2110"/>
      <c r="H13" s="397">
        <f>SUMIF(59:59,G13,60:60)-SUMIF(59:59,C13,60:60)+100</f>
        <v>100</v>
      </c>
      <c r="I13" s="428"/>
      <c r="J13" s="394">
        <f>SUMIF(59:59,I13,60:60)-SUMIF(59:59,C13,60:60)+100</f>
        <v>100</v>
      </c>
      <c r="K13" s="570"/>
      <c r="L13" s="2899"/>
      <c r="M13" s="2893"/>
      <c r="N13" s="2893"/>
      <c r="O13" s="2951"/>
      <c r="P13" s="3520"/>
      <c r="Q13" s="1477">
        <f t="shared" si="6"/>
        <v>111</v>
      </c>
      <c r="R13" s="710" t="s">
        <v>17</v>
      </c>
      <c r="S13" s="711">
        <f t="shared" si="0"/>
        <v>100</v>
      </c>
      <c r="T13" s="710" t="s">
        <v>17</v>
      </c>
      <c r="U13" s="711">
        <f t="shared" si="1"/>
        <v>100</v>
      </c>
      <c r="V13" s="710" t="s">
        <v>17</v>
      </c>
      <c r="W13" s="711">
        <f t="shared" si="2"/>
        <v>100</v>
      </c>
      <c r="X13" s="712"/>
      <c r="Y13" s="3392"/>
      <c r="Z13" s="55">
        <f t="shared" si="7"/>
        <v>111</v>
      </c>
      <c r="AA13" s="713">
        <f t="shared" si="3"/>
        <v>1</v>
      </c>
      <c r="AB13" s="713">
        <f t="shared" si="4"/>
        <v>1</v>
      </c>
      <c r="AC13" s="713">
        <f t="shared" si="5"/>
        <v>1</v>
      </c>
    </row>
    <row r="14" spans="1:29" ht="85.5">
      <c r="A14" s="399" t="s">
        <v>2137</v>
      </c>
      <c r="B14" s="65" t="s">
        <v>2287</v>
      </c>
      <c r="C14" s="210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522" t="s">
        <v>2138</v>
      </c>
      <c r="Q14" s="1486" t="str">
        <f t="shared" si="6"/>
        <v>交通便捷度</v>
      </c>
      <c r="R14" s="714" t="s">
        <v>17</v>
      </c>
      <c r="S14" s="715">
        <f t="shared" si="0"/>
        <v>100</v>
      </c>
      <c r="T14" s="714" t="s">
        <v>17</v>
      </c>
      <c r="U14" s="715">
        <f t="shared" si="1"/>
        <v>100</v>
      </c>
      <c r="V14" s="714" t="s">
        <v>17</v>
      </c>
      <c r="W14" s="715">
        <f t="shared" si="2"/>
        <v>100</v>
      </c>
      <c r="X14" s="1489"/>
      <c r="Y14" s="3522" t="s">
        <v>2138</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9"/>
      <c r="M15" s="2893"/>
      <c r="N15" s="2893"/>
      <c r="O15" s="2951"/>
      <c r="P15" s="3523"/>
      <c r="Q15" s="1486"/>
      <c r="R15" s="714"/>
      <c r="S15" s="715"/>
      <c r="T15" s="714"/>
      <c r="U15" s="715"/>
      <c r="V15" s="714"/>
      <c r="W15" s="715"/>
      <c r="X15" s="1489"/>
      <c r="Y15" s="3523"/>
      <c r="Z15" s="1490"/>
      <c r="AA15" s="1487">
        <v>1</v>
      </c>
      <c r="AB15" s="1487">
        <v>1</v>
      </c>
      <c r="AC15" s="1487">
        <v>1</v>
      </c>
    </row>
    <row r="16" spans="1:29" ht="42.75">
      <c r="A16" s="387"/>
      <c r="B16" s="410" t="s">
        <v>2266</v>
      </c>
      <c r="C16" s="203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523"/>
      <c r="Q16" s="1486" t="str">
        <f>B16</f>
        <v>公共配套设施</v>
      </c>
      <c r="R16" s="714" t="s">
        <v>17</v>
      </c>
      <c r="S16" s="715">
        <f>F16</f>
        <v>100</v>
      </c>
      <c r="T16" s="714" t="s">
        <v>17</v>
      </c>
      <c r="U16" s="715">
        <f>H16</f>
        <v>100</v>
      </c>
      <c r="V16" s="714" t="s">
        <v>17</v>
      </c>
      <c r="W16" s="715">
        <f>J16</f>
        <v>100</v>
      </c>
      <c r="X16" s="1489"/>
      <c r="Y16" s="3523"/>
      <c r="Z16" s="1490" t="str">
        <f>Q16</f>
        <v>公共配套设施</v>
      </c>
      <c r="AA16" s="1487">
        <f t="shared" si="3"/>
        <v>1</v>
      </c>
      <c r="AB16" s="1487">
        <f t="shared" si="4"/>
        <v>1</v>
      </c>
      <c r="AC16" s="1487">
        <f t="shared" si="5"/>
        <v>1</v>
      </c>
    </row>
    <row r="17" spans="1:29" ht="15">
      <c r="A17" s="387"/>
      <c r="B17" s="415"/>
      <c r="C17" s="2036"/>
      <c r="D17" s="407"/>
      <c r="E17" s="406"/>
      <c r="F17" s="408"/>
      <c r="G17" s="406"/>
      <c r="H17" s="407"/>
      <c r="I17" s="406"/>
      <c r="J17" s="407"/>
      <c r="K17" s="572"/>
      <c r="L17" s="2899"/>
      <c r="M17" s="2893"/>
      <c r="N17" s="2893"/>
      <c r="O17" s="2951"/>
      <c r="P17" s="3523"/>
      <c r="Q17" s="1486"/>
      <c r="R17" s="714"/>
      <c r="S17" s="715"/>
      <c r="T17" s="714"/>
      <c r="U17" s="715"/>
      <c r="V17" s="714"/>
      <c r="W17" s="715"/>
      <c r="X17" s="1489"/>
      <c r="Y17" s="3523"/>
      <c r="Z17" s="1490"/>
      <c r="AA17" s="1487">
        <v>1</v>
      </c>
      <c r="AB17" s="1487">
        <v>1</v>
      </c>
      <c r="AC17" s="1487">
        <v>1</v>
      </c>
    </row>
    <row r="18" spans="1:29" ht="28.5">
      <c r="A18" s="387"/>
      <c r="B18" s="1246" t="s">
        <v>2267</v>
      </c>
      <c r="C18" s="203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523"/>
      <c r="Q18" s="1486" t="str">
        <f>B18</f>
        <v>基础设施水平</v>
      </c>
      <c r="R18" s="714" t="s">
        <v>17</v>
      </c>
      <c r="S18" s="715">
        <f>F18</f>
        <v>100</v>
      </c>
      <c r="T18" s="714" t="s">
        <v>17</v>
      </c>
      <c r="U18" s="715">
        <f>H18</f>
        <v>100</v>
      </c>
      <c r="V18" s="714" t="s">
        <v>17</v>
      </c>
      <c r="W18" s="715">
        <f>J18</f>
        <v>100</v>
      </c>
      <c r="X18" s="1489"/>
      <c r="Y18" s="3523"/>
      <c r="Z18" s="1490" t="str">
        <f>Q18</f>
        <v>基础设施水平</v>
      </c>
      <c r="AA18" s="1487">
        <f t="shared" ref="AA18" si="8">D18/F18</f>
        <v>1</v>
      </c>
      <c r="AB18" s="1487">
        <f t="shared" ref="AB18" si="9">D18/H18</f>
        <v>1</v>
      </c>
      <c r="AC18" s="1487">
        <f t="shared" ref="AC18" si="10">D18/J18</f>
        <v>1</v>
      </c>
    </row>
    <row r="19" spans="1:29" ht="15">
      <c r="A19" s="387"/>
      <c r="B19" s="1246"/>
      <c r="C19" s="2036"/>
      <c r="D19" s="409"/>
      <c r="E19" s="2036"/>
      <c r="F19" s="412"/>
      <c r="G19" s="2036"/>
      <c r="H19" s="407"/>
      <c r="I19" s="406"/>
      <c r="J19" s="407"/>
      <c r="K19" s="1245"/>
      <c r="L19" s="2899"/>
      <c r="M19" s="2893"/>
      <c r="N19" s="2893"/>
      <c r="O19" s="2951"/>
      <c r="P19" s="3523"/>
      <c r="Q19" s="1486"/>
      <c r="R19" s="714"/>
      <c r="S19" s="715"/>
      <c r="T19" s="714"/>
      <c r="U19" s="715"/>
      <c r="V19" s="714"/>
      <c r="W19" s="715"/>
      <c r="X19" s="1489"/>
      <c r="Y19" s="3523"/>
      <c r="Z19" s="1490"/>
      <c r="AA19" s="1487">
        <v>1</v>
      </c>
      <c r="AB19" s="1487">
        <v>1</v>
      </c>
      <c r="AC19" s="1487">
        <v>1</v>
      </c>
    </row>
    <row r="20" spans="1:29" ht="57">
      <c r="A20" s="387"/>
      <c r="B20" s="410" t="s">
        <v>2288</v>
      </c>
      <c r="C20" s="203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523"/>
      <c r="Q20" s="1486" t="str">
        <f>B20</f>
        <v>自然及人文环境</v>
      </c>
      <c r="R20" s="714" t="s">
        <v>17</v>
      </c>
      <c r="S20" s="715">
        <f>F20</f>
        <v>100</v>
      </c>
      <c r="T20" s="714" t="s">
        <v>17</v>
      </c>
      <c r="U20" s="715">
        <f>H20</f>
        <v>100</v>
      </c>
      <c r="V20" s="714" t="s">
        <v>17</v>
      </c>
      <c r="W20" s="715">
        <f>J20</f>
        <v>100</v>
      </c>
      <c r="X20" s="1489"/>
      <c r="Y20" s="3523"/>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9"/>
      <c r="M21" s="2893"/>
      <c r="N21" s="2893"/>
      <c r="O21" s="2951"/>
      <c r="P21" s="3523"/>
      <c r="Q21" s="1486"/>
      <c r="R21" s="714"/>
      <c r="S21" s="715"/>
      <c r="T21" s="714"/>
      <c r="U21" s="715"/>
      <c r="V21" s="714"/>
      <c r="W21" s="715"/>
      <c r="X21" s="1489"/>
      <c r="Y21" s="3523"/>
      <c r="Z21" s="1490"/>
      <c r="AA21" s="1487">
        <v>1</v>
      </c>
      <c r="AB21" s="1487">
        <v>1</v>
      </c>
      <c r="AC21" s="1487">
        <v>1</v>
      </c>
    </row>
    <row r="22" spans="1:29" ht="15">
      <c r="A22" s="387"/>
      <c r="B22" s="410" t="s">
        <v>2289</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523"/>
      <c r="Q22" s="1486" t="str">
        <f>B22</f>
        <v>楼层</v>
      </c>
      <c r="R22" s="714" t="s">
        <v>17</v>
      </c>
      <c r="S22" s="715">
        <f>F22</f>
        <v>100</v>
      </c>
      <c r="T22" s="714" t="s">
        <v>17</v>
      </c>
      <c r="U22" s="715">
        <f>H22</f>
        <v>100</v>
      </c>
      <c r="V22" s="714" t="s">
        <v>17</v>
      </c>
      <c r="W22" s="715">
        <f>J22</f>
        <v>100</v>
      </c>
      <c r="X22" s="1489"/>
      <c r="Y22" s="3523"/>
      <c r="Z22" s="1490" t="str">
        <f>Q22</f>
        <v>楼层</v>
      </c>
      <c r="AA22" s="1487">
        <f t="shared" si="3"/>
        <v>1</v>
      </c>
      <c r="AB22" s="1487">
        <f t="shared" si="4"/>
        <v>1</v>
      </c>
      <c r="AC22" s="1487">
        <f t="shared" si="5"/>
        <v>1</v>
      </c>
    </row>
    <row r="23" spans="1:29" ht="15">
      <c r="A23" s="364"/>
      <c r="B23" s="2028">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523"/>
      <c r="Q23" s="1486">
        <f>B23</f>
        <v>111</v>
      </c>
      <c r="R23" s="714" t="s">
        <v>17</v>
      </c>
      <c r="S23" s="715">
        <f>F23</f>
        <v>100</v>
      </c>
      <c r="T23" s="714" t="s">
        <v>17</v>
      </c>
      <c r="U23" s="715">
        <f>H23</f>
        <v>100</v>
      </c>
      <c r="V23" s="714" t="s">
        <v>17</v>
      </c>
      <c r="W23" s="715">
        <f>J23</f>
        <v>100</v>
      </c>
      <c r="X23" s="1489"/>
      <c r="Y23" s="3523"/>
      <c r="Z23" s="1490">
        <f>Q23</f>
        <v>111</v>
      </c>
      <c r="AA23" s="1487">
        <f t="shared" si="3"/>
        <v>1</v>
      </c>
      <c r="AB23" s="1487">
        <f t="shared" si="4"/>
        <v>1</v>
      </c>
      <c r="AC23" s="1487">
        <f t="shared" si="5"/>
        <v>1</v>
      </c>
    </row>
    <row r="24" spans="1:29" ht="15">
      <c r="A24" s="387"/>
      <c r="B24" s="2028">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523"/>
      <c r="Q24" s="1486">
        <f t="shared" ref="Q24:Q34" si="11">B24</f>
        <v>111</v>
      </c>
      <c r="R24" s="714" t="s">
        <v>17</v>
      </c>
      <c r="S24" s="715">
        <f>F24</f>
        <v>100</v>
      </c>
      <c r="T24" s="714" t="s">
        <v>17</v>
      </c>
      <c r="U24" s="715">
        <f>H24</f>
        <v>100</v>
      </c>
      <c r="V24" s="714" t="s">
        <v>17</v>
      </c>
      <c r="W24" s="715">
        <f>J24</f>
        <v>100</v>
      </c>
      <c r="X24" s="1489"/>
      <c r="Y24" s="3523"/>
      <c r="Z24" s="1490">
        <f>Q24</f>
        <v>111</v>
      </c>
      <c r="AA24" s="1487">
        <f t="shared" si="3"/>
        <v>1</v>
      </c>
      <c r="AB24" s="1487">
        <f t="shared" si="4"/>
        <v>1</v>
      </c>
      <c r="AC24" s="1487">
        <f t="shared" si="5"/>
        <v>1</v>
      </c>
    </row>
    <row r="25" spans="1:29" s="113" customFormat="1" ht="15.75" thickBot="1">
      <c r="A25" s="390"/>
      <c r="B25" s="2028">
        <v>111</v>
      </c>
      <c r="C25" s="2111"/>
      <c r="D25" s="621">
        <v>100</v>
      </c>
      <c r="E25" s="2111"/>
      <c r="F25" s="622">
        <f>SUMIF(75:75,E25,76:76)-SUMIF(75:75,C25,76:76)+100</f>
        <v>100</v>
      </c>
      <c r="G25" s="2111"/>
      <c r="H25" s="621">
        <f>SUMIF(75:75,G25,76:76)-SUMIF(75:75,C25,76:76)+100</f>
        <v>100</v>
      </c>
      <c r="I25" s="2111"/>
      <c r="J25" s="621">
        <f>SUMIF(75:75,I25,76:76)-SUMIF(75:75,C25,76:76)+100</f>
        <v>100</v>
      </c>
      <c r="K25" s="570"/>
      <c r="L25" s="2894"/>
      <c r="M25" s="2895"/>
      <c r="N25" s="2895"/>
      <c r="O25" s="2949"/>
      <c r="P25" s="3523"/>
      <c r="Q25" s="1477">
        <f t="shared" si="11"/>
        <v>111</v>
      </c>
      <c r="R25" s="710" t="s">
        <v>17</v>
      </c>
      <c r="S25" s="711">
        <f>F25</f>
        <v>100</v>
      </c>
      <c r="T25" s="710" t="s">
        <v>17</v>
      </c>
      <c r="U25" s="711">
        <f>H25</f>
        <v>100</v>
      </c>
      <c r="V25" s="710" t="s">
        <v>17</v>
      </c>
      <c r="W25" s="711">
        <f>J25</f>
        <v>100</v>
      </c>
      <c r="X25" s="712"/>
      <c r="Y25" s="3523"/>
      <c r="Z25" s="55">
        <f>Q25</f>
        <v>111</v>
      </c>
      <c r="AA25" s="1487">
        <f>D25/F25</f>
        <v>1</v>
      </c>
      <c r="AB25" s="1487">
        <f>D25/H25</f>
        <v>1</v>
      </c>
      <c r="AC25" s="1487">
        <f>D25/J25</f>
        <v>1</v>
      </c>
    </row>
    <row r="26" spans="1:29" ht="28.5">
      <c r="A26" s="425" t="s">
        <v>2141</v>
      </c>
      <c r="B26" s="67" t="s">
        <v>2292</v>
      </c>
      <c r="C26" s="2102"/>
      <c r="D26" s="426">
        <v>100</v>
      </c>
      <c r="E26" s="2102"/>
      <c r="F26" s="623">
        <f>SUMIF(77:77,E26,78:78)-SUMIF(77:77,C26,78:78)+100</f>
        <v>100</v>
      </c>
      <c r="G26" s="2102"/>
      <c r="H26" s="426">
        <f>SUMIF(77:77,G26,78:78)-SUMIF(77:77,C26,78:78)+100</f>
        <v>100</v>
      </c>
      <c r="I26" s="2102"/>
      <c r="J26" s="426">
        <f>SUMIF(77:77,I26,78:78)-SUMIF(77:77,C26,78:78)+100</f>
        <v>100</v>
      </c>
      <c r="K26" s="569"/>
      <c r="L26" s="2899"/>
      <c r="M26" s="2893"/>
      <c r="N26" s="2893"/>
      <c r="O26" s="2951"/>
      <c r="P26" s="3578" t="s">
        <v>2143</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527" t="s">
        <v>2143</v>
      </c>
      <c r="Z26" s="1490" t="str">
        <f t="shared" ref="Z26:Z34" si="15">Q26</f>
        <v>公共部分装修</v>
      </c>
      <c r="AA26" s="1487">
        <f t="shared" si="3"/>
        <v>1</v>
      </c>
      <c r="AB26" s="1487">
        <f t="shared" si="4"/>
        <v>1</v>
      </c>
      <c r="AC26" s="1487">
        <f t="shared" si="5"/>
        <v>1</v>
      </c>
    </row>
    <row r="27" spans="1:29" s="430" customFormat="1" ht="15">
      <c r="A27" s="427"/>
      <c r="B27" s="381" t="s">
        <v>2293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527"/>
      <c r="Q27" s="716" t="str">
        <f t="shared" si="11"/>
        <v>成新率</v>
      </c>
      <c r="R27" s="717" t="s">
        <v>17</v>
      </c>
      <c r="S27" s="718" t="e">
        <f t="shared" si="12"/>
        <v>#N/A</v>
      </c>
      <c r="T27" s="717" t="s">
        <v>17</v>
      </c>
      <c r="U27" s="718" t="e">
        <f t="shared" si="13"/>
        <v>#N/A</v>
      </c>
      <c r="V27" s="717" t="s">
        <v>17</v>
      </c>
      <c r="W27" s="718" t="e">
        <f t="shared" si="14"/>
        <v>#N/A</v>
      </c>
      <c r="X27" s="719"/>
      <c r="Y27" s="3527"/>
      <c r="Z27" s="720" t="str">
        <f t="shared" si="15"/>
        <v>成新率</v>
      </c>
      <c r="AA27" s="1487" t="e">
        <f t="shared" si="3"/>
        <v>#N/A</v>
      </c>
      <c r="AB27" s="1487" t="e">
        <f t="shared" si="4"/>
        <v>#N/A</v>
      </c>
      <c r="AC27" s="1487" t="e">
        <f t="shared" si="5"/>
        <v>#N/A</v>
      </c>
    </row>
    <row r="28" spans="1:29" ht="15">
      <c r="A28" s="431"/>
      <c r="B28" s="381" t="s">
        <v>2294</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527"/>
      <c r="Q28" s="1486" t="str">
        <f t="shared" si="11"/>
        <v>物业等级</v>
      </c>
      <c r="R28" s="714" t="s">
        <v>17</v>
      </c>
      <c r="S28" s="715">
        <f t="shared" si="12"/>
        <v>100</v>
      </c>
      <c r="T28" s="714" t="s">
        <v>17</v>
      </c>
      <c r="U28" s="715">
        <f t="shared" si="13"/>
        <v>100</v>
      </c>
      <c r="V28" s="714" t="s">
        <v>17</v>
      </c>
      <c r="W28" s="715">
        <f t="shared" si="14"/>
        <v>100</v>
      </c>
      <c r="X28" s="1489"/>
      <c r="Y28" s="3527"/>
      <c r="Z28" s="1490" t="str">
        <f t="shared" si="15"/>
        <v>物业等级</v>
      </c>
      <c r="AA28" s="1487">
        <f t="shared" si="3"/>
        <v>1</v>
      </c>
      <c r="AB28" s="1487">
        <f t="shared" si="4"/>
        <v>1</v>
      </c>
      <c r="AC28" s="1487">
        <f t="shared" si="5"/>
        <v>1</v>
      </c>
    </row>
    <row r="29" spans="1:29" ht="15">
      <c r="A29" s="431"/>
      <c r="B29" s="381" t="s">
        <v>2315</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527"/>
      <c r="Q29" s="1486" t="str">
        <f t="shared" si="11"/>
        <v>有无电梯</v>
      </c>
      <c r="R29" s="714" t="s">
        <v>17</v>
      </c>
      <c r="S29" s="715">
        <f t="shared" si="12"/>
        <v>100</v>
      </c>
      <c r="T29" s="714" t="s">
        <v>17</v>
      </c>
      <c r="U29" s="715">
        <f t="shared" si="13"/>
        <v>100</v>
      </c>
      <c r="V29" s="714" t="s">
        <v>17</v>
      </c>
      <c r="W29" s="715">
        <f t="shared" si="14"/>
        <v>100</v>
      </c>
      <c r="X29" s="1489"/>
      <c r="Y29" s="3527"/>
      <c r="Z29" s="1490" t="str">
        <f t="shared" si="15"/>
        <v>有无电梯</v>
      </c>
      <c r="AA29" s="1487">
        <f t="shared" si="3"/>
        <v>1</v>
      </c>
      <c r="AB29" s="1487">
        <f t="shared" si="4"/>
        <v>1</v>
      </c>
      <c r="AC29" s="1487">
        <f t="shared" si="5"/>
        <v>1</v>
      </c>
    </row>
    <row r="30" spans="1:29" ht="15">
      <c r="A30" s="431"/>
      <c r="B30" s="381" t="s">
        <v>2316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527"/>
      <c r="Q30" s="1486" t="str">
        <f t="shared" si="11"/>
        <v>建筑面积</v>
      </c>
      <c r="R30" s="714" t="s">
        <v>17</v>
      </c>
      <c r="S30" s="715" t="e">
        <f t="shared" si="12"/>
        <v>#N/A</v>
      </c>
      <c r="T30" s="714" t="s">
        <v>17</v>
      </c>
      <c r="U30" s="715" t="e">
        <f t="shared" si="13"/>
        <v>#N/A</v>
      </c>
      <c r="V30" s="714" t="s">
        <v>17</v>
      </c>
      <c r="W30" s="715" t="e">
        <f t="shared" si="14"/>
        <v>#N/A</v>
      </c>
      <c r="X30" s="1489"/>
      <c r="Y30" s="3527"/>
      <c r="Z30" s="1490" t="str">
        <f t="shared" si="15"/>
        <v>建筑面积</v>
      </c>
      <c r="AA30" s="1487" t="e">
        <f t="shared" si="3"/>
        <v>#N/A</v>
      </c>
      <c r="AB30" s="1487" t="e">
        <f t="shared" si="4"/>
        <v>#N/A</v>
      </c>
      <c r="AC30" s="1487" t="e">
        <f t="shared" si="5"/>
        <v>#N/A</v>
      </c>
    </row>
    <row r="31" spans="1:29" s="113" customFormat="1" ht="15">
      <c r="A31" s="432"/>
      <c r="B31" s="381" t="s">
        <v>2317</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527"/>
      <c r="Q31" s="1477" t="str">
        <f t="shared" si="11"/>
        <v>是否封闭</v>
      </c>
      <c r="R31" s="710" t="s">
        <v>17</v>
      </c>
      <c r="S31" s="711">
        <f t="shared" si="12"/>
        <v>100</v>
      </c>
      <c r="T31" s="710" t="s">
        <v>17</v>
      </c>
      <c r="U31" s="711">
        <f t="shared" si="13"/>
        <v>100</v>
      </c>
      <c r="V31" s="710" t="s">
        <v>17</v>
      </c>
      <c r="W31" s="711">
        <f t="shared" si="14"/>
        <v>100</v>
      </c>
      <c r="X31" s="712"/>
      <c r="Y31" s="3527"/>
      <c r="Z31" s="55" t="str">
        <f t="shared" si="15"/>
        <v>是否封闭</v>
      </c>
      <c r="AA31" s="713">
        <f t="shared" si="3"/>
        <v>1</v>
      </c>
      <c r="AB31" s="713">
        <f t="shared" si="4"/>
        <v>1</v>
      </c>
      <c r="AC31" s="713">
        <f t="shared" si="5"/>
        <v>1</v>
      </c>
    </row>
    <row r="32" spans="1:29" ht="15">
      <c r="A32" s="431"/>
      <c r="B32" s="2028">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527" t="s">
        <v>2143</v>
      </c>
      <c r="Q32" s="1486">
        <f t="shared" si="11"/>
        <v>111</v>
      </c>
      <c r="R32" s="714" t="s">
        <v>17</v>
      </c>
      <c r="S32" s="715">
        <f t="shared" si="12"/>
        <v>100</v>
      </c>
      <c r="T32" s="714" t="s">
        <v>17</v>
      </c>
      <c r="U32" s="715">
        <f t="shared" si="13"/>
        <v>100</v>
      </c>
      <c r="V32" s="714" t="s">
        <v>17</v>
      </c>
      <c r="W32" s="715">
        <f t="shared" si="14"/>
        <v>100</v>
      </c>
      <c r="X32" s="1489"/>
      <c r="Y32" s="3527" t="s">
        <v>2143</v>
      </c>
      <c r="Z32" s="1490">
        <f t="shared" si="15"/>
        <v>111</v>
      </c>
      <c r="AA32" s="1487">
        <f t="shared" si="3"/>
        <v>1</v>
      </c>
      <c r="AB32" s="1487">
        <f t="shared" si="4"/>
        <v>1</v>
      </c>
      <c r="AC32" s="1487">
        <f t="shared" si="5"/>
        <v>1</v>
      </c>
    </row>
    <row r="33" spans="1:30" ht="15">
      <c r="A33" s="431"/>
      <c r="B33" s="2028">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527"/>
      <c r="Q33" s="1486">
        <f t="shared" si="11"/>
        <v>111</v>
      </c>
      <c r="R33" s="714" t="s">
        <v>17</v>
      </c>
      <c r="S33" s="715">
        <f t="shared" si="12"/>
        <v>100</v>
      </c>
      <c r="T33" s="714" t="s">
        <v>17</v>
      </c>
      <c r="U33" s="715">
        <f t="shared" si="13"/>
        <v>100</v>
      </c>
      <c r="V33" s="714" t="s">
        <v>17</v>
      </c>
      <c r="W33" s="715">
        <f t="shared" si="14"/>
        <v>100</v>
      </c>
      <c r="X33" s="1489"/>
      <c r="Y33" s="3527"/>
      <c r="Z33" s="1490">
        <f t="shared" si="15"/>
        <v>111</v>
      </c>
      <c r="AA33" s="1487">
        <f t="shared" si="3"/>
        <v>1</v>
      </c>
      <c r="AB33" s="1487">
        <f t="shared" si="4"/>
        <v>1</v>
      </c>
      <c r="AC33" s="1487">
        <f t="shared" si="5"/>
        <v>1</v>
      </c>
    </row>
    <row r="34" spans="1:30" ht="15.75" thickBot="1">
      <c r="A34" s="437"/>
      <c r="B34" s="2030">
        <v>111</v>
      </c>
      <c r="C34" s="396"/>
      <c r="D34" s="397">
        <v>100</v>
      </c>
      <c r="E34" s="2110"/>
      <c r="F34" s="398">
        <f>SUMIF(95:95,E34,96:96)-SUMIF(95:95,C34,96:96)+100</f>
        <v>100</v>
      </c>
      <c r="G34" s="2110"/>
      <c r="H34" s="397">
        <f>SUMIF(95:95,G34,96:96)-SUMIF(95:95,C34,96:96)+100</f>
        <v>100</v>
      </c>
      <c r="I34" s="2110"/>
      <c r="J34" s="397">
        <f>SUMIF(95:95,I34,96:96)-SUMIF(95:95,C34,96:96)+100</f>
        <v>100</v>
      </c>
      <c r="K34" s="570"/>
      <c r="L34" s="2899"/>
      <c r="M34" s="2893"/>
      <c r="N34" s="2893"/>
      <c r="O34" s="2951"/>
      <c r="P34" s="3527"/>
      <c r="Q34" s="1486">
        <f t="shared" si="11"/>
        <v>111</v>
      </c>
      <c r="R34" s="714" t="s">
        <v>17</v>
      </c>
      <c r="S34" s="715">
        <f t="shared" si="12"/>
        <v>100</v>
      </c>
      <c r="T34" s="714" t="s">
        <v>17</v>
      </c>
      <c r="U34" s="715">
        <f t="shared" si="13"/>
        <v>100</v>
      </c>
      <c r="V34" s="714" t="s">
        <v>17</v>
      </c>
      <c r="W34" s="715">
        <f t="shared" si="14"/>
        <v>100</v>
      </c>
      <c r="X34" s="1489"/>
      <c r="Y34" s="3527"/>
      <c r="Z34" s="1490">
        <f t="shared" si="15"/>
        <v>111</v>
      </c>
      <c r="AA34" s="1487">
        <f t="shared" si="3"/>
        <v>1</v>
      </c>
      <c r="AB34" s="1487">
        <f t="shared" si="4"/>
        <v>1</v>
      </c>
      <c r="AC34" s="1487">
        <f t="shared" si="5"/>
        <v>1</v>
      </c>
    </row>
    <row r="35" spans="1:30" ht="15">
      <c r="A35" s="438" t="s">
        <v>2155</v>
      </c>
      <c r="B35" s="439"/>
      <c r="C35" s="1269" t="s">
        <v>1</v>
      </c>
      <c r="D35" s="1270"/>
      <c r="E35" s="1271"/>
      <c r="F35" s="1272"/>
      <c r="G35" s="1273"/>
      <c r="H35" s="1274"/>
      <c r="I35" s="1271"/>
      <c r="J35" s="1274"/>
      <c r="K35" s="723"/>
      <c r="L35" s="2901"/>
      <c r="M35" s="2902"/>
      <c r="N35" s="2893"/>
      <c r="O35" s="2902"/>
      <c r="P35" s="3520" t="str">
        <f>A35</f>
        <v>成交单价（元/平方米）</v>
      </c>
      <c r="Q35" s="3520"/>
      <c r="R35" s="3521">
        <f>E35</f>
        <v>0</v>
      </c>
      <c r="S35" s="3521"/>
      <c r="T35" s="3521">
        <f>G35</f>
        <v>0</v>
      </c>
      <c r="U35" s="3521"/>
      <c r="V35" s="3521">
        <f>I35</f>
        <v>0</v>
      </c>
      <c r="W35" s="3521"/>
      <c r="X35" s="699"/>
      <c r="Y35" s="721"/>
      <c r="Z35" s="699"/>
      <c r="AA35" s="699"/>
      <c r="AB35" s="699"/>
      <c r="AC35" s="699"/>
    </row>
    <row r="36" spans="1:30" ht="15.75" thickBot="1">
      <c r="A36" s="445" t="s">
        <v>2247</v>
      </c>
      <c r="B36" s="446"/>
      <c r="C36" s="1275" t="e">
        <f>R37</f>
        <v>#DIV/0!</v>
      </c>
      <c r="D36" s="2487" t="s">
        <v>2636</v>
      </c>
      <c r="E36" s="1276" t="e">
        <f>R36</f>
        <v>#DIV/0!</v>
      </c>
      <c r="F36" s="2488"/>
      <c r="G36" s="1275" t="e">
        <f>T36</f>
        <v>#DIV/0!</v>
      </c>
      <c r="H36" s="2488"/>
      <c r="I36" s="1276" t="e">
        <f>V36</f>
        <v>#DIV/0!</v>
      </c>
      <c r="J36" s="2488"/>
      <c r="K36" s="2490">
        <f>F36+H36+J36</f>
        <v>0</v>
      </c>
      <c r="L36" s="2901"/>
      <c r="M36" s="2902"/>
      <c r="N36" s="2893"/>
      <c r="O36" s="2902"/>
      <c r="P36" s="3520" t="str">
        <f>A36</f>
        <v>比较价值（元/平方米）</v>
      </c>
      <c r="Q36" s="3520"/>
      <c r="R36" s="3521" t="e">
        <f>IF(F1="售价",ROUND(PRODUCT(R35,AA7:AA34),0),ROUND(PRODUCT(R35,AA7:AA34),1))</f>
        <v>#DIV/0!</v>
      </c>
      <c r="S36" s="3521"/>
      <c r="T36" s="3521" t="e">
        <f>IF(F1="售价",ROUND(PRODUCT(T35,AB7:AB34),0),ROUND(PRODUCT(T35,AB7:AB34),1))</f>
        <v>#DIV/0!</v>
      </c>
      <c r="U36" s="3521"/>
      <c r="V36" s="3521" t="e">
        <f>IF(F1="售价",ROUND(PRODUCT(V35,AC7:AC34),0),ROUND(PRODUCT(V35,AC7:AC34),1))</f>
        <v>#DIV/0!</v>
      </c>
      <c r="W36" s="3521"/>
      <c r="X36" s="699"/>
      <c r="Y36" s="699"/>
      <c r="Z36" s="699"/>
      <c r="AA36" s="699"/>
      <c r="AB36" s="699"/>
      <c r="AC36" s="699"/>
    </row>
    <row r="37" spans="1:30" ht="15.75" thickBot="1">
      <c r="A37" s="449" t="s">
        <v>2248</v>
      </c>
      <c r="B37" s="450"/>
      <c r="C37" s="1278" t="e">
        <f>R37</f>
        <v>#DIV/0!</v>
      </c>
      <c r="D37" s="1278"/>
      <c r="E37" s="1278"/>
      <c r="F37" s="1278"/>
      <c r="G37" s="1278"/>
      <c r="H37" s="1278"/>
      <c r="I37" s="1278"/>
      <c r="J37" s="1278"/>
      <c r="K37" s="724"/>
      <c r="L37" s="2901"/>
      <c r="M37" s="2902"/>
      <c r="N37" s="2902"/>
      <c r="O37" s="2902"/>
      <c r="P37" s="3517" t="str">
        <f>A37</f>
        <v>估价对象XX用房的比较价值（楼面单价，元/平方米）</v>
      </c>
      <c r="Q37" s="3518"/>
      <c r="R37" s="3579" t="e">
        <f>IF(F1="售价",ROUND(IF(D36="简单平均",AVERAGE(R36:W36),R36*F36+T36*H36+V36*J36),0),ROUND(IF(D36="简单平均",AVERAGE(R36:V36),R36*F36+T36*H36+V36*J36),1))</f>
        <v>#DIV/0!</v>
      </c>
      <c r="S37" s="3579"/>
      <c r="T37" s="3579"/>
      <c r="U37" s="3579"/>
      <c r="V37" s="3579"/>
      <c r="W37" s="3579"/>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2249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2250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2252</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2126</v>
      </c>
      <c r="B46" s="463"/>
      <c r="C46" s="1298" t="str">
        <f>YEAR(C7)&amp;"-"&amp;MONTH(C7)</f>
        <v>2022-7</v>
      </c>
      <c r="D46" s="1299">
        <f>EDATE(C46,-1)</f>
        <v>44713</v>
      </c>
      <c r="E46" s="1299">
        <f t="shared" ref="E46:O46" si="16">EDATE(D46,-1)</f>
        <v>44682</v>
      </c>
      <c r="F46" s="1299">
        <f t="shared" si="16"/>
        <v>44652</v>
      </c>
      <c r="G46" s="1299">
        <f t="shared" si="16"/>
        <v>44621</v>
      </c>
      <c r="H46" s="1299">
        <f t="shared" si="16"/>
        <v>44593</v>
      </c>
      <c r="I46" s="1299">
        <f t="shared" si="16"/>
        <v>44562</v>
      </c>
      <c r="J46" s="1299">
        <f t="shared" si="16"/>
        <v>44531</v>
      </c>
      <c r="K46" s="1299">
        <f t="shared" si="16"/>
        <v>44501</v>
      </c>
      <c r="L46" s="1299">
        <f t="shared" si="16"/>
        <v>44470</v>
      </c>
      <c r="M46" s="1299">
        <f t="shared" si="16"/>
        <v>44440</v>
      </c>
      <c r="N46" s="1299">
        <f t="shared" si="16"/>
        <v>44409</v>
      </c>
      <c r="O46" s="1299">
        <f t="shared" si="16"/>
        <v>44378</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7">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2163</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2128</v>
      </c>
      <c r="B49" s="467"/>
      <c r="C49" s="479" t="s">
        <v>2230</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2166</v>
      </c>
      <c r="B51" s="485" t="s">
        <v>2132</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2135</v>
      </c>
      <c r="C53" s="496" t="s">
        <v>2167</v>
      </c>
      <c r="D53" s="496" t="s">
        <v>2168</v>
      </c>
      <c r="E53" s="496" t="s">
        <v>2169</v>
      </c>
      <c r="F53" s="496" t="s">
        <v>2170</v>
      </c>
      <c r="G53" s="496" t="s">
        <v>2171</v>
      </c>
      <c r="H53" s="496" t="s">
        <v>2172</v>
      </c>
      <c r="I53" s="496" t="s">
        <v>2173</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2137</v>
      </c>
      <c r="B61" s="485" t="s">
        <v>2180</v>
      </c>
      <c r="C61" s="530" t="s">
        <v>2175</v>
      </c>
      <c r="D61" s="530" t="s">
        <v>2176</v>
      </c>
      <c r="E61" s="530" t="s">
        <v>2177</v>
      </c>
      <c r="F61" s="530" t="s">
        <v>2178</v>
      </c>
      <c r="G61" s="530" t="s">
        <v>2179</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2318</v>
      </c>
      <c r="C63" s="535" t="s">
        <v>2175</v>
      </c>
      <c r="D63" s="535" t="s">
        <v>2176</v>
      </c>
      <c r="E63" s="535" t="s">
        <v>2177</v>
      </c>
      <c r="F63" s="535" t="s">
        <v>2178</v>
      </c>
      <c r="G63" s="535" t="s">
        <v>2179</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2267</v>
      </c>
      <c r="C65" s="616" t="s">
        <v>2253</v>
      </c>
      <c r="D65" s="616" t="s">
        <v>2254</v>
      </c>
      <c r="E65" s="616" t="s">
        <v>2255</v>
      </c>
      <c r="F65" s="616" t="s">
        <v>2256</v>
      </c>
      <c r="G65" s="616" t="s">
        <v>2257</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2187</v>
      </c>
      <c r="C67" s="535" t="s">
        <v>2175</v>
      </c>
      <c r="D67" s="535" t="s">
        <v>2176</v>
      </c>
      <c r="E67" s="535" t="s">
        <v>2177</v>
      </c>
      <c r="F67" s="535" t="s">
        <v>2178</v>
      </c>
      <c r="G67" s="535" t="s">
        <v>2179</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2307</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2141</v>
      </c>
      <c r="B77" s="485" t="s">
        <v>2194</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2310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2311</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2319</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2320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2321</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4" sqref="C14:H1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2322</v>
      </c>
      <c r="B1" s="355"/>
      <c r="C1" s="356" t="s">
        <v>2323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1905</v>
      </c>
      <c r="B2" s="627" t="e">
        <f>F65</f>
        <v>#DIV/0!</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1907</v>
      </c>
      <c r="B3" s="566" t="e">
        <f>ROUND(IF(D3="",B2*10000/'数据-汇总表'!E3,B2*10000/D3),0)</f>
        <v>#DIV/0!</v>
      </c>
      <c r="C3" s="209" t="s">
        <v>2324</v>
      </c>
      <c r="D3" s="1307"/>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2223</v>
      </c>
      <c r="B4" s="362"/>
      <c r="C4" s="3535" t="s">
        <v>2224</v>
      </c>
      <c r="D4" s="3536"/>
      <c r="E4" s="3537" t="s">
        <v>2225</v>
      </c>
      <c r="F4" s="3538"/>
      <c r="G4" s="3535" t="s">
        <v>2226</v>
      </c>
      <c r="H4" s="3536"/>
      <c r="I4" s="3535" t="s">
        <v>2227</v>
      </c>
      <c r="J4" s="3536"/>
      <c r="K4" s="567" t="s">
        <v>2228</v>
      </c>
      <c r="L4" s="2892"/>
      <c r="M4" s="2893"/>
      <c r="N4" s="2893"/>
      <c r="O4" s="2893"/>
      <c r="P4" s="3539" t="s">
        <v>2229</v>
      </c>
      <c r="Q4" s="3540"/>
      <c r="R4" s="3545" t="s">
        <v>2225</v>
      </c>
      <c r="S4" s="3546"/>
      <c r="T4" s="3545" t="s">
        <v>2226</v>
      </c>
      <c r="U4" s="3546"/>
      <c r="V4" s="3551" t="s">
        <v>2227</v>
      </c>
      <c r="W4" s="3551"/>
      <c r="X4" s="1489"/>
      <c r="Y4" s="3545" t="s">
        <v>2229</v>
      </c>
      <c r="Z4" s="3546"/>
      <c r="AA4" s="3532" t="s">
        <v>2225</v>
      </c>
      <c r="AB4" s="3533" t="s">
        <v>2226</v>
      </c>
      <c r="AC4" s="3532" t="s">
        <v>2227</v>
      </c>
    </row>
    <row r="5" spans="1:30" ht="15">
      <c r="A5" s="364"/>
      <c r="B5" s="365"/>
      <c r="C5" s="3554" t="s">
        <v>2120</v>
      </c>
      <c r="D5" s="3555"/>
      <c r="E5" s="3561" t="s">
        <v>2121</v>
      </c>
      <c r="F5" s="3562"/>
      <c r="G5" s="3554" t="s">
        <v>2122</v>
      </c>
      <c r="H5" s="3555"/>
      <c r="I5" s="3554" t="s">
        <v>2123</v>
      </c>
      <c r="J5" s="3555"/>
      <c r="K5" s="567"/>
      <c r="L5" s="2892"/>
      <c r="M5" s="2893"/>
      <c r="N5" s="2893"/>
      <c r="O5" s="2893"/>
      <c r="P5" s="3541"/>
      <c r="Q5" s="3542"/>
      <c r="R5" s="3547"/>
      <c r="S5" s="3548"/>
      <c r="T5" s="3547"/>
      <c r="U5" s="3548"/>
      <c r="V5" s="3551"/>
      <c r="W5" s="3551"/>
      <c r="X5" s="1489"/>
      <c r="Y5" s="3547"/>
      <c r="Z5" s="3548"/>
      <c r="AA5" s="3533"/>
      <c r="AB5" s="3533"/>
      <c r="AC5" s="3533"/>
    </row>
    <row r="6" spans="1:30" ht="15.75" thickBot="1">
      <c r="A6" s="366"/>
      <c r="B6" s="367"/>
      <c r="C6" s="3552" t="s">
        <v>2124</v>
      </c>
      <c r="D6" s="3553"/>
      <c r="E6" s="3559" t="s">
        <v>2124</v>
      </c>
      <c r="F6" s="3560"/>
      <c r="G6" s="3552" t="s">
        <v>2124</v>
      </c>
      <c r="H6" s="3553"/>
      <c r="I6" s="3552" t="s">
        <v>2124</v>
      </c>
      <c r="J6" s="3553"/>
      <c r="K6" s="567" t="s">
        <v>2125</v>
      </c>
      <c r="L6" s="2892"/>
      <c r="M6" s="2893"/>
      <c r="N6" s="2893"/>
      <c r="O6" s="2893"/>
      <c r="P6" s="3543"/>
      <c r="Q6" s="3544"/>
      <c r="R6" s="3547"/>
      <c r="S6" s="3548"/>
      <c r="T6" s="3549"/>
      <c r="U6" s="3550"/>
      <c r="V6" s="3551"/>
      <c r="W6" s="3551"/>
      <c r="X6" s="1489"/>
      <c r="Y6" s="3549"/>
      <c r="Z6" s="3550"/>
      <c r="AA6" s="3534"/>
      <c r="AB6" s="3534"/>
      <c r="AC6" s="3534"/>
    </row>
    <row r="7" spans="1:30" s="113" customFormat="1" ht="15.75" thickBot="1">
      <c r="A7" s="368" t="s">
        <v>2126</v>
      </c>
      <c r="B7" s="369"/>
      <c r="C7" s="370">
        <f>'数据-取费表'!B2</f>
        <v>44769</v>
      </c>
      <c r="D7" s="371">
        <v>100</v>
      </c>
      <c r="E7" s="372"/>
      <c r="F7" s="373">
        <f>SUMIF(69:69,YEAR(E7)&amp;"-"&amp;INT((MONTH(E7)+2)/3),70:70)</f>
        <v>0</v>
      </c>
      <c r="G7" s="2109"/>
      <c r="H7" s="371">
        <f>SUMIF(69:69,YEAR(G7)&amp;"-"&amp;INT((MONTH(G7)+2)/3),70:70)</f>
        <v>0</v>
      </c>
      <c r="I7" s="2109"/>
      <c r="J7" s="371">
        <f>SUMIF(69:69,YEAR(I7)&amp;"-"&amp;INT((MONTH(I7)+2)/3),70:70)</f>
        <v>0</v>
      </c>
      <c r="K7" s="568"/>
      <c r="L7" s="2894"/>
      <c r="M7" s="2895"/>
      <c r="N7" s="2895"/>
      <c r="O7" s="2895"/>
      <c r="P7" s="3556" t="s">
        <v>2127</v>
      </c>
      <c r="Q7" s="3558"/>
      <c r="R7" s="710" t="s">
        <v>17</v>
      </c>
      <c r="S7" s="711">
        <f t="shared" ref="S7:S15" si="0">F7</f>
        <v>0</v>
      </c>
      <c r="T7" s="710" t="s">
        <v>17</v>
      </c>
      <c r="U7" s="711">
        <f t="shared" ref="U7:U15" si="1">H7</f>
        <v>0</v>
      </c>
      <c r="V7" s="710" t="s">
        <v>17</v>
      </c>
      <c r="W7" s="711">
        <f t="shared" ref="W7:W15" si="2">J7</f>
        <v>0</v>
      </c>
      <c r="X7" s="712"/>
      <c r="Y7" s="3556" t="s">
        <v>2127</v>
      </c>
      <c r="Z7" s="3557"/>
      <c r="AA7" s="713" t="e">
        <f>D7/F7</f>
        <v>#DIV/0!</v>
      </c>
      <c r="AB7" s="713" t="e">
        <f>D7/H7</f>
        <v>#DIV/0!</v>
      </c>
      <c r="AC7" s="713" t="e">
        <f>D7/J7</f>
        <v>#DIV/0!</v>
      </c>
    </row>
    <row r="8" spans="1:30" s="113" customFormat="1" ht="15.75" thickBot="1">
      <c r="A8" s="368" t="s">
        <v>2128</v>
      </c>
      <c r="B8" s="369"/>
      <c r="C8" s="374" t="s">
        <v>2129</v>
      </c>
      <c r="D8" s="371">
        <v>100</v>
      </c>
      <c r="E8" s="374"/>
      <c r="F8" s="373">
        <f>SUMIF(72:72,E8,73:73)-SUMIF(72:72,C8,73:73)+100</f>
        <v>0</v>
      </c>
      <c r="G8" s="374"/>
      <c r="H8" s="371">
        <f>SUMIF(72:72,G8,73:73)-SUMIF(72:72,C8,73:73)+100</f>
        <v>0</v>
      </c>
      <c r="I8" s="374"/>
      <c r="J8" s="371">
        <f>SUMIF(72:72,I8,73:73)-SUMIF(72:72,C8,73:73)+100</f>
        <v>0</v>
      </c>
      <c r="K8" s="568"/>
      <c r="L8" s="2894"/>
      <c r="M8" s="2895"/>
      <c r="N8" s="2895"/>
      <c r="O8" s="2895"/>
      <c r="P8" s="3556" t="s">
        <v>2130</v>
      </c>
      <c r="Q8" s="3557"/>
      <c r="R8" s="710" t="s">
        <v>17</v>
      </c>
      <c r="S8" s="711">
        <f t="shared" si="0"/>
        <v>0</v>
      </c>
      <c r="T8" s="710" t="s">
        <v>17</v>
      </c>
      <c r="U8" s="711">
        <f t="shared" si="1"/>
        <v>0</v>
      </c>
      <c r="V8" s="710" t="s">
        <v>17</v>
      </c>
      <c r="W8" s="711">
        <f t="shared" si="2"/>
        <v>0</v>
      </c>
      <c r="X8" s="712"/>
      <c r="Y8" s="3556" t="s">
        <v>2130</v>
      </c>
      <c r="Z8" s="3557"/>
      <c r="AA8" s="713" t="e">
        <f t="shared" ref="AA8:AA45" si="3">D8/F8</f>
        <v>#DIV/0!</v>
      </c>
      <c r="AB8" s="713" t="e">
        <f t="shared" ref="AB8:AB45" si="4">D8/H8</f>
        <v>#DIV/0!</v>
      </c>
      <c r="AC8" s="713" t="e">
        <f t="shared" ref="AC8:AC45" si="5">D8/J8</f>
        <v>#DIV/0!</v>
      </c>
    </row>
    <row r="9" spans="1:30" s="113" customFormat="1">
      <c r="A9" s="375" t="s">
        <v>2131</v>
      </c>
      <c r="B9" s="67" t="s">
        <v>2132</v>
      </c>
      <c r="C9" s="2112"/>
      <c r="D9" s="131">
        <v>100</v>
      </c>
      <c r="E9" s="2112"/>
      <c r="F9" s="131">
        <f>SUMIF(74:74,E9,75:75)-SUMIF(74:74,C9,75:75)+100</f>
        <v>100</v>
      </c>
      <c r="G9" s="2112"/>
      <c r="H9" s="131">
        <f>SUMIF(74:74,G9,75:75)-SUMIF(74:74,C9,75:75)+100</f>
        <v>100</v>
      </c>
      <c r="I9" s="2112"/>
      <c r="J9" s="131">
        <f>SUMIF(74:74,I9,75:75)-SUMIF(74:74,C9,75:75)+100</f>
        <v>100</v>
      </c>
      <c r="K9" s="568"/>
      <c r="L9" s="2894"/>
      <c r="M9" s="2895"/>
      <c r="N9" s="2895"/>
      <c r="O9" s="2949"/>
      <c r="P9" s="3520" t="s">
        <v>2133</v>
      </c>
      <c r="Q9" s="1477" t="str">
        <f t="shared" ref="Q9:Q15" si="6">B9</f>
        <v>用途</v>
      </c>
      <c r="R9" s="710" t="s">
        <v>17</v>
      </c>
      <c r="S9" s="711">
        <f t="shared" si="0"/>
        <v>100</v>
      </c>
      <c r="T9" s="710" t="s">
        <v>17</v>
      </c>
      <c r="U9" s="711">
        <f t="shared" si="1"/>
        <v>100</v>
      </c>
      <c r="V9" s="710" t="s">
        <v>17</v>
      </c>
      <c r="W9" s="711">
        <f t="shared" si="2"/>
        <v>100</v>
      </c>
      <c r="X9" s="712"/>
      <c r="Y9" s="3392" t="s">
        <v>2134</v>
      </c>
      <c r="Z9" s="55" t="str">
        <f t="shared" ref="Z9:Z15" si="7">Q9</f>
        <v>用途</v>
      </c>
      <c r="AA9" s="713">
        <f t="shared" si="3"/>
        <v>1</v>
      </c>
      <c r="AB9" s="713">
        <f t="shared" si="4"/>
        <v>1</v>
      </c>
      <c r="AC9" s="713">
        <f t="shared" si="5"/>
        <v>1</v>
      </c>
    </row>
    <row r="10" spans="1:30" s="386" customFormat="1" ht="27">
      <c r="A10" s="380"/>
      <c r="B10" s="381" t="s">
        <v>2135</v>
      </c>
      <c r="C10" s="391"/>
      <c r="D10" s="132">
        <v>100</v>
      </c>
      <c r="E10" s="424"/>
      <c r="F10" s="132">
        <f>ROUND(100/'数据-取费表'!G16,0)</f>
        <v>106</v>
      </c>
      <c r="G10" s="422"/>
      <c r="H10" s="132">
        <f>ROUND(100/'数据-取费表'!G16,0)</f>
        <v>106</v>
      </c>
      <c r="I10" s="422"/>
      <c r="J10" s="132">
        <f>ROUND(100/'数据-取费表'!G16,0)</f>
        <v>106</v>
      </c>
      <c r="K10" s="628"/>
      <c r="L10" s="2896"/>
      <c r="M10" s="2897"/>
      <c r="N10" s="2897"/>
      <c r="O10" s="2950"/>
      <c r="P10" s="3520"/>
      <c r="Q10" s="1477" t="str">
        <f t="shared" si="6"/>
        <v>土地使用年限（年）</v>
      </c>
      <c r="R10" s="710" t="s">
        <v>17</v>
      </c>
      <c r="S10" s="711">
        <f t="shared" si="0"/>
        <v>106</v>
      </c>
      <c r="T10" s="710" t="s">
        <v>17</v>
      </c>
      <c r="U10" s="711">
        <f t="shared" si="1"/>
        <v>106</v>
      </c>
      <c r="V10" s="710" t="s">
        <v>17</v>
      </c>
      <c r="W10" s="711">
        <f t="shared" si="2"/>
        <v>106</v>
      </c>
      <c r="X10" s="712"/>
      <c r="Y10" s="3392"/>
      <c r="Z10" s="55" t="str">
        <f t="shared" si="7"/>
        <v>土地使用年限（年）</v>
      </c>
      <c r="AA10" s="713">
        <f t="shared" si="3"/>
        <v>0.94339622641509435</v>
      </c>
      <c r="AB10" s="713">
        <f t="shared" si="4"/>
        <v>0.94339622641509435</v>
      </c>
      <c r="AC10" s="713">
        <f t="shared" si="5"/>
        <v>0.94339622641509435</v>
      </c>
    </row>
    <row r="11" spans="1:30" ht="15">
      <c r="A11" s="387"/>
      <c r="B11" s="381" t="s">
        <v>2136</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8"/>
      <c r="M11" s="2893"/>
      <c r="N11" s="2893"/>
      <c r="O11" s="2951"/>
      <c r="P11" s="3520"/>
      <c r="Q11" s="1477" t="str">
        <f t="shared" si="6"/>
        <v>容积率</v>
      </c>
      <c r="R11" s="710" t="s">
        <v>17</v>
      </c>
      <c r="S11" s="711" t="e">
        <f t="shared" si="0"/>
        <v>#N/A</v>
      </c>
      <c r="T11" s="710" t="s">
        <v>17</v>
      </c>
      <c r="U11" s="711" t="e">
        <f t="shared" si="1"/>
        <v>#N/A</v>
      </c>
      <c r="V11" s="710" t="s">
        <v>17</v>
      </c>
      <c r="W11" s="711" t="e">
        <f t="shared" si="2"/>
        <v>#N/A</v>
      </c>
      <c r="X11" s="712"/>
      <c r="Y11" s="3392"/>
      <c r="Z11" s="55" t="str">
        <f t="shared" si="7"/>
        <v>容积率</v>
      </c>
      <c r="AA11" s="713" t="e">
        <f t="shared" si="3"/>
        <v>#N/A</v>
      </c>
      <c r="AB11" s="713" t="e">
        <f t="shared" si="4"/>
        <v>#N/A</v>
      </c>
      <c r="AC11" s="713" t="e">
        <f t="shared" si="5"/>
        <v>#N/A</v>
      </c>
    </row>
    <row r="12" spans="1:30" s="113" customFormat="1" ht="15">
      <c r="A12" s="390"/>
      <c r="B12" s="2028" t="s">
        <v>2325</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520"/>
      <c r="Q12" s="1477" t="str">
        <f t="shared" si="6"/>
        <v>配建</v>
      </c>
      <c r="R12" s="710" t="s">
        <v>17</v>
      </c>
      <c r="S12" s="711">
        <f t="shared" si="0"/>
        <v>100</v>
      </c>
      <c r="T12" s="710" t="s">
        <v>17</v>
      </c>
      <c r="U12" s="711">
        <f t="shared" si="1"/>
        <v>100</v>
      </c>
      <c r="V12" s="710" t="s">
        <v>17</v>
      </c>
      <c r="W12" s="711">
        <f t="shared" si="2"/>
        <v>100</v>
      </c>
      <c r="X12" s="712"/>
      <c r="Y12" s="3392"/>
      <c r="Z12" s="55" t="str">
        <f t="shared" si="7"/>
        <v>配建</v>
      </c>
      <c r="AA12" s="713">
        <f>D12/F12</f>
        <v>1</v>
      </c>
      <c r="AB12" s="713">
        <f>D12/H12</f>
        <v>1</v>
      </c>
      <c r="AC12" s="713">
        <f>D12/J12</f>
        <v>1</v>
      </c>
    </row>
    <row r="13" spans="1:30" ht="15">
      <c r="A13" s="387"/>
      <c r="B13" s="2028">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520"/>
      <c r="Q13" s="1477">
        <f t="shared" si="6"/>
        <v>111</v>
      </c>
      <c r="R13" s="710" t="s">
        <v>17</v>
      </c>
      <c r="S13" s="711">
        <f t="shared" si="0"/>
        <v>100</v>
      </c>
      <c r="T13" s="710" t="s">
        <v>17</v>
      </c>
      <c r="U13" s="711">
        <f t="shared" si="1"/>
        <v>100</v>
      </c>
      <c r="V13" s="710" t="s">
        <v>17</v>
      </c>
      <c r="W13" s="711">
        <f t="shared" si="2"/>
        <v>100</v>
      </c>
      <c r="X13" s="712"/>
      <c r="Y13" s="3392"/>
      <c r="Z13" s="55">
        <f t="shared" si="7"/>
        <v>111</v>
      </c>
      <c r="AA13" s="713">
        <f>D13/F13</f>
        <v>1</v>
      </c>
      <c r="AB13" s="713">
        <f>D13/H13</f>
        <v>1</v>
      </c>
      <c r="AC13" s="713">
        <f>D13/J13</f>
        <v>1</v>
      </c>
    </row>
    <row r="14" spans="1:30" ht="15.75" thickBot="1">
      <c r="A14" s="395"/>
      <c r="B14" s="2030">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520"/>
      <c r="Q14" s="1477">
        <f t="shared" si="6"/>
        <v>111</v>
      </c>
      <c r="R14" s="710" t="s">
        <v>17</v>
      </c>
      <c r="S14" s="711">
        <f t="shared" si="0"/>
        <v>100</v>
      </c>
      <c r="T14" s="710" t="s">
        <v>17</v>
      </c>
      <c r="U14" s="711">
        <f t="shared" si="1"/>
        <v>100</v>
      </c>
      <c r="V14" s="710" t="s">
        <v>17</v>
      </c>
      <c r="W14" s="711">
        <f t="shared" si="2"/>
        <v>100</v>
      </c>
      <c r="X14" s="712"/>
      <c r="Y14" s="3392"/>
      <c r="Z14" s="55">
        <f t="shared" si="7"/>
        <v>111</v>
      </c>
      <c r="AA14" s="713">
        <f>D14/F14</f>
        <v>1</v>
      </c>
      <c r="AB14" s="713">
        <f>D14/H14</f>
        <v>1</v>
      </c>
      <c r="AC14" s="713">
        <f>D14/J14</f>
        <v>1</v>
      </c>
    </row>
    <row r="15" spans="1:30" ht="99.75">
      <c r="A15" s="399" t="s">
        <v>2137</v>
      </c>
      <c r="B15" s="65" t="s">
        <v>1700</v>
      </c>
      <c r="C15" s="2031"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522" t="s">
        <v>2138</v>
      </c>
      <c r="Q15" s="1486" t="str">
        <f t="shared" si="6"/>
        <v>居住社区成熟度</v>
      </c>
      <c r="R15" s="714" t="s">
        <v>17</v>
      </c>
      <c r="S15" s="715">
        <f t="shared" si="0"/>
        <v>100</v>
      </c>
      <c r="T15" s="714" t="s">
        <v>17</v>
      </c>
      <c r="U15" s="715">
        <f t="shared" si="1"/>
        <v>100</v>
      </c>
      <c r="V15" s="714" t="s">
        <v>17</v>
      </c>
      <c r="W15" s="715">
        <f t="shared" si="2"/>
        <v>100</v>
      </c>
      <c r="X15" s="1489"/>
      <c r="Y15" s="3522" t="s">
        <v>2138</v>
      </c>
      <c r="Z15" s="1490" t="str">
        <f t="shared" si="7"/>
        <v>居住社区成熟度</v>
      </c>
      <c r="AA15" s="1487">
        <f t="shared" si="3"/>
        <v>1</v>
      </c>
      <c r="AB15" s="1487">
        <f t="shared" si="4"/>
        <v>1</v>
      </c>
      <c r="AC15" s="1487">
        <f t="shared" si="5"/>
        <v>1</v>
      </c>
    </row>
    <row r="16" spans="1:30" ht="15">
      <c r="A16" s="387"/>
      <c r="B16" s="405"/>
      <c r="C16" s="406"/>
      <c r="D16" s="407"/>
      <c r="E16" s="2033"/>
      <c r="F16" s="407"/>
      <c r="G16" s="2033"/>
      <c r="H16" s="409"/>
      <c r="I16" s="2032"/>
      <c r="J16" s="407"/>
      <c r="K16" s="628"/>
      <c r="L16" s="2899"/>
      <c r="M16" s="2893"/>
      <c r="N16" s="2893"/>
      <c r="O16" s="2951"/>
      <c r="P16" s="3523"/>
      <c r="Q16" s="1486"/>
      <c r="R16" s="714"/>
      <c r="S16" s="715"/>
      <c r="T16" s="714"/>
      <c r="U16" s="715"/>
      <c r="V16" s="714"/>
      <c r="W16" s="715"/>
      <c r="X16" s="1489"/>
      <c r="Y16" s="3523"/>
      <c r="Z16" s="1490"/>
      <c r="AA16" s="1487">
        <v>1</v>
      </c>
      <c r="AB16" s="1487">
        <v>1</v>
      </c>
      <c r="AC16" s="1487">
        <v>1</v>
      </c>
    </row>
    <row r="17" spans="1:29" ht="71.25">
      <c r="A17" s="387"/>
      <c r="B17" s="410" t="s">
        <v>2231</v>
      </c>
      <c r="C17" s="2090"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523"/>
      <c r="Q17" s="1486" t="str">
        <f>B17</f>
        <v>商业繁华度</v>
      </c>
      <c r="R17" s="714" t="s">
        <v>17</v>
      </c>
      <c r="S17" s="715">
        <f>F17</f>
        <v>100</v>
      </c>
      <c r="T17" s="714" t="s">
        <v>17</v>
      </c>
      <c r="U17" s="715">
        <f>H17</f>
        <v>100</v>
      </c>
      <c r="V17" s="714" t="s">
        <v>17</v>
      </c>
      <c r="W17" s="715">
        <f>J17</f>
        <v>100</v>
      </c>
      <c r="X17" s="1489"/>
      <c r="Y17" s="3523"/>
      <c r="Z17" s="1490" t="str">
        <f>Q17</f>
        <v>商业繁华度</v>
      </c>
      <c r="AA17" s="1487">
        <f t="shared" si="3"/>
        <v>1</v>
      </c>
      <c r="AB17" s="1487">
        <f t="shared" si="4"/>
        <v>1</v>
      </c>
      <c r="AC17" s="1487">
        <f t="shared" si="5"/>
        <v>1</v>
      </c>
    </row>
    <row r="18" spans="1:29" ht="15">
      <c r="A18" s="387"/>
      <c r="B18" s="415"/>
      <c r="C18" s="2036"/>
      <c r="D18" s="409"/>
      <c r="E18" s="2038"/>
      <c r="F18" s="409"/>
      <c r="G18" s="2038"/>
      <c r="H18" s="407"/>
      <c r="I18" s="2037"/>
      <c r="J18" s="407"/>
      <c r="K18" s="628"/>
      <c r="L18" s="2899"/>
      <c r="M18" s="2893"/>
      <c r="N18" s="2893"/>
      <c r="O18" s="2951"/>
      <c r="P18" s="3523"/>
      <c r="Q18" s="1486"/>
      <c r="R18" s="714"/>
      <c r="S18" s="715"/>
      <c r="T18" s="714"/>
      <c r="U18" s="715"/>
      <c r="V18" s="714"/>
      <c r="W18" s="715"/>
      <c r="X18" s="1489"/>
      <c r="Y18" s="3523"/>
      <c r="Z18" s="1490"/>
      <c r="AA18" s="1487">
        <v>1</v>
      </c>
      <c r="AB18" s="1487">
        <v>1</v>
      </c>
      <c r="AC18" s="1487">
        <v>1</v>
      </c>
    </row>
    <row r="19" spans="1:29" ht="71.25">
      <c r="A19" s="387"/>
      <c r="B19" s="410" t="s">
        <v>2265</v>
      </c>
      <c r="C19" s="2090"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523"/>
      <c r="Q19" s="1486" t="str">
        <f>B19</f>
        <v>办公集聚程度</v>
      </c>
      <c r="R19" s="714" t="s">
        <v>17</v>
      </c>
      <c r="S19" s="715">
        <f>F19</f>
        <v>100</v>
      </c>
      <c r="T19" s="714" t="s">
        <v>17</v>
      </c>
      <c r="U19" s="715">
        <f>H19</f>
        <v>100</v>
      </c>
      <c r="V19" s="714" t="s">
        <v>17</v>
      </c>
      <c r="W19" s="715">
        <f>J19</f>
        <v>100</v>
      </c>
      <c r="X19" s="1489"/>
      <c r="Y19" s="3523"/>
      <c r="Z19" s="1490" t="str">
        <f>Q19</f>
        <v>办公集聚程度</v>
      </c>
      <c r="AA19" s="1487">
        <f t="shared" si="3"/>
        <v>1</v>
      </c>
      <c r="AB19" s="1487">
        <f t="shared" si="4"/>
        <v>1</v>
      </c>
      <c r="AC19" s="1487">
        <f t="shared" si="5"/>
        <v>1</v>
      </c>
    </row>
    <row r="20" spans="1:29" ht="15">
      <c r="A20" s="387"/>
      <c r="B20" s="415"/>
      <c r="C20" s="406"/>
      <c r="D20" s="407"/>
      <c r="E20" s="2033"/>
      <c r="F20" s="407"/>
      <c r="G20" s="2033"/>
      <c r="H20" s="407"/>
      <c r="I20" s="2032"/>
      <c r="J20" s="407"/>
      <c r="K20" s="628"/>
      <c r="L20" s="2899"/>
      <c r="M20" s="2893"/>
      <c r="N20" s="2893"/>
      <c r="O20" s="2951"/>
      <c r="P20" s="3523"/>
      <c r="Q20" s="1486"/>
      <c r="R20" s="714"/>
      <c r="S20" s="715"/>
      <c r="T20" s="714"/>
      <c r="U20" s="715"/>
      <c r="V20" s="714"/>
      <c r="W20" s="715"/>
      <c r="X20" s="1489"/>
      <c r="Y20" s="3523"/>
      <c r="Z20" s="1490"/>
      <c r="AA20" s="1487">
        <v>1</v>
      </c>
      <c r="AB20" s="1487">
        <v>1</v>
      </c>
      <c r="AC20" s="1487">
        <v>1</v>
      </c>
    </row>
    <row r="21" spans="1:29" ht="85.5">
      <c r="A21" s="387"/>
      <c r="B21" s="410" t="s">
        <v>2287</v>
      </c>
      <c r="C21" s="2035"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9"/>
      <c r="M21" s="2893"/>
      <c r="N21" s="2893"/>
      <c r="O21" s="2951"/>
      <c r="P21" s="3523"/>
      <c r="Q21" s="1486" t="str">
        <f>B21</f>
        <v>交通便捷度</v>
      </c>
      <c r="R21" s="714" t="s">
        <v>17</v>
      </c>
      <c r="S21" s="715">
        <f>F21</f>
        <v>100</v>
      </c>
      <c r="T21" s="714" t="s">
        <v>17</v>
      </c>
      <c r="U21" s="715">
        <f>H21</f>
        <v>100</v>
      </c>
      <c r="V21" s="714" t="s">
        <v>17</v>
      </c>
      <c r="W21" s="715">
        <f>J21</f>
        <v>100</v>
      </c>
      <c r="X21" s="1489"/>
      <c r="Y21" s="3523"/>
      <c r="Z21" s="1490" t="str">
        <f>Q21</f>
        <v>交通便捷度</v>
      </c>
      <c r="AA21" s="1487">
        <f t="shared" si="3"/>
        <v>1</v>
      </c>
      <c r="AB21" s="1487">
        <f t="shared" si="4"/>
        <v>1</v>
      </c>
      <c r="AC21" s="1487">
        <f t="shared" si="5"/>
        <v>1</v>
      </c>
    </row>
    <row r="22" spans="1:29" ht="15">
      <c r="A22" s="387"/>
      <c r="B22" s="1246"/>
      <c r="C22" s="406"/>
      <c r="D22" s="409"/>
      <c r="E22" s="2033"/>
      <c r="F22" s="407"/>
      <c r="G22" s="2033"/>
      <c r="H22" s="407"/>
      <c r="I22" s="2032"/>
      <c r="J22" s="407"/>
      <c r="K22" s="628"/>
      <c r="L22" s="2899"/>
      <c r="M22" s="2893"/>
      <c r="N22" s="2893"/>
      <c r="O22" s="2951"/>
      <c r="P22" s="3523"/>
      <c r="Q22" s="1486"/>
      <c r="R22" s="714"/>
      <c r="S22" s="715"/>
      <c r="T22" s="714"/>
      <c r="U22" s="715"/>
      <c r="V22" s="714"/>
      <c r="W22" s="715"/>
      <c r="X22" s="1489"/>
      <c r="Y22" s="3523"/>
      <c r="Z22" s="1490"/>
      <c r="AA22" s="1487">
        <v>1</v>
      </c>
      <c r="AB22" s="1487">
        <v>1</v>
      </c>
      <c r="AC22" s="1487">
        <v>1</v>
      </c>
    </row>
    <row r="23" spans="1:29" ht="15">
      <c r="A23" s="364"/>
      <c r="B23" s="410" t="s">
        <v>2326</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523"/>
      <c r="Q23" s="1486" t="str">
        <f t="shared" ref="Q23:Q37" si="8">B23</f>
        <v>区域土地利用方向</v>
      </c>
      <c r="R23" s="714" t="s">
        <v>17</v>
      </c>
      <c r="S23" s="715">
        <f>F23</f>
        <v>100</v>
      </c>
      <c r="T23" s="714" t="s">
        <v>17</v>
      </c>
      <c r="U23" s="715">
        <f>H23</f>
        <v>100</v>
      </c>
      <c r="V23" s="714" t="s">
        <v>17</v>
      </c>
      <c r="W23" s="715">
        <f>J23</f>
        <v>100</v>
      </c>
      <c r="X23" s="1489"/>
      <c r="Y23" s="3523"/>
      <c r="Z23" s="1490" t="str">
        <f>Q23</f>
        <v>区域土地利用方向</v>
      </c>
      <c r="AA23" s="1487">
        <f t="shared" si="3"/>
        <v>1</v>
      </c>
      <c r="AB23" s="1487">
        <f t="shared" si="4"/>
        <v>1</v>
      </c>
      <c r="AC23" s="1487">
        <f t="shared" si="5"/>
        <v>1</v>
      </c>
    </row>
    <row r="24" spans="1:29" ht="15">
      <c r="A24" s="364"/>
      <c r="B24" s="415"/>
      <c r="C24" s="573"/>
      <c r="D24" s="407"/>
      <c r="E24" s="2033"/>
      <c r="F24" s="407"/>
      <c r="G24" s="2032"/>
      <c r="H24" s="407"/>
      <c r="I24" s="2032"/>
      <c r="J24" s="407"/>
      <c r="K24" s="751"/>
      <c r="L24" s="2899"/>
      <c r="M24" s="2893"/>
      <c r="N24" s="2893"/>
      <c r="O24" s="2951"/>
      <c r="P24" s="3523"/>
      <c r="Q24" s="1486"/>
      <c r="R24" s="714"/>
      <c r="S24" s="715"/>
      <c r="T24" s="714"/>
      <c r="U24" s="715"/>
      <c r="V24" s="714"/>
      <c r="W24" s="715"/>
      <c r="X24" s="1489"/>
      <c r="Y24" s="3523"/>
      <c r="Z24" s="1490"/>
      <c r="AA24" s="1487"/>
      <c r="AB24" s="1487"/>
      <c r="AC24" s="1487"/>
    </row>
    <row r="25" spans="1:29" ht="57">
      <c r="A25" s="364"/>
      <c r="B25" s="1246" t="s">
        <v>2327</v>
      </c>
      <c r="C25" s="2090"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523"/>
      <c r="Q25" s="1486" t="str">
        <f t="shared" si="8"/>
        <v>自然及人文环境状况</v>
      </c>
      <c r="R25" s="714" t="s">
        <v>17</v>
      </c>
      <c r="S25" s="715">
        <f>F25</f>
        <v>100</v>
      </c>
      <c r="T25" s="714" t="s">
        <v>17</v>
      </c>
      <c r="U25" s="715">
        <f>H25</f>
        <v>100</v>
      </c>
      <c r="V25" s="714" t="s">
        <v>17</v>
      </c>
      <c r="W25" s="715">
        <f>J25</f>
        <v>100</v>
      </c>
      <c r="X25" s="1489"/>
      <c r="Y25" s="3523"/>
      <c r="Z25" s="1490" t="str">
        <f>Q25</f>
        <v>自然及人文环境状况</v>
      </c>
      <c r="AA25" s="1487">
        <f t="shared" si="3"/>
        <v>1</v>
      </c>
      <c r="AB25" s="1487">
        <f t="shared" si="4"/>
        <v>1</v>
      </c>
      <c r="AC25" s="1487">
        <f t="shared" si="5"/>
        <v>1</v>
      </c>
    </row>
    <row r="26" spans="1:29" ht="15">
      <c r="A26" s="364"/>
      <c r="B26" s="415"/>
      <c r="C26" s="406"/>
      <c r="D26" s="407"/>
      <c r="E26" s="2039"/>
      <c r="F26" s="407"/>
      <c r="G26" s="2039"/>
      <c r="H26" s="407"/>
      <c r="I26" s="406"/>
      <c r="J26" s="407"/>
      <c r="K26" s="628"/>
      <c r="L26" s="2899"/>
      <c r="M26" s="2893"/>
      <c r="N26" s="2893"/>
      <c r="O26" s="2951"/>
      <c r="P26" s="3523"/>
      <c r="Q26" s="1486"/>
      <c r="R26" s="714"/>
      <c r="S26" s="715"/>
      <c r="T26" s="714"/>
      <c r="U26" s="715"/>
      <c r="V26" s="714"/>
      <c r="W26" s="715"/>
      <c r="X26" s="1489"/>
      <c r="Y26" s="3523"/>
      <c r="Z26" s="1490"/>
      <c r="AA26" s="1487">
        <v>1</v>
      </c>
      <c r="AB26" s="1487">
        <v>1</v>
      </c>
      <c r="AC26" s="1487">
        <v>1</v>
      </c>
    </row>
    <row r="27" spans="1:29" s="113" customFormat="1" ht="42.75">
      <c r="A27" s="605"/>
      <c r="B27" s="1246" t="s">
        <v>2232</v>
      </c>
      <c r="C27" s="2035"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4"/>
      <c r="M27" s="2895"/>
      <c r="N27" s="2895"/>
      <c r="O27" s="2949"/>
      <c r="P27" s="3523"/>
      <c r="Q27" s="1477" t="str">
        <f t="shared" si="8"/>
        <v>公共配套设施</v>
      </c>
      <c r="R27" s="710" t="s">
        <v>17</v>
      </c>
      <c r="S27" s="711">
        <f>F27</f>
        <v>100</v>
      </c>
      <c r="T27" s="710" t="s">
        <v>17</v>
      </c>
      <c r="U27" s="711">
        <f>H27</f>
        <v>100</v>
      </c>
      <c r="V27" s="710" t="s">
        <v>17</v>
      </c>
      <c r="W27" s="711">
        <f>J27</f>
        <v>100</v>
      </c>
      <c r="X27" s="712"/>
      <c r="Y27" s="3523"/>
      <c r="Z27" s="55" t="str">
        <f>Q27</f>
        <v>公共配套设施</v>
      </c>
      <c r="AA27" s="1487">
        <f>D27/F27</f>
        <v>1</v>
      </c>
      <c r="AB27" s="1487">
        <f>D27/H27</f>
        <v>1</v>
      </c>
      <c r="AC27" s="1487">
        <f>D27/J27</f>
        <v>1</v>
      </c>
    </row>
    <row r="28" spans="1:29" s="113" customFormat="1" ht="15">
      <c r="A28" s="605"/>
      <c r="B28" s="415"/>
      <c r="C28" s="2113"/>
      <c r="D28" s="407"/>
      <c r="E28" s="2039"/>
      <c r="F28" s="407"/>
      <c r="G28" s="2039"/>
      <c r="H28" s="407"/>
      <c r="I28" s="406"/>
      <c r="J28" s="407"/>
      <c r="K28" s="628"/>
      <c r="L28" s="2894"/>
      <c r="M28" s="2895"/>
      <c r="N28" s="2895"/>
      <c r="O28" s="2949"/>
      <c r="P28" s="3523"/>
      <c r="Q28" s="1477"/>
      <c r="R28" s="710"/>
      <c r="S28" s="711"/>
      <c r="T28" s="710"/>
      <c r="U28" s="711"/>
      <c r="V28" s="710"/>
      <c r="W28" s="711"/>
      <c r="X28" s="712"/>
      <c r="Y28" s="3523"/>
      <c r="Z28" s="55"/>
      <c r="AA28" s="1487">
        <v>1</v>
      </c>
      <c r="AB28" s="1487">
        <v>1</v>
      </c>
      <c r="AC28" s="1487">
        <v>1</v>
      </c>
    </row>
    <row r="29" spans="1:29" s="113" customFormat="1" ht="28.5">
      <c r="A29" s="605"/>
      <c r="B29" s="1246" t="s">
        <v>2233</v>
      </c>
      <c r="C29" s="2035"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523"/>
      <c r="Q29" s="1477" t="str">
        <f t="shared" ref="Q29" si="9">B29</f>
        <v>基础设施水平</v>
      </c>
      <c r="R29" s="710" t="s">
        <v>17</v>
      </c>
      <c r="S29" s="711">
        <f>F29</f>
        <v>100</v>
      </c>
      <c r="T29" s="710" t="s">
        <v>17</v>
      </c>
      <c r="U29" s="711">
        <f>H29</f>
        <v>100</v>
      </c>
      <c r="V29" s="710" t="s">
        <v>17</v>
      </c>
      <c r="W29" s="711">
        <f>J29</f>
        <v>100</v>
      </c>
      <c r="X29" s="712"/>
      <c r="Y29" s="3523"/>
      <c r="Z29" s="55" t="str">
        <f>Q29</f>
        <v>基础设施水平</v>
      </c>
      <c r="AA29" s="1487">
        <f>D29/F29</f>
        <v>1</v>
      </c>
      <c r="AB29" s="1487">
        <f>D29/H29</f>
        <v>1</v>
      </c>
      <c r="AC29" s="1487">
        <f>D29/J29</f>
        <v>1</v>
      </c>
    </row>
    <row r="30" spans="1:29" s="113" customFormat="1" ht="15">
      <c r="A30" s="605"/>
      <c r="B30" s="415"/>
      <c r="C30" s="2113"/>
      <c r="D30" s="407"/>
      <c r="E30" s="2114"/>
      <c r="F30" s="407"/>
      <c r="G30" s="2114"/>
      <c r="H30" s="407"/>
      <c r="I30" s="2114"/>
      <c r="J30" s="407"/>
      <c r="K30" s="628"/>
      <c r="L30" s="2894"/>
      <c r="M30" s="2895"/>
      <c r="N30" s="2895"/>
      <c r="O30" s="2949"/>
      <c r="P30" s="3523"/>
      <c r="Q30" s="1477"/>
      <c r="R30" s="710"/>
      <c r="S30" s="711"/>
      <c r="T30" s="710"/>
      <c r="U30" s="711"/>
      <c r="V30" s="710"/>
      <c r="W30" s="711"/>
      <c r="X30" s="712"/>
      <c r="Y30" s="3523"/>
      <c r="Z30" s="55"/>
      <c r="AA30" s="1487">
        <v>1</v>
      </c>
      <c r="AB30" s="1487">
        <v>1</v>
      </c>
      <c r="AC30" s="1487">
        <v>1</v>
      </c>
    </row>
    <row r="31" spans="1:29" ht="15">
      <c r="A31" s="387"/>
      <c r="B31" s="415" t="s">
        <v>2234</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523"/>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523"/>
      <c r="Z31" s="1490" t="str">
        <f t="shared" ref="Z31:Z45" si="13">Q31</f>
        <v>临街状况</v>
      </c>
      <c r="AA31" s="1487">
        <f t="shared" si="3"/>
        <v>1</v>
      </c>
      <c r="AB31" s="1487">
        <f t="shared" si="4"/>
        <v>1</v>
      </c>
      <c r="AC31" s="1487">
        <f t="shared" si="5"/>
        <v>1</v>
      </c>
    </row>
    <row r="32" spans="1:29" ht="27">
      <c r="A32" s="387"/>
      <c r="B32" s="1246" t="s">
        <v>2269</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523"/>
      <c r="Q32" s="1486" t="str">
        <f t="shared" si="8"/>
        <v>毗邻道路的类型与等级</v>
      </c>
      <c r="R32" s="714" t="s">
        <v>17</v>
      </c>
      <c r="S32" s="715">
        <f t="shared" si="10"/>
        <v>100</v>
      </c>
      <c r="T32" s="714" t="s">
        <v>17</v>
      </c>
      <c r="U32" s="715">
        <f t="shared" si="11"/>
        <v>100</v>
      </c>
      <c r="V32" s="714" t="s">
        <v>17</v>
      </c>
      <c r="W32" s="715">
        <f t="shared" si="12"/>
        <v>100</v>
      </c>
      <c r="X32" s="1489"/>
      <c r="Y32" s="3523"/>
      <c r="Z32" s="1490" t="str">
        <f t="shared" si="13"/>
        <v>毗邻道路的类型与等级</v>
      </c>
      <c r="AA32" s="1487">
        <f t="shared" si="3"/>
        <v>1</v>
      </c>
      <c r="AB32" s="1487">
        <f t="shared" si="4"/>
        <v>1</v>
      </c>
      <c r="AC32" s="1487">
        <f t="shared" si="5"/>
        <v>1</v>
      </c>
    </row>
    <row r="33" spans="1:29" ht="15">
      <c r="A33" s="387"/>
      <c r="B33" s="415"/>
      <c r="C33" s="406"/>
      <c r="D33" s="407"/>
      <c r="E33" s="2039"/>
      <c r="F33" s="407"/>
      <c r="G33" s="2039"/>
      <c r="H33" s="407"/>
      <c r="I33" s="406"/>
      <c r="J33" s="407"/>
      <c r="K33" s="570"/>
      <c r="L33" s="2899"/>
      <c r="M33" s="2893"/>
      <c r="N33" s="2893"/>
      <c r="O33" s="2951"/>
      <c r="P33" s="3523"/>
      <c r="Q33" s="1486"/>
      <c r="R33" s="714"/>
      <c r="S33" s="715"/>
      <c r="T33" s="714"/>
      <c r="U33" s="715"/>
      <c r="V33" s="714"/>
      <c r="W33" s="715"/>
      <c r="X33" s="1489"/>
      <c r="Y33" s="3523"/>
      <c r="Z33" s="1490"/>
      <c r="AA33" s="1487">
        <v>1</v>
      </c>
      <c r="AB33" s="1487">
        <v>1</v>
      </c>
      <c r="AC33" s="1487">
        <v>1</v>
      </c>
    </row>
    <row r="34" spans="1:29" ht="15">
      <c r="A34" s="387"/>
      <c r="B34" s="381" t="s">
        <v>2328</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523"/>
      <c r="Q34" s="1486" t="str">
        <f t="shared" si="8"/>
        <v>土地级别</v>
      </c>
      <c r="R34" s="714" t="s">
        <v>17</v>
      </c>
      <c r="S34" s="715">
        <f t="shared" si="10"/>
        <v>100</v>
      </c>
      <c r="T34" s="714" t="s">
        <v>17</v>
      </c>
      <c r="U34" s="715">
        <f t="shared" si="11"/>
        <v>100</v>
      </c>
      <c r="V34" s="714" t="s">
        <v>17</v>
      </c>
      <c r="W34" s="715">
        <f t="shared" si="12"/>
        <v>100</v>
      </c>
      <c r="X34" s="1489"/>
      <c r="Y34" s="3523"/>
      <c r="Z34" s="1490" t="str">
        <f t="shared" si="13"/>
        <v>土地级别</v>
      </c>
      <c r="AA34" s="1487">
        <f t="shared" si="3"/>
        <v>1</v>
      </c>
      <c r="AB34" s="1487">
        <f t="shared" si="4"/>
        <v>1</v>
      </c>
      <c r="AC34" s="1487">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523"/>
      <c r="Q35" s="1486">
        <f t="shared" si="8"/>
        <v>111</v>
      </c>
      <c r="R35" s="714" t="s">
        <v>17</v>
      </c>
      <c r="S35" s="715">
        <f t="shared" si="10"/>
        <v>100</v>
      </c>
      <c r="T35" s="714" t="s">
        <v>17</v>
      </c>
      <c r="U35" s="715">
        <f t="shared" si="11"/>
        <v>100</v>
      </c>
      <c r="V35" s="714" t="s">
        <v>17</v>
      </c>
      <c r="W35" s="715">
        <f t="shared" si="12"/>
        <v>100</v>
      </c>
      <c r="X35" s="1489"/>
      <c r="Y35" s="3523"/>
      <c r="Z35" s="1490">
        <f t="shared" si="13"/>
        <v>111</v>
      </c>
      <c r="AA35" s="1487">
        <f t="shared" si="3"/>
        <v>1</v>
      </c>
      <c r="AB35" s="1487">
        <f t="shared" si="4"/>
        <v>1</v>
      </c>
      <c r="AC35" s="1487">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578" t="s">
        <v>2143</v>
      </c>
      <c r="Q36" s="1486">
        <f t="shared" si="8"/>
        <v>111</v>
      </c>
      <c r="R36" s="714" t="s">
        <v>17</v>
      </c>
      <c r="S36" s="715">
        <f t="shared" si="10"/>
        <v>100</v>
      </c>
      <c r="T36" s="714" t="s">
        <v>17</v>
      </c>
      <c r="U36" s="715">
        <f t="shared" si="11"/>
        <v>100</v>
      </c>
      <c r="V36" s="714" t="s">
        <v>17</v>
      </c>
      <c r="W36" s="715">
        <f t="shared" si="12"/>
        <v>100</v>
      </c>
      <c r="X36" s="1489"/>
      <c r="Y36" s="3527" t="s">
        <v>2143</v>
      </c>
      <c r="Z36" s="1490">
        <f t="shared" si="13"/>
        <v>111</v>
      </c>
      <c r="AA36" s="1487">
        <f t="shared" si="3"/>
        <v>1</v>
      </c>
      <c r="AB36" s="1487">
        <f t="shared" si="4"/>
        <v>1</v>
      </c>
      <c r="AC36" s="1487">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527"/>
      <c r="Q37" s="1486">
        <f t="shared" si="8"/>
        <v>111</v>
      </c>
      <c r="R37" s="717" t="s">
        <v>17</v>
      </c>
      <c r="S37" s="718">
        <f t="shared" si="10"/>
        <v>100</v>
      </c>
      <c r="T37" s="717" t="s">
        <v>17</v>
      </c>
      <c r="U37" s="718">
        <f t="shared" si="11"/>
        <v>100</v>
      </c>
      <c r="V37" s="717" t="s">
        <v>17</v>
      </c>
      <c r="W37" s="718">
        <f t="shared" si="12"/>
        <v>100</v>
      </c>
      <c r="X37" s="719"/>
      <c r="Y37" s="3527"/>
      <c r="Z37" s="720">
        <f t="shared" si="13"/>
        <v>111</v>
      </c>
      <c r="AA37" s="1487">
        <f t="shared" si="3"/>
        <v>1</v>
      </c>
      <c r="AB37" s="1487">
        <f t="shared" si="4"/>
        <v>1</v>
      </c>
      <c r="AC37" s="1487">
        <f t="shared" si="5"/>
        <v>1</v>
      </c>
    </row>
    <row r="38" spans="1:29" ht="15">
      <c r="A38" s="431" t="s">
        <v>2141</v>
      </c>
      <c r="B38" s="415" t="s">
        <v>2329</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9"/>
      <c r="M38" s="2893"/>
      <c r="N38" s="2893"/>
      <c r="O38" s="2951"/>
      <c r="P38" s="3527"/>
      <c r="Q38" s="1486" t="str">
        <f>B38</f>
        <v>宗地面积</v>
      </c>
      <c r="R38" s="714" t="s">
        <v>17</v>
      </c>
      <c r="S38" s="715" t="e">
        <f t="shared" si="10"/>
        <v>#N/A</v>
      </c>
      <c r="T38" s="714" t="s">
        <v>17</v>
      </c>
      <c r="U38" s="715" t="e">
        <f t="shared" si="11"/>
        <v>#N/A</v>
      </c>
      <c r="V38" s="714" t="s">
        <v>17</v>
      </c>
      <c r="W38" s="715" t="e">
        <f t="shared" si="12"/>
        <v>#N/A</v>
      </c>
      <c r="X38" s="1489"/>
      <c r="Y38" s="3527"/>
      <c r="Z38" s="1490" t="str">
        <f t="shared" si="13"/>
        <v>宗地面积</v>
      </c>
      <c r="AA38" s="1487" t="e">
        <f t="shared" si="3"/>
        <v>#N/A</v>
      </c>
      <c r="AB38" s="1487" t="e">
        <f t="shared" si="4"/>
        <v>#N/A</v>
      </c>
      <c r="AC38" s="1487" t="e">
        <f t="shared" si="5"/>
        <v>#N/A</v>
      </c>
    </row>
    <row r="39" spans="1:29" ht="15">
      <c r="A39" s="431"/>
      <c r="B39" s="381" t="s">
        <v>2330</v>
      </c>
      <c r="C39" s="2041"/>
      <c r="D39" s="394">
        <v>100</v>
      </c>
      <c r="E39" s="2041"/>
      <c r="F39" s="394">
        <f>SUMIF(118:118,E39,119:119)-SUMIF(118:118,C39,119:119)+100</f>
        <v>100</v>
      </c>
      <c r="G39" s="2041"/>
      <c r="H39" s="394">
        <f>SUMIF(118:118,G39,119:119)-SUMIF(118:118,C39,119:119)+100</f>
        <v>100</v>
      </c>
      <c r="I39" s="2041"/>
      <c r="J39" s="394">
        <f>SUMIF(118:118,I39,119:119)-SUMIF(118:118,C39,119:119)+100</f>
        <v>100</v>
      </c>
      <c r="K39" s="569"/>
      <c r="L39" s="2899"/>
      <c r="M39" s="2893"/>
      <c r="N39" s="2893"/>
      <c r="O39" s="2951"/>
      <c r="P39" s="3527"/>
      <c r="Q39" s="1486" t="str">
        <f t="shared" ref="Q39:Q45" si="14">B39</f>
        <v>宗地形状</v>
      </c>
      <c r="R39" s="714" t="s">
        <v>17</v>
      </c>
      <c r="S39" s="715">
        <f t="shared" si="10"/>
        <v>100</v>
      </c>
      <c r="T39" s="714" t="s">
        <v>17</v>
      </c>
      <c r="U39" s="715">
        <f t="shared" si="11"/>
        <v>100</v>
      </c>
      <c r="V39" s="714" t="s">
        <v>17</v>
      </c>
      <c r="W39" s="715">
        <f t="shared" si="12"/>
        <v>100</v>
      </c>
      <c r="X39" s="1489"/>
      <c r="Y39" s="3527"/>
      <c r="Z39" s="1490" t="str">
        <f t="shared" si="13"/>
        <v>宗地形状</v>
      </c>
      <c r="AA39" s="1487">
        <f t="shared" si="3"/>
        <v>1</v>
      </c>
      <c r="AB39" s="1487">
        <f t="shared" si="4"/>
        <v>1</v>
      </c>
      <c r="AC39" s="1487">
        <f t="shared" si="5"/>
        <v>1</v>
      </c>
    </row>
    <row r="40" spans="1:29" ht="15">
      <c r="A40" s="431"/>
      <c r="B40" s="381" t="s">
        <v>2331</v>
      </c>
      <c r="C40" s="2041"/>
      <c r="D40" s="394">
        <v>100</v>
      </c>
      <c r="E40" s="2041"/>
      <c r="F40" s="394">
        <f>SUMIF(120:120,E40,121:121)-SUMIF(120:120,C40,121:121)+100</f>
        <v>100</v>
      </c>
      <c r="G40" s="2041"/>
      <c r="H40" s="394">
        <f>SUMIF(120:120,G40,121:121)-SUMIF(120:120,C40,121:121)+100</f>
        <v>100</v>
      </c>
      <c r="I40" s="2041"/>
      <c r="J40" s="394">
        <f>SUMIF(120:120,I40,121:121)-SUMIF(120:120,C40,121:121)+100</f>
        <v>100</v>
      </c>
      <c r="K40" s="569"/>
      <c r="L40" s="2899"/>
      <c r="M40" s="2893"/>
      <c r="N40" s="2893"/>
      <c r="O40" s="2951"/>
      <c r="P40" s="3527"/>
      <c r="Q40" s="1486" t="str">
        <f t="shared" si="14"/>
        <v>临街宽度及深度</v>
      </c>
      <c r="R40" s="714" t="s">
        <v>17</v>
      </c>
      <c r="S40" s="715">
        <f t="shared" si="10"/>
        <v>100</v>
      </c>
      <c r="T40" s="714" t="s">
        <v>17</v>
      </c>
      <c r="U40" s="715">
        <f t="shared" si="11"/>
        <v>100</v>
      </c>
      <c r="V40" s="714" t="s">
        <v>17</v>
      </c>
      <c r="W40" s="715">
        <f t="shared" si="12"/>
        <v>100</v>
      </c>
      <c r="X40" s="1489"/>
      <c r="Y40" s="3527"/>
      <c r="Z40" s="1490" t="str">
        <f t="shared" si="13"/>
        <v>临街宽度及深度</v>
      </c>
      <c r="AA40" s="1487">
        <f t="shared" si="3"/>
        <v>1</v>
      </c>
      <c r="AB40" s="1487">
        <f t="shared" si="4"/>
        <v>1</v>
      </c>
      <c r="AC40" s="1487">
        <f t="shared" si="5"/>
        <v>1</v>
      </c>
    </row>
    <row r="41" spans="1:29" s="113" customFormat="1" ht="15">
      <c r="A41" s="432"/>
      <c r="B41" s="381" t="s">
        <v>2332</v>
      </c>
      <c r="C41" s="2115"/>
      <c r="D41" s="132">
        <v>100</v>
      </c>
      <c r="E41" s="2115"/>
      <c r="F41" s="394">
        <f>SUMIF(122:122,E41,123:123)-SUMIF(122:122,C41,123:123)+100</f>
        <v>100</v>
      </c>
      <c r="G41" s="2115"/>
      <c r="H41" s="394">
        <f>SUMIF(122:122,G41,123:123)-SUMIF(122:122,C41,123:123)+100</f>
        <v>100</v>
      </c>
      <c r="I41" s="2115"/>
      <c r="J41" s="394">
        <f>SUMIF(122:122,I41,123:123)-SUMIF(122:122,C41,123:123)+100</f>
        <v>100</v>
      </c>
      <c r="K41" s="569"/>
      <c r="L41" s="2894"/>
      <c r="M41" s="2895"/>
      <c r="N41" s="2895"/>
      <c r="O41" s="2949"/>
      <c r="P41" s="3527"/>
      <c r="Q41" s="1486" t="str">
        <f t="shared" si="14"/>
        <v>宗地开发程度</v>
      </c>
      <c r="R41" s="710" t="s">
        <v>17</v>
      </c>
      <c r="S41" s="711">
        <f t="shared" si="10"/>
        <v>100</v>
      </c>
      <c r="T41" s="710" t="s">
        <v>17</v>
      </c>
      <c r="U41" s="711">
        <f t="shared" si="11"/>
        <v>100</v>
      </c>
      <c r="V41" s="710" t="s">
        <v>17</v>
      </c>
      <c r="W41" s="711">
        <f t="shared" si="12"/>
        <v>100</v>
      </c>
      <c r="X41" s="712"/>
      <c r="Y41" s="3527"/>
      <c r="Z41" s="55" t="str">
        <f t="shared" si="13"/>
        <v>宗地开发程度</v>
      </c>
      <c r="AA41" s="713">
        <f t="shared" si="3"/>
        <v>1</v>
      </c>
      <c r="AB41" s="713">
        <f t="shared" si="4"/>
        <v>1</v>
      </c>
      <c r="AC41" s="713">
        <f t="shared" si="5"/>
        <v>1</v>
      </c>
    </row>
    <row r="42" spans="1:29" ht="15">
      <c r="A42" s="431"/>
      <c r="B42" s="381" t="s">
        <v>2333</v>
      </c>
      <c r="C42" s="2041"/>
      <c r="D42" s="394">
        <v>100</v>
      </c>
      <c r="E42" s="2041"/>
      <c r="F42" s="394">
        <f>SUMIF(124:124,E42,125:125)-SUMIF(124:124,C42,125:125)+100</f>
        <v>100</v>
      </c>
      <c r="G42" s="2041"/>
      <c r="H42" s="394">
        <f>SUMIF(124:124,G42,125:125)-SUMIF(124:124,C42,125:125)+100</f>
        <v>100</v>
      </c>
      <c r="I42" s="2041"/>
      <c r="J42" s="394">
        <f>SUMIF(124:124,I42,125:125)-SUMIF(124:124,C42,125:125)+100</f>
        <v>100</v>
      </c>
      <c r="K42" s="569"/>
      <c r="L42" s="2899"/>
      <c r="M42" s="2893"/>
      <c r="N42" s="2893"/>
      <c r="O42" s="2951"/>
      <c r="P42" s="3527" t="s">
        <v>2143</v>
      </c>
      <c r="Q42" s="1486" t="str">
        <f t="shared" si="14"/>
        <v>工程地质条件</v>
      </c>
      <c r="R42" s="714" t="s">
        <v>17</v>
      </c>
      <c r="S42" s="715">
        <f t="shared" si="10"/>
        <v>100</v>
      </c>
      <c r="T42" s="714" t="s">
        <v>17</v>
      </c>
      <c r="U42" s="715">
        <f t="shared" si="11"/>
        <v>100</v>
      </c>
      <c r="V42" s="714" t="s">
        <v>17</v>
      </c>
      <c r="W42" s="715">
        <f t="shared" si="12"/>
        <v>100</v>
      </c>
      <c r="X42" s="1489"/>
      <c r="Y42" s="3527" t="s">
        <v>2143</v>
      </c>
      <c r="Z42" s="1490" t="str">
        <f t="shared" si="13"/>
        <v>工程地质条件</v>
      </c>
      <c r="AA42" s="1487">
        <f t="shared" si="3"/>
        <v>1</v>
      </c>
      <c r="AB42" s="1487">
        <f t="shared" si="4"/>
        <v>1</v>
      </c>
      <c r="AC42" s="1487">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527"/>
      <c r="Q43" s="1486">
        <f t="shared" si="14"/>
        <v>111</v>
      </c>
      <c r="R43" s="714" t="s">
        <v>17</v>
      </c>
      <c r="S43" s="715">
        <f t="shared" si="10"/>
        <v>100</v>
      </c>
      <c r="T43" s="714" t="s">
        <v>17</v>
      </c>
      <c r="U43" s="715">
        <f t="shared" si="11"/>
        <v>100</v>
      </c>
      <c r="V43" s="714" t="s">
        <v>17</v>
      </c>
      <c r="W43" s="715">
        <f t="shared" si="12"/>
        <v>100</v>
      </c>
      <c r="X43" s="1489"/>
      <c r="Y43" s="3527"/>
      <c r="Z43" s="1490">
        <f t="shared" si="13"/>
        <v>111</v>
      </c>
      <c r="AA43" s="1487">
        <f t="shared" si="3"/>
        <v>1</v>
      </c>
      <c r="AB43" s="1487">
        <f t="shared" si="4"/>
        <v>1</v>
      </c>
      <c r="AC43" s="1487">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527"/>
      <c r="Q44" s="1486">
        <f t="shared" si="14"/>
        <v>111</v>
      </c>
      <c r="R44" s="714" t="s">
        <v>17</v>
      </c>
      <c r="S44" s="715">
        <f t="shared" si="10"/>
        <v>100</v>
      </c>
      <c r="T44" s="714" t="s">
        <v>17</v>
      </c>
      <c r="U44" s="715">
        <f t="shared" si="11"/>
        <v>100</v>
      </c>
      <c r="V44" s="714" t="s">
        <v>17</v>
      </c>
      <c r="W44" s="715">
        <f t="shared" si="12"/>
        <v>100</v>
      </c>
      <c r="X44" s="1489"/>
      <c r="Y44" s="3527"/>
      <c r="Z44" s="1490">
        <f t="shared" si="13"/>
        <v>111</v>
      </c>
      <c r="AA44" s="1487">
        <f t="shared" si="3"/>
        <v>1</v>
      </c>
      <c r="AB44" s="1487">
        <f t="shared" si="4"/>
        <v>1</v>
      </c>
      <c r="AC44" s="1487">
        <f t="shared" si="5"/>
        <v>1</v>
      </c>
    </row>
    <row r="45" spans="1:29" s="430" customFormat="1" ht="15.75" thickBot="1">
      <c r="A45" s="427"/>
      <c r="B45" s="1249">
        <v>111</v>
      </c>
      <c r="C45" s="2116"/>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527"/>
      <c r="Q45" s="1486">
        <f t="shared" si="14"/>
        <v>111</v>
      </c>
      <c r="R45" s="717" t="s">
        <v>17</v>
      </c>
      <c r="S45" s="718">
        <f t="shared" si="10"/>
        <v>100</v>
      </c>
      <c r="T45" s="717" t="s">
        <v>17</v>
      </c>
      <c r="U45" s="718">
        <f t="shared" si="11"/>
        <v>100</v>
      </c>
      <c r="V45" s="717" t="s">
        <v>17</v>
      </c>
      <c r="W45" s="718">
        <f t="shared" si="12"/>
        <v>100</v>
      </c>
      <c r="X45" s="719"/>
      <c r="Y45" s="3527"/>
      <c r="Z45" s="720">
        <f t="shared" si="13"/>
        <v>111</v>
      </c>
      <c r="AA45" s="1487">
        <f t="shared" si="3"/>
        <v>1</v>
      </c>
      <c r="AB45" s="1487">
        <f t="shared" si="4"/>
        <v>1</v>
      </c>
      <c r="AC45" s="1487">
        <f t="shared" si="5"/>
        <v>1</v>
      </c>
    </row>
    <row r="46" spans="1:29" ht="15">
      <c r="A46" s="438" t="s">
        <v>2298</v>
      </c>
      <c r="B46" s="2117" t="s">
        <v>2334</v>
      </c>
      <c r="C46" s="638" t="s">
        <v>1</v>
      </c>
      <c r="D46" s="440"/>
      <c r="E46" s="441"/>
      <c r="F46" s="442"/>
      <c r="G46" s="443"/>
      <c r="H46" s="444"/>
      <c r="I46" s="441"/>
      <c r="J46" s="444"/>
      <c r="K46" s="723"/>
      <c r="L46" s="2901"/>
      <c r="M46" s="2902"/>
      <c r="N46" s="2893"/>
      <c r="O46" s="2902"/>
      <c r="P46" s="3520" t="str">
        <f>A46</f>
        <v>成交单价</v>
      </c>
      <c r="Q46" s="3520"/>
      <c r="R46" s="3551">
        <f>E46</f>
        <v>0</v>
      </c>
      <c r="S46" s="3551"/>
      <c r="T46" s="3551">
        <f>G46</f>
        <v>0</v>
      </c>
      <c r="U46" s="3551"/>
      <c r="V46" s="3551">
        <f>I46</f>
        <v>0</v>
      </c>
      <c r="W46" s="3551"/>
      <c r="X46" s="699"/>
      <c r="Y46" s="721"/>
      <c r="Z46" s="699"/>
      <c r="AA46" s="699"/>
      <c r="AB46" s="699"/>
      <c r="AC46" s="699"/>
    </row>
    <row r="47" spans="1:29" ht="15.75" thickBot="1">
      <c r="A47" s="445" t="s">
        <v>2247</v>
      </c>
      <c r="B47" s="639"/>
      <c r="C47" s="448" t="e">
        <f>R48</f>
        <v>#DIV/0!</v>
      </c>
      <c r="D47" s="2487" t="s">
        <v>2636</v>
      </c>
      <c r="E47" s="448" t="e">
        <f>R47</f>
        <v>#DIV/0!</v>
      </c>
      <c r="F47" s="2488"/>
      <c r="G47" s="447" t="e">
        <f>T47</f>
        <v>#DIV/0!</v>
      </c>
      <c r="H47" s="2488"/>
      <c r="I47" s="448" t="e">
        <f>V47</f>
        <v>#DIV/0!</v>
      </c>
      <c r="J47" s="2488"/>
      <c r="K47" s="2490">
        <f>F47+H47+J47</f>
        <v>0</v>
      </c>
      <c r="L47" s="2901"/>
      <c r="M47" s="2902"/>
      <c r="N47" s="2902"/>
      <c r="O47" s="2902"/>
      <c r="P47" s="3520" t="str">
        <f>A47</f>
        <v>比较价值（元/平方米）</v>
      </c>
      <c r="Q47" s="3520"/>
      <c r="R47" s="3580" t="e">
        <f>ROUND(PRODUCT(R46,AA7:AA45),0)</f>
        <v>#DIV/0!</v>
      </c>
      <c r="S47" s="3580"/>
      <c r="T47" s="3580" t="e">
        <f>ROUND(PRODUCT(T46,AB7:AB45),0)</f>
        <v>#DIV/0!</v>
      </c>
      <c r="U47" s="3580"/>
      <c r="V47" s="3580" t="e">
        <f>ROUND(PRODUCT(V46,AC7:AC45),0)</f>
        <v>#DIV/0!</v>
      </c>
      <c r="W47" s="3580"/>
      <c r="X47" s="699"/>
      <c r="Y47" s="699"/>
      <c r="Z47" s="699"/>
      <c r="AA47" s="699"/>
      <c r="AB47" s="699"/>
      <c r="AC47" s="699"/>
    </row>
    <row r="48" spans="1:29" ht="15.75" thickBot="1">
      <c r="A48" s="449" t="s">
        <v>2335</v>
      </c>
      <c r="B48" s="450"/>
      <c r="C48" s="451" t="e">
        <f>R48</f>
        <v>#DIV/0!</v>
      </c>
      <c r="D48" s="451"/>
      <c r="E48" s="451"/>
      <c r="F48" s="451"/>
      <c r="G48" s="451"/>
      <c r="H48" s="451"/>
      <c r="I48" s="451"/>
      <c r="J48" s="451"/>
      <c r="K48" s="724"/>
      <c r="L48" s="2901"/>
      <c r="M48" s="2902"/>
      <c r="N48" s="2902"/>
      <c r="O48" s="2902"/>
      <c r="P48" s="3517" t="str">
        <f>A48</f>
        <v>估价对象XX用房的比较价值（楼面单价，元/平方米）</v>
      </c>
      <c r="Q48" s="3518"/>
      <c r="R48" s="3581" t="e">
        <f>ROUND(IF(D47="简单平均",AVERAGE(R47:W47),R47*F47+T47*H47+V47*J47),0)</f>
        <v>#DIV/0!</v>
      </c>
      <c r="S48" s="3581"/>
      <c r="T48" s="3581"/>
      <c r="U48" s="3581"/>
      <c r="V48" s="3581"/>
      <c r="W48" s="3581"/>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2249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2250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2336</v>
      </c>
      <c r="B55" s="641" t="s">
        <v>2337</v>
      </c>
      <c r="C55" s="2118" t="s">
        <v>2338</v>
      </c>
      <c r="D55" s="2119" t="s">
        <v>2339</v>
      </c>
      <c r="E55" s="642" t="s">
        <v>2340</v>
      </c>
      <c r="F55" s="1002" t="s">
        <v>2341</v>
      </c>
      <c r="G55" s="3535" t="s">
        <v>2342</v>
      </c>
      <c r="H55" s="3582"/>
      <c r="I55" s="140" t="s">
        <v>2343</v>
      </c>
      <c r="J55" s="2120">
        <f>项目基本情况!F35</f>
        <v>0</v>
      </c>
      <c r="K55" s="2121" t="s">
        <v>2344</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2345</v>
      </c>
      <c r="B56" s="645" t="e">
        <f>C48</f>
        <v>#DIV/0!</v>
      </c>
      <c r="C56" s="646">
        <v>1</v>
      </c>
      <c r="D56" s="1056">
        <v>1</v>
      </c>
      <c r="E56" s="646">
        <f>'数据-汇总表'!E8+'数据-汇总表'!E9</f>
        <v>175962.71000000002</v>
      </c>
      <c r="F56" s="998" t="e">
        <f t="shared" ref="F56:F64" si="15">ROUND(B56*E56/10000,0)</f>
        <v>#DIV/0!</v>
      </c>
      <c r="G56" s="3531"/>
      <c r="H56" s="3520"/>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2346</v>
      </c>
      <c r="B57" s="224" t="e">
        <f>ROUND($C$48*C57*D57,0)</f>
        <v>#DIV/0!</v>
      </c>
      <c r="C57" s="176">
        <f t="shared" ref="C57:C64" si="16">IF($C$55="北京市系数",I57,J57)</f>
        <v>0.5</v>
      </c>
      <c r="D57" s="1057">
        <v>0.25</v>
      </c>
      <c r="E57" s="650"/>
      <c r="F57" s="998" t="e">
        <f t="shared" si="15"/>
        <v>#DIV/0!</v>
      </c>
      <c r="G57" s="3226" t="s">
        <v>2347</v>
      </c>
      <c r="H57" s="999" t="str">
        <f>项目基本情况!B37</f>
        <v>十级</v>
      </c>
      <c r="I57" s="1003">
        <f>SUMIF(修正!A57:A68,H57,修正!B57:B68)</f>
        <v>0.5</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2348</v>
      </c>
      <c r="B58" s="224" t="e">
        <f t="shared" ref="B58:B64" si="17">ROUND($C$48*C58*D58,0)</f>
        <v>#DIV/0!</v>
      </c>
      <c r="C58" s="176">
        <f t="shared" si="16"/>
        <v>0.2</v>
      </c>
      <c r="D58" s="1057">
        <v>0.25</v>
      </c>
      <c r="E58" s="650"/>
      <c r="F58" s="998" t="e">
        <f t="shared" si="15"/>
        <v>#DIV/0!</v>
      </c>
      <c r="G58" s="3227"/>
      <c r="H58" s="999" t="str">
        <f>项目基本情况!B37</f>
        <v>十级</v>
      </c>
      <c r="I58" s="1003">
        <f>SUMIF(修正!A57:A68,H58,修正!C57:C68)</f>
        <v>0.2</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2349</v>
      </c>
      <c r="B59" s="224" t="e">
        <f t="shared" si="17"/>
        <v>#DIV/0!</v>
      </c>
      <c r="C59" s="176">
        <f t="shared" si="16"/>
        <v>0.2</v>
      </c>
      <c r="D59" s="1057">
        <v>0.25</v>
      </c>
      <c r="E59" s="650"/>
      <c r="F59" s="998" t="e">
        <f t="shared" si="15"/>
        <v>#DIV/0!</v>
      </c>
      <c r="G59" s="3227"/>
      <c r="H59" s="999" t="str">
        <f>项目基本情况!B37</f>
        <v>十级</v>
      </c>
      <c r="I59" s="1003">
        <f>SUMIF(修正!A57:A68,H59,修正!D57:D68)</f>
        <v>0.2</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2350</v>
      </c>
      <c r="B60" s="224" t="e">
        <f t="shared" si="17"/>
        <v>#DIV/0!</v>
      </c>
      <c r="C60" s="176">
        <f t="shared" si="16"/>
        <v>0.2</v>
      </c>
      <c r="D60" s="1057">
        <v>0.25</v>
      </c>
      <c r="E60" s="223">
        <f>'数据-汇总表'!E11</f>
        <v>0</v>
      </c>
      <c r="F60" s="998" t="e">
        <f t="shared" si="15"/>
        <v>#DIV/0!</v>
      </c>
      <c r="G60" s="2122" t="s">
        <v>2351</v>
      </c>
      <c r="H60" s="999" t="str">
        <f>项目基本情况!C37</f>
        <v>十级</v>
      </c>
      <c r="I60" s="1003">
        <f>SUMIF(修正!A57:A68,H60,修正!E57:E68)</f>
        <v>0.2</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2352</v>
      </c>
      <c r="B61" s="224" t="e">
        <f t="shared" si="17"/>
        <v>#DIV/0!</v>
      </c>
      <c r="C61" s="176">
        <f t="shared" si="16"/>
        <v>0.2</v>
      </c>
      <c r="D61" s="1057">
        <v>0.25</v>
      </c>
      <c r="E61" s="223">
        <f>'数据-汇总表'!E12</f>
        <v>29778.85</v>
      </c>
      <c r="F61" s="998" t="e">
        <f t="shared" si="15"/>
        <v>#DIV/0!</v>
      </c>
      <c r="G61" s="1004" t="s">
        <v>2353</v>
      </c>
      <c r="H61" s="999" t="str">
        <f>IF(G61="商业",项目基本情况!B37,IF(G61="办公",项目基本情况!C37,IF(G61="住宅",项目基本情况!D37,项目基本情况!E37)))</f>
        <v>十级</v>
      </c>
      <c r="I61" s="1003">
        <f>SUMIF(修正!A57:A68,H61,修正!F57:F68)</f>
        <v>0.2</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2354</v>
      </c>
      <c r="B62" s="224" t="e">
        <f t="shared" si="17"/>
        <v>#DIV/0!</v>
      </c>
      <c r="C62" s="176">
        <f t="shared" si="16"/>
        <v>0.1</v>
      </c>
      <c r="D62" s="1057">
        <v>0.25</v>
      </c>
      <c r="E62" s="223">
        <f>'数据-汇总表'!E13</f>
        <v>30257.699999999997</v>
      </c>
      <c r="F62" s="998" t="e">
        <f t="shared" si="15"/>
        <v>#DIV/0!</v>
      </c>
      <c r="G62" s="1004" t="s">
        <v>2355</v>
      </c>
      <c r="H62" s="999" t="str">
        <f>IF(G62="商业",项目基本情况!B37,IF(G62="办公",项目基本情况!C37,IF(G62="住宅",项目基本情况!D37,项目基本情况!E37)))</f>
        <v>十级</v>
      </c>
      <c r="I62" s="1003">
        <f>SUMIF(修正!A57:A68,H62,修正!G57:G68)</f>
        <v>0.1</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2356</v>
      </c>
      <c r="B63" s="224" t="e">
        <f t="shared" si="17"/>
        <v>#DIV/0!</v>
      </c>
      <c r="C63" s="176">
        <f t="shared" si="16"/>
        <v>0.1</v>
      </c>
      <c r="D63" s="1057">
        <v>0.25</v>
      </c>
      <c r="E63" s="223">
        <f>'数据-汇总表'!E14</f>
        <v>0</v>
      </c>
      <c r="F63" s="998" t="e">
        <f t="shared" si="15"/>
        <v>#DIV/0!</v>
      </c>
      <c r="G63" s="2122" t="s">
        <v>2347</v>
      </c>
      <c r="H63" s="999" t="str">
        <f>项目基本情况!B37</f>
        <v>十级</v>
      </c>
      <c r="I63" s="1003">
        <f>SUMIF(修正!A57:A68,H63,修正!G57:G68)</f>
        <v>0.1</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2357</v>
      </c>
      <c r="B64" s="224" t="e">
        <f t="shared" si="17"/>
        <v>#DIV/0!</v>
      </c>
      <c r="C64" s="176">
        <f t="shared" si="16"/>
        <v>0.1</v>
      </c>
      <c r="D64" s="1057">
        <v>0.25</v>
      </c>
      <c r="E64" s="223">
        <f>'数据-汇总表'!E15</f>
        <v>0</v>
      </c>
      <c r="F64" s="998" t="e">
        <f t="shared" si="15"/>
        <v>#DIV/0!</v>
      </c>
      <c r="G64" s="2123" t="s">
        <v>2351</v>
      </c>
      <c r="H64" s="1009" t="str">
        <f>项目基本情况!C37</f>
        <v>十级</v>
      </c>
      <c r="I64" s="1005">
        <f>SUMIF(修正!A57:A68,H64,修正!G57:G68)</f>
        <v>0.1</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2358</v>
      </c>
      <c r="B65" s="652" t="s">
        <v>28</v>
      </c>
      <c r="C65" s="652" t="s">
        <v>29</v>
      </c>
      <c r="D65" s="652" t="s">
        <v>816</v>
      </c>
      <c r="E65" s="652">
        <f>IF(B46="楼面地价",SUM(E56:E64),'数据-汇总表'!D3)</f>
        <v>235999.26</v>
      </c>
      <c r="F65" s="653" t="e">
        <f>IF(B46="楼面地价",SUM(F56:F64),ROUND(C48*E65/10000,0))</f>
        <v>#DIV/0!</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2022-7-1</v>
      </c>
      <c r="D67" s="701">
        <f>EDATE(C67,-3)</f>
        <v>44652</v>
      </c>
      <c r="E67" s="701">
        <f>EDATE(D67,-3)</f>
        <v>44562</v>
      </c>
      <c r="F67" s="701">
        <f t="shared" ref="F67:O67" si="18">EDATE(E67,-3)</f>
        <v>44470</v>
      </c>
      <c r="G67" s="701">
        <f t="shared" si="18"/>
        <v>44378</v>
      </c>
      <c r="H67" s="701">
        <f t="shared" si="18"/>
        <v>44287</v>
      </c>
      <c r="I67" s="701">
        <f t="shared" si="18"/>
        <v>44197</v>
      </c>
      <c r="J67" s="701">
        <f t="shared" si="18"/>
        <v>44105</v>
      </c>
      <c r="K67" s="701">
        <f t="shared" si="18"/>
        <v>44013</v>
      </c>
      <c r="L67" s="701">
        <f t="shared" si="18"/>
        <v>43922</v>
      </c>
      <c r="M67" s="701">
        <f t="shared" si="18"/>
        <v>43831</v>
      </c>
      <c r="N67" s="701">
        <f t="shared" si="18"/>
        <v>43739</v>
      </c>
      <c r="O67" s="701">
        <f t="shared" si="18"/>
        <v>43647</v>
      </c>
      <c r="P67" s="2902"/>
      <c r="Q67" s="2902"/>
      <c r="R67" s="2902"/>
      <c r="S67" s="2902"/>
      <c r="T67" s="2902"/>
      <c r="U67" s="2902"/>
      <c r="V67" s="2902"/>
      <c r="W67" s="2902"/>
      <c r="X67" s="2902"/>
      <c r="Y67" s="2902"/>
      <c r="Z67" s="2902"/>
      <c r="AA67" s="2902"/>
      <c r="AB67" s="2902"/>
      <c r="AC67" s="2902"/>
    </row>
    <row r="68" spans="1:29" ht="21.75" thickBot="1">
      <c r="A68" s="703" t="s">
        <v>2252</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4" t="s">
        <v>2359</v>
      </c>
      <c r="B69" s="1222"/>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53"/>
      <c r="Q69" s="2918"/>
      <c r="R69" s="2918"/>
      <c r="S69" s="2918"/>
      <c r="T69" s="2918"/>
      <c r="U69" s="2918"/>
      <c r="V69" s="2918"/>
      <c r="W69" s="2918"/>
      <c r="X69" s="2918"/>
      <c r="Y69" s="2918"/>
      <c r="Z69" s="2918"/>
      <c r="AA69" s="2918"/>
      <c r="AB69" s="2918"/>
      <c r="AC69" s="2918"/>
    </row>
    <row r="70" spans="1:29" s="113" customFormat="1" ht="30" customHeight="1">
      <c r="A70" s="2125" t="s">
        <v>2360</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6"/>
      <c r="Q70" s="2836"/>
      <c r="R70" s="2836"/>
      <c r="S70" s="2836"/>
      <c r="T70" s="2836"/>
      <c r="U70" s="2836"/>
      <c r="V70" s="2836"/>
      <c r="W70" s="2836"/>
      <c r="X70" s="2836"/>
      <c r="Y70" s="2836"/>
      <c r="Z70" s="2836"/>
      <c r="AA70" s="2836"/>
      <c r="AB70" s="2836"/>
      <c r="AC70" s="2836"/>
    </row>
    <row r="71" spans="1:29" s="113" customFormat="1" ht="15.75" thickBot="1">
      <c r="A71" s="472" t="s">
        <v>2163</v>
      </c>
      <c r="B71" s="473"/>
      <c r="C71" s="474"/>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5">
      <c r="A72" s="478" t="s">
        <v>2128</v>
      </c>
      <c r="B72" s="467"/>
      <c r="C72" s="479" t="s">
        <v>2230</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2166</v>
      </c>
      <c r="B74" s="485" t="s">
        <v>2132</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2135</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2136</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c r="D79" s="506"/>
      <c r="E79" s="506"/>
      <c r="F79" s="506"/>
      <c r="G79" s="506"/>
      <c r="H79" s="506"/>
      <c r="I79" s="506"/>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2137</v>
      </c>
      <c r="B87" s="485" t="s">
        <v>2174</v>
      </c>
      <c r="C87" s="530" t="s">
        <v>2175</v>
      </c>
      <c r="D87" s="530" t="s">
        <v>2176</v>
      </c>
      <c r="E87" s="530" t="s">
        <v>2177</v>
      </c>
      <c r="F87" s="530" t="s">
        <v>2178</v>
      </c>
      <c r="G87" s="530" t="s">
        <v>2179</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2361</v>
      </c>
      <c r="C89" s="535" t="s">
        <v>2175</v>
      </c>
      <c r="D89" s="535" t="s">
        <v>2176</v>
      </c>
      <c r="E89" s="535" t="s">
        <v>2177</v>
      </c>
      <c r="F89" s="535" t="s">
        <v>2178</v>
      </c>
      <c r="G89" s="535" t="s">
        <v>2179</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2275</v>
      </c>
      <c r="C91" s="535" t="s">
        <v>2175</v>
      </c>
      <c r="D91" s="535" t="s">
        <v>2176</v>
      </c>
      <c r="E91" s="535" t="s">
        <v>2177</v>
      </c>
      <c r="F91" s="535" t="s">
        <v>2178</v>
      </c>
      <c r="G91" s="535" t="s">
        <v>2179</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2180</v>
      </c>
      <c r="C93" s="535" t="s">
        <v>2175</v>
      </c>
      <c r="D93" s="535" t="s">
        <v>2176</v>
      </c>
      <c r="E93" s="535" t="s">
        <v>2177</v>
      </c>
      <c r="F93" s="535" t="s">
        <v>2178</v>
      </c>
      <c r="G93" s="535" t="s">
        <v>2179</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2362</v>
      </c>
      <c r="C95" s="535" t="s">
        <v>2175</v>
      </c>
      <c r="D95" s="535" t="s">
        <v>2176</v>
      </c>
      <c r="E95" s="535" t="s">
        <v>2177</v>
      </c>
      <c r="F95" s="535" t="s">
        <v>2178</v>
      </c>
      <c r="G95" s="535" t="s">
        <v>2179</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2363</v>
      </c>
      <c r="C97" s="530" t="s">
        <v>2175</v>
      </c>
      <c r="D97" s="530" t="s">
        <v>2176</v>
      </c>
      <c r="E97" s="530" t="s">
        <v>2177</v>
      </c>
      <c r="F97" s="530" t="s">
        <v>2178</v>
      </c>
      <c r="G97" s="530" t="s">
        <v>2179</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2232</v>
      </c>
      <c r="C99" s="530" t="s">
        <v>2175</v>
      </c>
      <c r="D99" s="530" t="s">
        <v>2176</v>
      </c>
      <c r="E99" s="530" t="s">
        <v>2177</v>
      </c>
      <c r="F99" s="530" t="s">
        <v>2178</v>
      </c>
      <c r="G99" s="530" t="s">
        <v>2179</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2233</v>
      </c>
      <c r="C101" s="616" t="s">
        <v>2253</v>
      </c>
      <c r="D101" s="616" t="s">
        <v>2254</v>
      </c>
      <c r="E101" s="616" t="s">
        <v>2255</v>
      </c>
      <c r="F101" s="616" t="s">
        <v>2256</v>
      </c>
      <c r="G101" s="616" t="s">
        <v>2257</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2364</v>
      </c>
      <c r="D103" s="496" t="s">
        <v>2365</v>
      </c>
      <c r="E103" s="496" t="s">
        <v>2366</v>
      </c>
      <c r="F103" s="496" t="s">
        <v>2367</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2269</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2328</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c r="A115" s="484" t="s">
        <v>2141</v>
      </c>
      <c r="B115" s="485" t="s">
        <v>2368</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c r="D116" s="552"/>
      <c r="E116" s="552"/>
      <c r="F116" s="552"/>
      <c r="G116" s="552"/>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c r="D117" s="548"/>
      <c r="E117" s="548"/>
      <c r="F117" s="548"/>
      <c r="G117" s="548"/>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2369</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2370</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2371</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2372</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0" zoomScale="70" zoomScaleNormal="60" zoomScaleSheetLayoutView="70" workbookViewId="0">
      <selection activeCell="F57" sqref="F57:F5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6.25" style="363" customWidth="1"/>
    <col min="6" max="6" width="12.25" style="363" customWidth="1"/>
    <col min="7" max="7" width="18.5" style="363" customWidth="1"/>
    <col min="8" max="8" width="12.25" style="363" customWidth="1"/>
    <col min="9" max="9" width="17"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2322</v>
      </c>
      <c r="B1" s="355"/>
      <c r="C1" s="356" t="s">
        <v>2373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1905</v>
      </c>
      <c r="B2" s="627">
        <f>F61</f>
        <v>32112</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1907</v>
      </c>
      <c r="B3" s="566">
        <f>ROUND(IF(D3="",B2*10000/'数据-汇总表'!E3,B2*10000/D3),0)</f>
        <v>1324</v>
      </c>
      <c r="C3" s="209" t="s">
        <v>2324</v>
      </c>
      <c r="D3" s="1307"/>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2223</v>
      </c>
      <c r="B4" s="362"/>
      <c r="C4" s="3535" t="s">
        <v>2224</v>
      </c>
      <c r="D4" s="3536"/>
      <c r="E4" s="3537" t="s">
        <v>2225</v>
      </c>
      <c r="F4" s="3538"/>
      <c r="G4" s="3535" t="s">
        <v>2226</v>
      </c>
      <c r="H4" s="3536"/>
      <c r="I4" s="3535" t="s">
        <v>2227</v>
      </c>
      <c r="J4" s="3536"/>
      <c r="K4" s="567" t="s">
        <v>2228</v>
      </c>
      <c r="L4" s="2892"/>
      <c r="M4" s="2893"/>
      <c r="N4" s="2893"/>
      <c r="O4" s="2893"/>
      <c r="P4" s="3539" t="s">
        <v>2229</v>
      </c>
      <c r="Q4" s="3540"/>
      <c r="R4" s="3545" t="s">
        <v>2225</v>
      </c>
      <c r="S4" s="3546"/>
      <c r="T4" s="3545" t="s">
        <v>2226</v>
      </c>
      <c r="U4" s="3546"/>
      <c r="V4" s="3551" t="s">
        <v>2227</v>
      </c>
      <c r="W4" s="3551"/>
      <c r="X4" s="1489"/>
      <c r="Y4" s="3545" t="s">
        <v>2229</v>
      </c>
      <c r="Z4" s="3546"/>
      <c r="AA4" s="3532" t="s">
        <v>2225</v>
      </c>
      <c r="AB4" s="3533" t="s">
        <v>2226</v>
      </c>
      <c r="AC4" s="3532" t="s">
        <v>2227</v>
      </c>
    </row>
    <row r="5" spans="1:29" ht="15">
      <c r="A5" s="364"/>
      <c r="B5" s="365"/>
      <c r="C5" s="3554" t="s">
        <v>2120</v>
      </c>
      <c r="D5" s="3555"/>
      <c r="E5" s="3561" t="str">
        <f>土地案例!A6</f>
        <v xml:space="preserve">北京高端制造业(房山)基地01街区01-02(1)地块工业用地项目  </v>
      </c>
      <c r="F5" s="3562"/>
      <c r="G5" s="3554" t="str">
        <f>土地案例!A3</f>
        <v xml:space="preserve">北京高端制造业基地06街区03地块工业用地项目   </v>
      </c>
      <c r="H5" s="3555"/>
      <c r="I5" s="3554" t="str">
        <f>土地案例!A5</f>
        <v xml:space="preserve">北京高端制造业基地06街区02地块项目   </v>
      </c>
      <c r="J5" s="3555"/>
      <c r="K5" s="567"/>
      <c r="L5" s="2892"/>
      <c r="M5" s="2893"/>
      <c r="N5" s="2893"/>
      <c r="O5" s="2893"/>
      <c r="P5" s="3541"/>
      <c r="Q5" s="3542"/>
      <c r="R5" s="3547"/>
      <c r="S5" s="3548"/>
      <c r="T5" s="3547"/>
      <c r="U5" s="3548"/>
      <c r="V5" s="3551"/>
      <c r="W5" s="3551"/>
      <c r="X5" s="1489"/>
      <c r="Y5" s="3547"/>
      <c r="Z5" s="3548"/>
      <c r="AA5" s="3533"/>
      <c r="AB5" s="3533"/>
      <c r="AC5" s="3533"/>
    </row>
    <row r="6" spans="1:29" ht="15.75" thickBot="1">
      <c r="A6" s="366"/>
      <c r="B6" s="367"/>
      <c r="C6" s="3583" t="s">
        <v>2374</v>
      </c>
      <c r="D6" s="3584"/>
      <c r="E6" s="3585" t="str">
        <f>土地案例!E6</f>
        <v xml:space="preserve"> 房山区窦店镇望楚村</v>
      </c>
      <c r="F6" s="3586"/>
      <c r="G6" s="3583" t="str">
        <f>土地案例!E3</f>
        <v xml:space="preserve"> 房山区窦店镇、良乡镇</v>
      </c>
      <c r="H6" s="3584"/>
      <c r="I6" s="3583" t="str">
        <f>土地案例!E5</f>
        <v xml:space="preserve"> 房山区窦店</v>
      </c>
      <c r="J6" s="3584"/>
      <c r="K6" s="567" t="s">
        <v>2125</v>
      </c>
      <c r="L6" s="2892"/>
      <c r="M6" s="2893"/>
      <c r="N6" s="2893"/>
      <c r="O6" s="2893"/>
      <c r="P6" s="3543"/>
      <c r="Q6" s="3544"/>
      <c r="R6" s="3547"/>
      <c r="S6" s="3548"/>
      <c r="T6" s="3549"/>
      <c r="U6" s="3550"/>
      <c r="V6" s="3551"/>
      <c r="W6" s="3551"/>
      <c r="X6" s="1489"/>
      <c r="Y6" s="3549"/>
      <c r="Z6" s="3550"/>
      <c r="AA6" s="3534"/>
      <c r="AB6" s="3534"/>
      <c r="AC6" s="3534"/>
    </row>
    <row r="7" spans="1:29" s="113" customFormat="1" ht="15.75" thickBot="1">
      <c r="A7" s="368" t="s">
        <v>2126</v>
      </c>
      <c r="B7" s="369"/>
      <c r="C7" s="370">
        <f>'数据-取费表'!B2</f>
        <v>44769</v>
      </c>
      <c r="D7" s="371">
        <v>100</v>
      </c>
      <c r="E7" s="372">
        <f>土地案例!K6</f>
        <v>43476.000497685185</v>
      </c>
      <c r="F7" s="373">
        <f>SUMIF(65:65,YEAR(E7)&amp;"-"&amp;INT((MONTH(E7)+2)/3),66:66)</f>
        <v>97.19999999999996</v>
      </c>
      <c r="G7" s="2109">
        <f>土地案例!K3</f>
        <v>44189.000497685185</v>
      </c>
      <c r="H7" s="371">
        <f>SUMIF(65:65,YEAR(G7)&amp;"-"&amp;INT((MONTH(G7)+2)/3),66:66)</f>
        <v>98.59999999999998</v>
      </c>
      <c r="I7" s="2109">
        <f>土地案例!K5</f>
        <v>43664.000497685185</v>
      </c>
      <c r="J7" s="371">
        <f>SUMIF(65:65,YEAR(I7)&amp;"-"&amp;INT((MONTH(I7)+2)/3),66:66)</f>
        <v>97.599999999999966</v>
      </c>
      <c r="K7" s="568"/>
      <c r="L7" s="2894"/>
      <c r="M7" s="2895"/>
      <c r="N7" s="2895"/>
      <c r="O7" s="2895"/>
      <c r="P7" s="3556" t="s">
        <v>2127</v>
      </c>
      <c r="Q7" s="3558"/>
      <c r="R7" s="710" t="s">
        <v>17</v>
      </c>
      <c r="S7" s="711">
        <f t="shared" ref="S7:S15" si="0">F7</f>
        <v>97.19999999999996</v>
      </c>
      <c r="T7" s="710" t="s">
        <v>17</v>
      </c>
      <c r="U7" s="711">
        <f t="shared" ref="U7:U15" si="1">H7</f>
        <v>98.59999999999998</v>
      </c>
      <c r="V7" s="710" t="s">
        <v>17</v>
      </c>
      <c r="W7" s="711">
        <f t="shared" ref="W7:W15" si="2">J7</f>
        <v>97.599999999999966</v>
      </c>
      <c r="X7" s="712"/>
      <c r="Y7" s="3556" t="s">
        <v>2127</v>
      </c>
      <c r="Z7" s="3557"/>
      <c r="AA7" s="713">
        <f>D7/F7</f>
        <v>1.0288065843621403</v>
      </c>
      <c r="AB7" s="713">
        <f>D7/H7</f>
        <v>1.0141987829614607</v>
      </c>
      <c r="AC7" s="713">
        <f>D7/J7</f>
        <v>1.0245901639344266</v>
      </c>
    </row>
    <row r="8" spans="1:29" s="113" customFormat="1" ht="15.75" thickBot="1">
      <c r="A8" s="368" t="s">
        <v>2128</v>
      </c>
      <c r="B8" s="369"/>
      <c r="C8" s="374" t="s">
        <v>2129</v>
      </c>
      <c r="D8" s="371">
        <v>100</v>
      </c>
      <c r="E8" s="374" t="s">
        <v>2129</v>
      </c>
      <c r="F8" s="373">
        <f>SUMIF(68:68,E8,69:69)-SUMIF(68:68,C8,69:69)+100</f>
        <v>100</v>
      </c>
      <c r="G8" s="374" t="s">
        <v>2129</v>
      </c>
      <c r="H8" s="371">
        <f>SUMIF(68:68,G8,69:69)-SUMIF(68:68,C8,69:69)+100</f>
        <v>100</v>
      </c>
      <c r="I8" s="374" t="s">
        <v>2129</v>
      </c>
      <c r="J8" s="371">
        <f>SUMIF(68:68,I8,69:69)-SUMIF(68:68,C8,69:69)+100</f>
        <v>100</v>
      </c>
      <c r="K8" s="568"/>
      <c r="L8" s="2894"/>
      <c r="M8" s="2895"/>
      <c r="N8" s="2895"/>
      <c r="O8" s="2895"/>
      <c r="P8" s="3556" t="s">
        <v>2130</v>
      </c>
      <c r="Q8" s="3557"/>
      <c r="R8" s="710" t="s">
        <v>17</v>
      </c>
      <c r="S8" s="711">
        <f t="shared" si="0"/>
        <v>100</v>
      </c>
      <c r="T8" s="710" t="s">
        <v>17</v>
      </c>
      <c r="U8" s="711">
        <f t="shared" si="1"/>
        <v>100</v>
      </c>
      <c r="V8" s="710" t="s">
        <v>17</v>
      </c>
      <c r="W8" s="711">
        <f t="shared" si="2"/>
        <v>100</v>
      </c>
      <c r="X8" s="712"/>
      <c r="Y8" s="3556" t="s">
        <v>2130</v>
      </c>
      <c r="Z8" s="3557"/>
      <c r="AA8" s="713">
        <f t="shared" ref="AA8:AA40" si="3">D8/F8</f>
        <v>1</v>
      </c>
      <c r="AB8" s="713">
        <f t="shared" ref="AB8:AB40" si="4">D8/H8</f>
        <v>1</v>
      </c>
      <c r="AC8" s="713">
        <f t="shared" ref="AC8:AC40" si="5">D8/J8</f>
        <v>1</v>
      </c>
    </row>
    <row r="9" spans="1:29" s="113" customFormat="1">
      <c r="A9" s="375" t="s">
        <v>2131</v>
      </c>
      <c r="B9" s="67" t="s">
        <v>2132</v>
      </c>
      <c r="C9" s="2112" t="s">
        <v>6</v>
      </c>
      <c r="D9" s="131">
        <v>100</v>
      </c>
      <c r="E9" s="2112" t="s">
        <v>6</v>
      </c>
      <c r="F9" s="131">
        <f>SUMIF(70:70,E9,71:71)-SUMIF(70:70,C9,71:71)+100</f>
        <v>100</v>
      </c>
      <c r="G9" s="2112" t="s">
        <v>6</v>
      </c>
      <c r="H9" s="131">
        <f>SUMIF(70:70,G9,71:71)-SUMIF(70:70,C9,71:71)+100</f>
        <v>100</v>
      </c>
      <c r="I9" s="2112" t="s">
        <v>6</v>
      </c>
      <c r="J9" s="131">
        <f>SUMIF(70:70,I9,71:71)-SUMIF(70:70,C9,71:71)+100</f>
        <v>100</v>
      </c>
      <c r="K9" s="568"/>
      <c r="L9" s="2894"/>
      <c r="M9" s="2895"/>
      <c r="N9" s="2895"/>
      <c r="O9" s="2949"/>
      <c r="P9" s="3520" t="s">
        <v>2133</v>
      </c>
      <c r="Q9" s="1477" t="str">
        <f t="shared" ref="Q9:Q15" si="6">B9</f>
        <v>用途</v>
      </c>
      <c r="R9" s="710" t="s">
        <v>17</v>
      </c>
      <c r="S9" s="711">
        <f t="shared" si="0"/>
        <v>100</v>
      </c>
      <c r="T9" s="710" t="s">
        <v>17</v>
      </c>
      <c r="U9" s="711">
        <f t="shared" si="1"/>
        <v>100</v>
      </c>
      <c r="V9" s="710" t="s">
        <v>17</v>
      </c>
      <c r="W9" s="711">
        <f t="shared" si="2"/>
        <v>100</v>
      </c>
      <c r="X9" s="712"/>
      <c r="Y9" s="3392" t="s">
        <v>2134</v>
      </c>
      <c r="Z9" s="55" t="str">
        <f t="shared" ref="Z9:Z15" si="7">Q9</f>
        <v>用途</v>
      </c>
      <c r="AA9" s="713">
        <f t="shared" si="3"/>
        <v>1</v>
      </c>
      <c r="AB9" s="713">
        <f t="shared" si="4"/>
        <v>1</v>
      </c>
      <c r="AC9" s="713">
        <f t="shared" si="5"/>
        <v>1</v>
      </c>
    </row>
    <row r="10" spans="1:29" s="386" customFormat="1" ht="27">
      <c r="A10" s="380"/>
      <c r="B10" s="381" t="s">
        <v>2135</v>
      </c>
      <c r="C10" s="391">
        <f>项目基本情况!I15</f>
        <v>41.52</v>
      </c>
      <c r="D10" s="132">
        <v>100</v>
      </c>
      <c r="E10" s="391"/>
      <c r="F10" s="132">
        <f>ROUND(100/'数据-取费表'!G16,0)</f>
        <v>106</v>
      </c>
      <c r="G10" s="391"/>
      <c r="H10" s="132">
        <f>ROUND(100/'数据-取费表'!G16,0)</f>
        <v>106</v>
      </c>
      <c r="I10" s="391"/>
      <c r="J10" s="132">
        <f>ROUND(100/'数据-取费表'!G16,0)</f>
        <v>106</v>
      </c>
      <c r="K10" s="628"/>
      <c r="L10" s="2896"/>
      <c r="M10" s="2897"/>
      <c r="N10" s="2897"/>
      <c r="O10" s="2950"/>
      <c r="P10" s="3520"/>
      <c r="Q10" s="1477" t="str">
        <f t="shared" si="6"/>
        <v>土地使用年限（年）</v>
      </c>
      <c r="R10" s="710" t="s">
        <v>17</v>
      </c>
      <c r="S10" s="711">
        <f t="shared" si="0"/>
        <v>106</v>
      </c>
      <c r="T10" s="710" t="s">
        <v>17</v>
      </c>
      <c r="U10" s="711">
        <f t="shared" si="1"/>
        <v>106</v>
      </c>
      <c r="V10" s="710" t="s">
        <v>17</v>
      </c>
      <c r="W10" s="711">
        <f t="shared" si="2"/>
        <v>106</v>
      </c>
      <c r="X10" s="712"/>
      <c r="Y10" s="3392"/>
      <c r="Z10" s="55" t="str">
        <f t="shared" si="7"/>
        <v>土地使用年限（年）</v>
      </c>
      <c r="AA10" s="713">
        <f t="shared" si="3"/>
        <v>0.94339622641509435</v>
      </c>
      <c r="AB10" s="713">
        <f t="shared" si="4"/>
        <v>0.94339622641509435</v>
      </c>
      <c r="AC10" s="713">
        <f t="shared" si="5"/>
        <v>0.94339622641509435</v>
      </c>
    </row>
    <row r="11" spans="1:29" ht="15.75" thickBot="1">
      <c r="A11" s="387"/>
      <c r="B11" s="381" t="s">
        <v>2136</v>
      </c>
      <c r="C11" s="388">
        <v>1.5</v>
      </c>
      <c r="D11" s="132">
        <v>100</v>
      </c>
      <c r="E11" s="388">
        <v>1.2</v>
      </c>
      <c r="F11" s="132">
        <f>LOOKUP(E11,75:75,76:76)-LOOKUP(C11,75:75,76:76)+100</f>
        <v>105</v>
      </c>
      <c r="G11" s="389">
        <v>1.6</v>
      </c>
      <c r="H11" s="132">
        <f>LOOKUP(G11,75:75,76:76)-LOOKUP(C11,75:75,76:76)+100</f>
        <v>100</v>
      </c>
      <c r="I11" s="388">
        <v>1.6</v>
      </c>
      <c r="J11" s="132">
        <f>LOOKUP(I11,75:75,76:76)-LOOKUP(C11,75:75,76:76)+100</f>
        <v>100</v>
      </c>
      <c r="K11" s="629">
        <v>5</v>
      </c>
      <c r="L11" s="2898"/>
      <c r="M11" s="2893"/>
      <c r="N11" s="2893"/>
      <c r="O11" s="2951"/>
      <c r="P11" s="3520"/>
      <c r="Q11" s="1477" t="str">
        <f t="shared" si="6"/>
        <v>容积率</v>
      </c>
      <c r="R11" s="710" t="s">
        <v>17</v>
      </c>
      <c r="S11" s="711">
        <f t="shared" si="0"/>
        <v>105</v>
      </c>
      <c r="T11" s="710" t="s">
        <v>17</v>
      </c>
      <c r="U11" s="711">
        <f t="shared" si="1"/>
        <v>100</v>
      </c>
      <c r="V11" s="710" t="s">
        <v>17</v>
      </c>
      <c r="W11" s="711">
        <f t="shared" si="2"/>
        <v>100</v>
      </c>
      <c r="X11" s="712"/>
      <c r="Y11" s="3392"/>
      <c r="Z11" s="55" t="str">
        <f t="shared" si="7"/>
        <v>容积率</v>
      </c>
      <c r="AA11" s="713">
        <f t="shared" si="3"/>
        <v>0.95238095238095233</v>
      </c>
      <c r="AB11" s="713">
        <f t="shared" si="4"/>
        <v>1</v>
      </c>
      <c r="AC11" s="713">
        <f t="shared" si="5"/>
        <v>1</v>
      </c>
    </row>
    <row r="12" spans="1:29" s="113" customFormat="1" ht="15" hidden="1">
      <c r="A12" s="390"/>
      <c r="B12" s="2028">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520"/>
      <c r="Q12" s="1477">
        <f t="shared" si="6"/>
        <v>111</v>
      </c>
      <c r="R12" s="710" t="s">
        <v>17</v>
      </c>
      <c r="S12" s="711">
        <f t="shared" si="0"/>
        <v>100</v>
      </c>
      <c r="T12" s="710" t="s">
        <v>17</v>
      </c>
      <c r="U12" s="711">
        <f t="shared" si="1"/>
        <v>100</v>
      </c>
      <c r="V12" s="710" t="s">
        <v>17</v>
      </c>
      <c r="W12" s="711">
        <f t="shared" si="2"/>
        <v>100</v>
      </c>
      <c r="X12" s="712"/>
      <c r="Y12" s="3392"/>
      <c r="Z12" s="55">
        <f t="shared" si="7"/>
        <v>111</v>
      </c>
      <c r="AA12" s="713">
        <f>D12/F12</f>
        <v>1</v>
      </c>
      <c r="AB12" s="713">
        <f>D12/H12</f>
        <v>1</v>
      </c>
      <c r="AC12" s="713">
        <f>D12/J12</f>
        <v>1</v>
      </c>
    </row>
    <row r="13" spans="1:29" ht="15" hidden="1">
      <c r="A13" s="387"/>
      <c r="B13" s="2028">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520"/>
      <c r="Q13" s="1477">
        <f t="shared" si="6"/>
        <v>111</v>
      </c>
      <c r="R13" s="710" t="s">
        <v>17</v>
      </c>
      <c r="S13" s="711">
        <f t="shared" si="0"/>
        <v>100</v>
      </c>
      <c r="T13" s="710" t="s">
        <v>17</v>
      </c>
      <c r="U13" s="711">
        <f t="shared" si="1"/>
        <v>100</v>
      </c>
      <c r="V13" s="710" t="s">
        <v>17</v>
      </c>
      <c r="W13" s="711">
        <f t="shared" si="2"/>
        <v>100</v>
      </c>
      <c r="X13" s="712"/>
      <c r="Y13" s="3392"/>
      <c r="Z13" s="55">
        <f t="shared" si="7"/>
        <v>111</v>
      </c>
      <c r="AA13" s="713">
        <f t="shared" si="3"/>
        <v>1</v>
      </c>
      <c r="AB13" s="713">
        <f t="shared" si="4"/>
        <v>1</v>
      </c>
      <c r="AC13" s="713">
        <f t="shared" si="5"/>
        <v>1</v>
      </c>
    </row>
    <row r="14" spans="1:29" ht="15.75" hidden="1" thickBot="1">
      <c r="A14" s="395"/>
      <c r="B14" s="2030">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520"/>
      <c r="Q14" s="1477">
        <f t="shared" si="6"/>
        <v>111</v>
      </c>
      <c r="R14" s="710" t="s">
        <v>17</v>
      </c>
      <c r="S14" s="711">
        <f t="shared" si="0"/>
        <v>100</v>
      </c>
      <c r="T14" s="710" t="s">
        <v>17</v>
      </c>
      <c r="U14" s="711">
        <f t="shared" si="1"/>
        <v>100</v>
      </c>
      <c r="V14" s="710" t="s">
        <v>17</v>
      </c>
      <c r="W14" s="711">
        <f t="shared" si="2"/>
        <v>100</v>
      </c>
      <c r="X14" s="712"/>
      <c r="Y14" s="3392"/>
      <c r="Z14" s="55">
        <f t="shared" si="7"/>
        <v>111</v>
      </c>
      <c r="AA14" s="713">
        <f t="shared" si="3"/>
        <v>1</v>
      </c>
      <c r="AB14" s="713">
        <f t="shared" si="4"/>
        <v>1</v>
      </c>
      <c r="AC14" s="713">
        <f t="shared" si="5"/>
        <v>1</v>
      </c>
    </row>
    <row r="15" spans="1:29" ht="57">
      <c r="A15" s="399" t="s">
        <v>2137</v>
      </c>
      <c r="B15" s="585" t="s">
        <v>2375</v>
      </c>
      <c r="C15" s="2106" t="str">
        <f>估价对象房地状况!G15</f>
        <v>估价对象位于XX开发区，园区建设成熟度XX，产业集聚程度XX</v>
      </c>
      <c r="D15" s="400">
        <v>100</v>
      </c>
      <c r="E15" s="401"/>
      <c r="F15" s="400">
        <f>SUMIF(83:83,E16,84:84)-SUMIF(83:83,C16,84:84)+100</f>
        <v>110</v>
      </c>
      <c r="G15" s="401"/>
      <c r="H15" s="400">
        <f>SUMIF(83:83,G16,84:84)-SUMIF(83:83,C16,84:84)+100</f>
        <v>110</v>
      </c>
      <c r="I15" s="403"/>
      <c r="J15" s="400">
        <f>SUMIF(83:83,I16,84:84)-SUMIF(83:83,C16,84:84)+100</f>
        <v>110</v>
      </c>
      <c r="K15" s="629">
        <v>5</v>
      </c>
      <c r="L15" s="2899"/>
      <c r="M15" s="2893"/>
      <c r="N15" s="2893"/>
      <c r="O15" s="2951"/>
      <c r="P15" s="3522" t="s">
        <v>2138</v>
      </c>
      <c r="Q15" s="1486" t="str">
        <f t="shared" si="6"/>
        <v>产业集聚程度</v>
      </c>
      <c r="R15" s="714" t="s">
        <v>17</v>
      </c>
      <c r="S15" s="715">
        <f t="shared" si="0"/>
        <v>110</v>
      </c>
      <c r="T15" s="714" t="s">
        <v>17</v>
      </c>
      <c r="U15" s="715">
        <f t="shared" si="1"/>
        <v>110</v>
      </c>
      <c r="V15" s="714" t="s">
        <v>17</v>
      </c>
      <c r="W15" s="715">
        <f t="shared" si="2"/>
        <v>110</v>
      </c>
      <c r="X15" s="1489"/>
      <c r="Y15" s="3522" t="s">
        <v>2138</v>
      </c>
      <c r="Z15" s="1490" t="str">
        <f t="shared" si="7"/>
        <v>产业集聚程度</v>
      </c>
      <c r="AA15" s="1487">
        <f t="shared" si="3"/>
        <v>0.90909090909090906</v>
      </c>
      <c r="AB15" s="1487">
        <f t="shared" si="4"/>
        <v>0.90909090909090906</v>
      </c>
      <c r="AC15" s="1487">
        <f t="shared" si="5"/>
        <v>0.90909090909090906</v>
      </c>
    </row>
    <row r="16" spans="1:29" ht="15">
      <c r="A16" s="387"/>
      <c r="B16" s="586"/>
      <c r="C16" s="406" t="s">
        <v>3500</v>
      </c>
      <c r="D16" s="407"/>
      <c r="E16" s="2039" t="s">
        <v>3501</v>
      </c>
      <c r="F16" s="407"/>
      <c r="G16" s="2039" t="s">
        <v>3501</v>
      </c>
      <c r="H16" s="409"/>
      <c r="I16" s="2039" t="s">
        <v>3501</v>
      </c>
      <c r="J16" s="407"/>
      <c r="K16" s="628"/>
      <c r="L16" s="2899"/>
      <c r="M16" s="2893"/>
      <c r="N16" s="2893"/>
      <c r="O16" s="2951"/>
      <c r="P16" s="3523"/>
      <c r="Q16" s="1486"/>
      <c r="R16" s="714"/>
      <c r="S16" s="715"/>
      <c r="T16" s="714"/>
      <c r="U16" s="715"/>
      <c r="V16" s="714"/>
      <c r="W16" s="715"/>
      <c r="X16" s="1489"/>
      <c r="Y16" s="3523"/>
      <c r="Z16" s="1490"/>
      <c r="AA16" s="1487">
        <v>1</v>
      </c>
      <c r="AB16" s="1487">
        <v>1</v>
      </c>
      <c r="AC16" s="1487">
        <v>1</v>
      </c>
    </row>
    <row r="17" spans="1:29" ht="85.5">
      <c r="A17" s="387"/>
      <c r="B17" s="587" t="s">
        <v>2287</v>
      </c>
      <c r="C17" s="203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5</v>
      </c>
      <c r="L17" s="2899"/>
      <c r="M17" s="2893"/>
      <c r="N17" s="2893"/>
      <c r="O17" s="2951"/>
      <c r="P17" s="3523"/>
      <c r="Q17" s="1486" t="str">
        <f>B17</f>
        <v>交通便捷度</v>
      </c>
      <c r="R17" s="714" t="s">
        <v>17</v>
      </c>
      <c r="S17" s="715">
        <f>F17</f>
        <v>100</v>
      </c>
      <c r="T17" s="714" t="s">
        <v>17</v>
      </c>
      <c r="U17" s="715">
        <f>H17</f>
        <v>100</v>
      </c>
      <c r="V17" s="714" t="s">
        <v>17</v>
      </c>
      <c r="W17" s="715">
        <f>J17</f>
        <v>100</v>
      </c>
      <c r="X17" s="1489"/>
      <c r="Y17" s="3523"/>
      <c r="Z17" s="1490" t="str">
        <f>Q17</f>
        <v>交通便捷度</v>
      </c>
      <c r="AA17" s="1487">
        <f t="shared" si="3"/>
        <v>1</v>
      </c>
      <c r="AB17" s="1487">
        <f t="shared" si="4"/>
        <v>1</v>
      </c>
      <c r="AC17" s="1487">
        <f t="shared" si="5"/>
        <v>1</v>
      </c>
    </row>
    <row r="18" spans="1:29" ht="15">
      <c r="A18" s="387"/>
      <c r="B18" s="588"/>
      <c r="C18" s="406" t="s">
        <v>3502</v>
      </c>
      <c r="D18" s="407"/>
      <c r="E18" s="406" t="s">
        <v>3502</v>
      </c>
      <c r="F18" s="407"/>
      <c r="G18" s="406" t="s">
        <v>3502</v>
      </c>
      <c r="H18" s="407"/>
      <c r="I18" s="406" t="s">
        <v>3502</v>
      </c>
      <c r="J18" s="407"/>
      <c r="K18" s="628"/>
      <c r="L18" s="2899"/>
      <c r="M18" s="2893"/>
      <c r="N18" s="2893"/>
      <c r="O18" s="2951"/>
      <c r="P18" s="3523"/>
      <c r="Q18" s="1486"/>
      <c r="R18" s="714"/>
      <c r="S18" s="715"/>
      <c r="T18" s="714"/>
      <c r="U18" s="715"/>
      <c r="V18" s="714"/>
      <c r="W18" s="715"/>
      <c r="X18" s="1489"/>
      <c r="Y18" s="3523"/>
      <c r="Z18" s="1490"/>
      <c r="AA18" s="1487">
        <v>1</v>
      </c>
      <c r="AB18" s="1487">
        <v>1</v>
      </c>
      <c r="AC18" s="1487">
        <v>1</v>
      </c>
    </row>
    <row r="19" spans="1:29" ht="15">
      <c r="A19" s="387"/>
      <c r="B19" s="587" t="s">
        <v>2326</v>
      </c>
      <c r="C19" s="203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899"/>
      <c r="M19" s="2893"/>
      <c r="N19" s="2893"/>
      <c r="O19" s="2951"/>
      <c r="P19" s="3523"/>
      <c r="Q19" s="1486" t="str">
        <f t="shared" ref="Q19:Q33" si="8">B19</f>
        <v>区域土地利用方向</v>
      </c>
      <c r="R19" s="714" t="s">
        <v>17</v>
      </c>
      <c r="S19" s="715">
        <f>F19</f>
        <v>100</v>
      </c>
      <c r="T19" s="714" t="s">
        <v>17</v>
      </c>
      <c r="U19" s="715">
        <f>H19</f>
        <v>100</v>
      </c>
      <c r="V19" s="714" t="s">
        <v>17</v>
      </c>
      <c r="W19" s="715">
        <f>J19</f>
        <v>100</v>
      </c>
      <c r="X19" s="1489"/>
      <c r="Y19" s="3523"/>
      <c r="Z19" s="1490" t="str">
        <f>Q19</f>
        <v>区域土地利用方向</v>
      </c>
      <c r="AA19" s="1487">
        <f t="shared" si="3"/>
        <v>1</v>
      </c>
      <c r="AB19" s="1487">
        <f t="shared" si="4"/>
        <v>1</v>
      </c>
      <c r="AC19" s="1487">
        <f t="shared" si="5"/>
        <v>1</v>
      </c>
    </row>
    <row r="20" spans="1:29" ht="15">
      <c r="A20" s="364"/>
      <c r="B20" s="588"/>
      <c r="C20" s="406" t="s">
        <v>3501</v>
      </c>
      <c r="D20" s="407"/>
      <c r="E20" s="406" t="s">
        <v>3501</v>
      </c>
      <c r="F20" s="407"/>
      <c r="G20" s="406" t="s">
        <v>3501</v>
      </c>
      <c r="H20" s="407"/>
      <c r="I20" s="406" t="s">
        <v>3501</v>
      </c>
      <c r="J20" s="407"/>
      <c r="K20" s="751"/>
      <c r="L20" s="2899"/>
      <c r="M20" s="2893"/>
      <c r="N20" s="2893"/>
      <c r="O20" s="2951"/>
      <c r="P20" s="3523"/>
      <c r="Q20" s="1486"/>
      <c r="R20" s="714"/>
      <c r="S20" s="715"/>
      <c r="T20" s="714"/>
      <c r="U20" s="715"/>
      <c r="V20" s="714"/>
      <c r="W20" s="715"/>
      <c r="X20" s="1489"/>
      <c r="Y20" s="3523"/>
      <c r="Z20" s="1490"/>
      <c r="AA20" s="1487"/>
      <c r="AB20" s="1487"/>
      <c r="AC20" s="1487"/>
    </row>
    <row r="21" spans="1:29" ht="71.25">
      <c r="A21" s="364"/>
      <c r="B21" s="587" t="s">
        <v>2376</v>
      </c>
      <c r="C21" s="203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899"/>
      <c r="M21" s="2893"/>
      <c r="N21" s="2893"/>
      <c r="O21" s="2951"/>
      <c r="P21" s="3523"/>
      <c r="Q21" s="1486" t="str">
        <f t="shared" si="8"/>
        <v>环境状况</v>
      </c>
      <c r="R21" s="714" t="s">
        <v>17</v>
      </c>
      <c r="S21" s="715">
        <f>F21</f>
        <v>100</v>
      </c>
      <c r="T21" s="714" t="s">
        <v>17</v>
      </c>
      <c r="U21" s="715">
        <f>H21</f>
        <v>100</v>
      </c>
      <c r="V21" s="714" t="s">
        <v>17</v>
      </c>
      <c r="W21" s="715">
        <f>J21</f>
        <v>100</v>
      </c>
      <c r="X21" s="1489"/>
      <c r="Y21" s="3523"/>
      <c r="Z21" s="1490" t="str">
        <f>Q21</f>
        <v>环境状况</v>
      </c>
      <c r="AA21" s="1487">
        <f t="shared" si="3"/>
        <v>1</v>
      </c>
      <c r="AB21" s="1487">
        <f t="shared" si="4"/>
        <v>1</v>
      </c>
      <c r="AC21" s="1487">
        <f t="shared" si="5"/>
        <v>1</v>
      </c>
    </row>
    <row r="22" spans="1:29" ht="15">
      <c r="A22" s="364"/>
      <c r="B22" s="588"/>
      <c r="C22" s="406" t="s">
        <v>3502</v>
      </c>
      <c r="D22" s="407"/>
      <c r="E22" s="2039" t="s">
        <v>3502</v>
      </c>
      <c r="F22" s="407"/>
      <c r="G22" s="2039" t="s">
        <v>3502</v>
      </c>
      <c r="H22" s="407"/>
      <c r="I22" s="2039" t="s">
        <v>3502</v>
      </c>
      <c r="J22" s="407"/>
      <c r="K22" s="628"/>
      <c r="L22" s="2899"/>
      <c r="M22" s="2893"/>
      <c r="N22" s="2893"/>
      <c r="O22" s="2951"/>
      <c r="P22" s="3523"/>
      <c r="Q22" s="1486"/>
      <c r="R22" s="714"/>
      <c r="S22" s="715"/>
      <c r="T22" s="714"/>
      <c r="U22" s="715"/>
      <c r="V22" s="714"/>
      <c r="W22" s="715"/>
      <c r="X22" s="1489"/>
      <c r="Y22" s="3523"/>
      <c r="Z22" s="1490"/>
      <c r="AA22" s="1487">
        <v>1</v>
      </c>
      <c r="AB22" s="1487">
        <v>1</v>
      </c>
      <c r="AC22" s="1487">
        <v>1</v>
      </c>
    </row>
    <row r="23" spans="1:29" s="113" customFormat="1" ht="42.75">
      <c r="A23" s="605"/>
      <c r="B23" s="589" t="s">
        <v>2232</v>
      </c>
      <c r="C23" s="203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894"/>
      <c r="M23" s="2895"/>
      <c r="N23" s="2895"/>
      <c r="O23" s="2949"/>
      <c r="P23" s="3523"/>
      <c r="Q23" s="1477" t="str">
        <f t="shared" si="8"/>
        <v>公共配套设施</v>
      </c>
      <c r="R23" s="710" t="s">
        <v>17</v>
      </c>
      <c r="S23" s="711">
        <f>F23</f>
        <v>100</v>
      </c>
      <c r="T23" s="710" t="s">
        <v>17</v>
      </c>
      <c r="U23" s="711">
        <f>H23</f>
        <v>100</v>
      </c>
      <c r="V23" s="710" t="s">
        <v>17</v>
      </c>
      <c r="W23" s="711">
        <f>J23</f>
        <v>100</v>
      </c>
      <c r="X23" s="712"/>
      <c r="Y23" s="3523"/>
      <c r="Z23" s="55" t="str">
        <f>Q23</f>
        <v>公共配套设施</v>
      </c>
      <c r="AA23" s="1487">
        <f>D23/F23</f>
        <v>1</v>
      </c>
      <c r="AB23" s="1487">
        <f>D23/H23</f>
        <v>1</v>
      </c>
      <c r="AC23" s="1487">
        <f>D23/J23</f>
        <v>1</v>
      </c>
    </row>
    <row r="24" spans="1:29" s="113" customFormat="1" ht="15">
      <c r="A24" s="605"/>
      <c r="B24" s="588"/>
      <c r="C24" s="2113" t="s">
        <v>3502</v>
      </c>
      <c r="D24" s="407"/>
      <c r="E24" s="2113" t="s">
        <v>3502</v>
      </c>
      <c r="F24" s="407"/>
      <c r="G24" s="2113" t="s">
        <v>3502</v>
      </c>
      <c r="H24" s="407"/>
      <c r="I24" s="2113" t="s">
        <v>3502</v>
      </c>
      <c r="J24" s="407"/>
      <c r="K24" s="628"/>
      <c r="L24" s="2894"/>
      <c r="M24" s="2895"/>
      <c r="N24" s="2895"/>
      <c r="O24" s="2949"/>
      <c r="P24" s="3523"/>
      <c r="Q24" s="1477"/>
      <c r="R24" s="710"/>
      <c r="S24" s="711"/>
      <c r="T24" s="710"/>
      <c r="U24" s="711"/>
      <c r="V24" s="710"/>
      <c r="W24" s="711"/>
      <c r="X24" s="712"/>
      <c r="Y24" s="3523"/>
      <c r="Z24" s="55"/>
      <c r="AA24" s="713">
        <v>1</v>
      </c>
      <c r="AB24" s="713">
        <v>1</v>
      </c>
      <c r="AC24" s="713">
        <v>1</v>
      </c>
    </row>
    <row r="25" spans="1:29" s="113" customFormat="1" ht="28.5">
      <c r="A25" s="605"/>
      <c r="B25" s="589" t="s">
        <v>2233</v>
      </c>
      <c r="C25" s="203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1</v>
      </c>
      <c r="L25" s="2894"/>
      <c r="M25" s="2895"/>
      <c r="N25" s="2895"/>
      <c r="O25" s="2949"/>
      <c r="P25" s="3523"/>
      <c r="Q25" s="1477" t="str">
        <f t="shared" ref="Q25" si="9">B25</f>
        <v>基础设施水平</v>
      </c>
      <c r="R25" s="710" t="s">
        <v>17</v>
      </c>
      <c r="S25" s="711">
        <f>F25</f>
        <v>100</v>
      </c>
      <c r="T25" s="710" t="s">
        <v>17</v>
      </c>
      <c r="U25" s="711">
        <f>H25</f>
        <v>100</v>
      </c>
      <c r="V25" s="710" t="s">
        <v>17</v>
      </c>
      <c r="W25" s="711">
        <f>J25</f>
        <v>100</v>
      </c>
      <c r="X25" s="712"/>
      <c r="Y25" s="3523"/>
      <c r="Z25" s="55" t="str">
        <f>Q25</f>
        <v>基础设施水平</v>
      </c>
      <c r="AA25" s="1487">
        <f>D25/F25</f>
        <v>1</v>
      </c>
      <c r="AB25" s="1487">
        <f>D25/H25</f>
        <v>1</v>
      </c>
      <c r="AC25" s="1487">
        <f>D25/J25</f>
        <v>1</v>
      </c>
    </row>
    <row r="26" spans="1:29" s="113" customFormat="1" ht="15.75" thickBot="1">
      <c r="A26" s="605"/>
      <c r="B26" s="588"/>
      <c r="C26" s="2113" t="s">
        <v>3503</v>
      </c>
      <c r="D26" s="407"/>
      <c r="E26" s="2113" t="s">
        <v>3503</v>
      </c>
      <c r="F26" s="407"/>
      <c r="G26" s="2113" t="s">
        <v>3503</v>
      </c>
      <c r="H26" s="407"/>
      <c r="I26" s="2113" t="s">
        <v>3503</v>
      </c>
      <c r="J26" s="407"/>
      <c r="K26" s="628"/>
      <c r="L26" s="2894"/>
      <c r="M26" s="2895"/>
      <c r="N26" s="2895"/>
      <c r="O26" s="2949"/>
      <c r="P26" s="3523"/>
      <c r="Q26" s="1477"/>
      <c r="R26" s="710"/>
      <c r="S26" s="711"/>
      <c r="T26" s="710"/>
      <c r="U26" s="711"/>
      <c r="V26" s="710"/>
      <c r="W26" s="711"/>
      <c r="X26" s="712"/>
      <c r="Y26" s="3523"/>
      <c r="Z26" s="55"/>
      <c r="AA26" s="713">
        <v>1</v>
      </c>
      <c r="AB26" s="713">
        <v>1</v>
      </c>
      <c r="AC26" s="713">
        <v>1</v>
      </c>
    </row>
    <row r="27" spans="1:29" ht="15" hidden="1">
      <c r="A27" s="387"/>
      <c r="B27" s="588" t="s">
        <v>2234</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523"/>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523"/>
      <c r="Z27" s="1490" t="str">
        <f t="shared" ref="Z27:Z40" si="13">Q27</f>
        <v>临街状况</v>
      </c>
      <c r="AA27" s="1487">
        <f t="shared" si="3"/>
        <v>1</v>
      </c>
      <c r="AB27" s="1487">
        <f t="shared" si="4"/>
        <v>1</v>
      </c>
      <c r="AC27" s="1487">
        <f t="shared" si="5"/>
        <v>1</v>
      </c>
    </row>
    <row r="28" spans="1:29" ht="27" hidden="1">
      <c r="A28" s="387"/>
      <c r="B28" s="589" t="s">
        <v>2269</v>
      </c>
      <c r="C28" s="212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523"/>
      <c r="Q28" s="1486" t="str">
        <f t="shared" si="8"/>
        <v>毗邻道路的类型与等级</v>
      </c>
      <c r="R28" s="714" t="s">
        <v>17</v>
      </c>
      <c r="S28" s="715">
        <f t="shared" si="10"/>
        <v>100</v>
      </c>
      <c r="T28" s="714" t="s">
        <v>17</v>
      </c>
      <c r="U28" s="715">
        <f t="shared" si="11"/>
        <v>100</v>
      </c>
      <c r="V28" s="714" t="s">
        <v>17</v>
      </c>
      <c r="W28" s="715">
        <f t="shared" si="12"/>
        <v>100</v>
      </c>
      <c r="X28" s="1489"/>
      <c r="Y28" s="3523"/>
      <c r="Z28" s="1490" t="str">
        <f t="shared" si="13"/>
        <v>毗邻道路的类型与等级</v>
      </c>
      <c r="AA28" s="1487">
        <f t="shared" si="3"/>
        <v>1</v>
      </c>
      <c r="AB28" s="1487">
        <f t="shared" si="4"/>
        <v>1</v>
      </c>
      <c r="AC28" s="1487">
        <f t="shared" si="5"/>
        <v>1</v>
      </c>
    </row>
    <row r="29" spans="1:29" ht="15" hidden="1">
      <c r="A29" s="387"/>
      <c r="B29" s="588"/>
      <c r="C29" s="406"/>
      <c r="D29" s="407"/>
      <c r="E29" s="2039"/>
      <c r="F29" s="407"/>
      <c r="G29" s="2039"/>
      <c r="H29" s="407"/>
      <c r="I29" s="2039"/>
      <c r="J29" s="407"/>
      <c r="K29" s="570"/>
      <c r="L29" s="2899"/>
      <c r="M29" s="2893"/>
      <c r="N29" s="2893"/>
      <c r="O29" s="2951"/>
      <c r="P29" s="3523"/>
      <c r="Q29" s="1486"/>
      <c r="R29" s="714"/>
      <c r="S29" s="715"/>
      <c r="T29" s="714"/>
      <c r="U29" s="715"/>
      <c r="V29" s="714"/>
      <c r="W29" s="715"/>
      <c r="X29" s="1489"/>
      <c r="Y29" s="3523"/>
      <c r="Z29" s="1490"/>
      <c r="AA29" s="1487">
        <v>1</v>
      </c>
      <c r="AB29" s="1487">
        <v>1</v>
      </c>
      <c r="AC29" s="1487">
        <v>1</v>
      </c>
    </row>
    <row r="30" spans="1:29" ht="15" hidden="1">
      <c r="A30" s="387"/>
      <c r="B30" s="610" t="s">
        <v>2328</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523"/>
      <c r="Q30" s="1486" t="str">
        <f t="shared" si="8"/>
        <v>土地级别</v>
      </c>
      <c r="R30" s="714" t="s">
        <v>17</v>
      </c>
      <c r="S30" s="715">
        <f t="shared" si="10"/>
        <v>100</v>
      </c>
      <c r="T30" s="714" t="s">
        <v>17</v>
      </c>
      <c r="U30" s="715">
        <f t="shared" si="11"/>
        <v>100</v>
      </c>
      <c r="V30" s="714" t="s">
        <v>17</v>
      </c>
      <c r="W30" s="715">
        <f t="shared" si="12"/>
        <v>100</v>
      </c>
      <c r="X30" s="1489"/>
      <c r="Y30" s="3523"/>
      <c r="Z30" s="1490" t="str">
        <f t="shared" si="13"/>
        <v>土地级别</v>
      </c>
      <c r="AA30" s="1487">
        <f t="shared" si="3"/>
        <v>1</v>
      </c>
      <c r="AB30" s="1487">
        <f t="shared" si="4"/>
        <v>1</v>
      </c>
      <c r="AC30" s="1487">
        <f t="shared" si="5"/>
        <v>1</v>
      </c>
    </row>
    <row r="31" spans="1:29" ht="15" hidden="1">
      <c r="A31" s="364"/>
      <c r="B31" s="210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523"/>
      <c r="Q31" s="1486">
        <f t="shared" si="8"/>
        <v>111</v>
      </c>
      <c r="R31" s="714" t="s">
        <v>17</v>
      </c>
      <c r="S31" s="715">
        <f t="shared" si="10"/>
        <v>100</v>
      </c>
      <c r="T31" s="714" t="s">
        <v>17</v>
      </c>
      <c r="U31" s="715">
        <f t="shared" si="11"/>
        <v>100</v>
      </c>
      <c r="V31" s="714" t="s">
        <v>17</v>
      </c>
      <c r="W31" s="715">
        <f t="shared" si="12"/>
        <v>100</v>
      </c>
      <c r="X31" s="1489"/>
      <c r="Y31" s="3523"/>
      <c r="Z31" s="1490">
        <f t="shared" si="13"/>
        <v>111</v>
      </c>
      <c r="AA31" s="1487">
        <f t="shared" si="3"/>
        <v>1</v>
      </c>
      <c r="AB31" s="1487">
        <f t="shared" si="4"/>
        <v>1</v>
      </c>
      <c r="AC31" s="1487">
        <f t="shared" si="5"/>
        <v>1</v>
      </c>
    </row>
    <row r="32" spans="1:29" ht="15" hidden="1">
      <c r="A32" s="631"/>
      <c r="B32" s="212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578" t="s">
        <v>2143</v>
      </c>
      <c r="Q32" s="1486">
        <f t="shared" si="8"/>
        <v>111</v>
      </c>
      <c r="R32" s="714" t="s">
        <v>17</v>
      </c>
      <c r="S32" s="715">
        <f t="shared" si="10"/>
        <v>100</v>
      </c>
      <c r="T32" s="714" t="s">
        <v>17</v>
      </c>
      <c r="U32" s="715">
        <f t="shared" si="11"/>
        <v>100</v>
      </c>
      <c r="V32" s="714" t="s">
        <v>17</v>
      </c>
      <c r="W32" s="715">
        <f t="shared" si="12"/>
        <v>100</v>
      </c>
      <c r="X32" s="1489"/>
      <c r="Y32" s="3527" t="s">
        <v>2143</v>
      </c>
      <c r="Z32" s="1490">
        <f t="shared" si="13"/>
        <v>111</v>
      </c>
      <c r="AA32" s="1487">
        <f t="shared" si="3"/>
        <v>1</v>
      </c>
      <c r="AB32" s="1487">
        <f t="shared" si="4"/>
        <v>1</v>
      </c>
      <c r="AC32" s="1487">
        <f t="shared" si="5"/>
        <v>1</v>
      </c>
    </row>
    <row r="33" spans="1:31" s="430" customFormat="1" ht="15.75" hidden="1" thickBot="1">
      <c r="A33" s="632"/>
      <c r="B33" s="212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527"/>
      <c r="Q33" s="1486">
        <f t="shared" si="8"/>
        <v>111</v>
      </c>
      <c r="R33" s="717" t="s">
        <v>17</v>
      </c>
      <c r="S33" s="718">
        <f t="shared" si="10"/>
        <v>100</v>
      </c>
      <c r="T33" s="717" t="s">
        <v>17</v>
      </c>
      <c r="U33" s="718">
        <f t="shared" si="11"/>
        <v>100</v>
      </c>
      <c r="V33" s="717" t="s">
        <v>17</v>
      </c>
      <c r="W33" s="718">
        <f t="shared" si="12"/>
        <v>100</v>
      </c>
      <c r="X33" s="719"/>
      <c r="Y33" s="3527"/>
      <c r="Z33" s="720">
        <f t="shared" si="13"/>
        <v>111</v>
      </c>
      <c r="AA33" s="1487">
        <f t="shared" si="3"/>
        <v>1</v>
      </c>
      <c r="AB33" s="1487">
        <f t="shared" si="4"/>
        <v>1</v>
      </c>
      <c r="AC33" s="1487">
        <f t="shared" si="5"/>
        <v>1</v>
      </c>
    </row>
    <row r="34" spans="1:31" ht="15">
      <c r="A34" s="399" t="s">
        <v>2141</v>
      </c>
      <c r="B34" s="415" t="s">
        <v>2329</v>
      </c>
      <c r="C34" s="635">
        <f>'数据-基础表'!A3</f>
        <v>119876.49</v>
      </c>
      <c r="D34" s="426">
        <v>100</v>
      </c>
      <c r="E34" s="635">
        <f>土地案例!G6</f>
        <v>20000</v>
      </c>
      <c r="F34" s="426">
        <f>LOOKUP(E34,108:108,109:109)-LOOKUP(C34,108:108,109:109)+100</f>
        <v>98</v>
      </c>
      <c r="G34" s="635">
        <f>土地案例!G3</f>
        <v>63922.57</v>
      </c>
      <c r="H34" s="426">
        <f>LOOKUP(G34,108:108,109:109)-LOOKUP(C34,108:108,109:109)+100</f>
        <v>99</v>
      </c>
      <c r="I34" s="487">
        <f>土地案例!G5</f>
        <v>65233.04</v>
      </c>
      <c r="J34" s="426">
        <f>LOOKUP(I34,108:108,109:109)-LOOKUP(C34,108:108,109:109)+100</f>
        <v>99</v>
      </c>
      <c r="K34" s="570"/>
      <c r="L34" s="2899"/>
      <c r="M34" s="2893"/>
      <c r="N34" s="2893"/>
      <c r="O34" s="2951"/>
      <c r="P34" s="3527"/>
      <c r="Q34" s="1486" t="str">
        <f>B34</f>
        <v>宗地面积</v>
      </c>
      <c r="R34" s="714" t="s">
        <v>17</v>
      </c>
      <c r="S34" s="715">
        <f t="shared" si="10"/>
        <v>98</v>
      </c>
      <c r="T34" s="714" t="s">
        <v>17</v>
      </c>
      <c r="U34" s="715">
        <f t="shared" si="11"/>
        <v>99</v>
      </c>
      <c r="V34" s="714" t="s">
        <v>17</v>
      </c>
      <c r="W34" s="715">
        <f t="shared" si="12"/>
        <v>99</v>
      </c>
      <c r="X34" s="1489"/>
      <c r="Y34" s="3527"/>
      <c r="Z34" s="1490" t="str">
        <f t="shared" si="13"/>
        <v>宗地面积</v>
      </c>
      <c r="AA34" s="1487">
        <f t="shared" si="3"/>
        <v>1.0204081632653061</v>
      </c>
      <c r="AB34" s="1487">
        <f t="shared" si="4"/>
        <v>1.0101010101010102</v>
      </c>
      <c r="AC34" s="1487">
        <f t="shared" si="5"/>
        <v>1.0101010101010102</v>
      </c>
    </row>
    <row r="35" spans="1:31" ht="15">
      <c r="A35" s="431"/>
      <c r="B35" s="381" t="s">
        <v>2330</v>
      </c>
      <c r="C35" s="2041" t="s">
        <v>3504</v>
      </c>
      <c r="D35" s="394">
        <v>100</v>
      </c>
      <c r="E35" s="2041" t="s">
        <v>3504</v>
      </c>
      <c r="F35" s="394">
        <f>SUMIF(110:110,E35,111:111)-SUMIF(110:110,C35,111:111)+100</f>
        <v>100</v>
      </c>
      <c r="G35" s="2041" t="s">
        <v>3504</v>
      </c>
      <c r="H35" s="394">
        <f>SUMIF(110:110,G35,111:111)-SUMIF(110:110,C35,111:111)+100</f>
        <v>100</v>
      </c>
      <c r="I35" s="2041" t="s">
        <v>3504</v>
      </c>
      <c r="J35" s="394">
        <f>SUMIF(110:110,I35,111:111)-SUMIF(110:110,C35,111:111)+100</f>
        <v>100</v>
      </c>
      <c r="K35" s="569">
        <v>1</v>
      </c>
      <c r="L35" s="2899"/>
      <c r="M35" s="2893"/>
      <c r="N35" s="2893"/>
      <c r="O35" s="2951"/>
      <c r="P35" s="3527"/>
      <c r="Q35" s="1486" t="str">
        <f t="shared" ref="Q35:Q40" si="14">B35</f>
        <v>宗地形状</v>
      </c>
      <c r="R35" s="714" t="s">
        <v>17</v>
      </c>
      <c r="S35" s="715">
        <f t="shared" si="10"/>
        <v>100</v>
      </c>
      <c r="T35" s="714" t="s">
        <v>17</v>
      </c>
      <c r="U35" s="715">
        <f t="shared" si="11"/>
        <v>100</v>
      </c>
      <c r="V35" s="714" t="s">
        <v>17</v>
      </c>
      <c r="W35" s="715">
        <f t="shared" si="12"/>
        <v>100</v>
      </c>
      <c r="X35" s="1489"/>
      <c r="Y35" s="3527"/>
      <c r="Z35" s="1490" t="str">
        <f t="shared" si="13"/>
        <v>宗地形状</v>
      </c>
      <c r="AA35" s="1487">
        <f t="shared" si="3"/>
        <v>1</v>
      </c>
      <c r="AB35" s="1487">
        <f t="shared" si="4"/>
        <v>1</v>
      </c>
      <c r="AC35" s="1487">
        <f t="shared" si="5"/>
        <v>1</v>
      </c>
    </row>
    <row r="36" spans="1:31" s="113" customFormat="1" ht="15">
      <c r="A36" s="432"/>
      <c r="B36" s="381" t="s">
        <v>2332</v>
      </c>
      <c r="C36" s="2115" t="s">
        <v>3665</v>
      </c>
      <c r="D36" s="132">
        <v>100</v>
      </c>
      <c r="E36" s="2115" t="s">
        <v>3508</v>
      </c>
      <c r="F36" s="394">
        <f>SUMIF(112:112,E36,113:113)-SUMIF(112:112,C36,113:113)+100</f>
        <v>99.5</v>
      </c>
      <c r="G36" s="2115" t="s">
        <v>3508</v>
      </c>
      <c r="H36" s="394">
        <f>SUMIF(112:112,G36,113:113)-SUMIF(112:112,C36,113:113)+100</f>
        <v>99.5</v>
      </c>
      <c r="I36" s="2115" t="s">
        <v>3508</v>
      </c>
      <c r="J36" s="394">
        <f>SUMIF(112:112,I36,113:113)-SUMIF(112:112,C36,113:113)+100</f>
        <v>99.5</v>
      </c>
      <c r="K36" s="569">
        <v>0.5</v>
      </c>
      <c r="L36" s="2894"/>
      <c r="M36" s="2895"/>
      <c r="N36" s="2895"/>
      <c r="O36" s="2949"/>
      <c r="P36" s="3527"/>
      <c r="Q36" s="1486" t="str">
        <f t="shared" si="14"/>
        <v>宗地开发程度</v>
      </c>
      <c r="R36" s="710" t="s">
        <v>17</v>
      </c>
      <c r="S36" s="711">
        <f t="shared" si="10"/>
        <v>99.5</v>
      </c>
      <c r="T36" s="710" t="s">
        <v>17</v>
      </c>
      <c r="U36" s="711">
        <f t="shared" si="11"/>
        <v>99.5</v>
      </c>
      <c r="V36" s="710" t="s">
        <v>17</v>
      </c>
      <c r="W36" s="711">
        <f t="shared" si="12"/>
        <v>99.5</v>
      </c>
      <c r="X36" s="712"/>
      <c r="Y36" s="3527"/>
      <c r="Z36" s="55" t="str">
        <f t="shared" si="13"/>
        <v>宗地开发程度</v>
      </c>
      <c r="AA36" s="713">
        <f t="shared" si="3"/>
        <v>1.0050251256281406</v>
      </c>
      <c r="AB36" s="713">
        <f t="shared" si="4"/>
        <v>1.0050251256281406</v>
      </c>
      <c r="AC36" s="713">
        <f t="shared" si="5"/>
        <v>1.0050251256281406</v>
      </c>
    </row>
    <row r="37" spans="1:31" ht="15.75" thickBot="1">
      <c r="A37" s="431"/>
      <c r="B37" s="381" t="s">
        <v>2333</v>
      </c>
      <c r="C37" s="2041" t="s">
        <v>3501</v>
      </c>
      <c r="D37" s="394">
        <v>100</v>
      </c>
      <c r="E37" s="2041" t="s">
        <v>3501</v>
      </c>
      <c r="F37" s="394">
        <f>SUMIF(114:114,E37,115:115)-SUMIF(114:114,C37,115:115)+100</f>
        <v>100</v>
      </c>
      <c r="G37" s="2041" t="s">
        <v>3501</v>
      </c>
      <c r="H37" s="394">
        <f>SUMIF(114:114,G37,115:115)-SUMIF(114:114,C37,115:115)+100</f>
        <v>100</v>
      </c>
      <c r="I37" s="2041" t="s">
        <v>3501</v>
      </c>
      <c r="J37" s="394">
        <f>SUMIF(114:114,I37,115:115)-SUMIF(114:114,C37,115:115)+100</f>
        <v>100</v>
      </c>
      <c r="K37" s="569">
        <v>1</v>
      </c>
      <c r="L37" s="2899"/>
      <c r="M37" s="2893"/>
      <c r="N37" s="2893"/>
      <c r="O37" s="2951"/>
      <c r="P37" s="3527" t="s">
        <v>2143</v>
      </c>
      <c r="Q37" s="1486" t="str">
        <f t="shared" si="14"/>
        <v>工程地质条件</v>
      </c>
      <c r="R37" s="714" t="s">
        <v>17</v>
      </c>
      <c r="S37" s="715">
        <f t="shared" si="10"/>
        <v>100</v>
      </c>
      <c r="T37" s="714" t="s">
        <v>17</v>
      </c>
      <c r="U37" s="715">
        <f t="shared" si="11"/>
        <v>100</v>
      </c>
      <c r="V37" s="714" t="s">
        <v>17</v>
      </c>
      <c r="W37" s="715">
        <f t="shared" si="12"/>
        <v>100</v>
      </c>
      <c r="X37" s="1489"/>
      <c r="Y37" s="3527" t="s">
        <v>2143</v>
      </c>
      <c r="Z37" s="1490" t="str">
        <f t="shared" si="13"/>
        <v>工程地质条件</v>
      </c>
      <c r="AA37" s="1487">
        <f t="shared" si="3"/>
        <v>1</v>
      </c>
      <c r="AB37" s="1487">
        <f t="shared" si="4"/>
        <v>1</v>
      </c>
      <c r="AC37" s="1487">
        <f t="shared" si="5"/>
        <v>1</v>
      </c>
    </row>
    <row r="38" spans="1:31" ht="15" hidden="1">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527"/>
      <c r="Q38" s="1486">
        <f t="shared" si="14"/>
        <v>111</v>
      </c>
      <c r="R38" s="714" t="s">
        <v>17</v>
      </c>
      <c r="S38" s="715">
        <f t="shared" si="10"/>
        <v>100</v>
      </c>
      <c r="T38" s="714" t="s">
        <v>17</v>
      </c>
      <c r="U38" s="715">
        <f t="shared" si="11"/>
        <v>100</v>
      </c>
      <c r="V38" s="714" t="s">
        <v>17</v>
      </c>
      <c r="W38" s="715">
        <f t="shared" si="12"/>
        <v>100</v>
      </c>
      <c r="X38" s="1489"/>
      <c r="Y38" s="3527"/>
      <c r="Z38" s="1490">
        <f t="shared" si="13"/>
        <v>111</v>
      </c>
      <c r="AA38" s="1487">
        <f t="shared" si="3"/>
        <v>1</v>
      </c>
      <c r="AB38" s="1487">
        <f t="shared" si="4"/>
        <v>1</v>
      </c>
      <c r="AC38" s="1487">
        <f t="shared" si="5"/>
        <v>1</v>
      </c>
    </row>
    <row r="39" spans="1:31" ht="15" hidden="1">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527"/>
      <c r="Q39" s="1486">
        <f t="shared" si="14"/>
        <v>111</v>
      </c>
      <c r="R39" s="714" t="s">
        <v>17</v>
      </c>
      <c r="S39" s="715">
        <f t="shared" si="10"/>
        <v>100</v>
      </c>
      <c r="T39" s="714" t="s">
        <v>17</v>
      </c>
      <c r="U39" s="715">
        <f t="shared" si="11"/>
        <v>100</v>
      </c>
      <c r="V39" s="714" t="s">
        <v>17</v>
      </c>
      <c r="W39" s="715">
        <f t="shared" si="12"/>
        <v>100</v>
      </c>
      <c r="X39" s="1489"/>
      <c r="Y39" s="3527"/>
      <c r="Z39" s="1490">
        <f t="shared" si="13"/>
        <v>111</v>
      </c>
      <c r="AA39" s="1487">
        <f t="shared" si="3"/>
        <v>1</v>
      </c>
      <c r="AB39" s="1487">
        <f t="shared" si="4"/>
        <v>1</v>
      </c>
      <c r="AC39" s="1487">
        <f t="shared" si="5"/>
        <v>1</v>
      </c>
    </row>
    <row r="40" spans="1:31" s="430" customFormat="1" ht="15.75" hidden="1" thickBot="1">
      <c r="A40" s="427"/>
      <c r="B40" s="1249">
        <v>111</v>
      </c>
      <c r="C40" s="2116"/>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527"/>
      <c r="Q40" s="1486">
        <f t="shared" si="14"/>
        <v>111</v>
      </c>
      <c r="R40" s="717" t="s">
        <v>17</v>
      </c>
      <c r="S40" s="718">
        <f t="shared" si="10"/>
        <v>100</v>
      </c>
      <c r="T40" s="717" t="s">
        <v>17</v>
      </c>
      <c r="U40" s="718">
        <f t="shared" si="11"/>
        <v>100</v>
      </c>
      <c r="V40" s="717" t="s">
        <v>17</v>
      </c>
      <c r="W40" s="718">
        <f t="shared" si="12"/>
        <v>100</v>
      </c>
      <c r="X40" s="719"/>
      <c r="Y40" s="3527"/>
      <c r="Z40" s="720">
        <f t="shared" si="13"/>
        <v>111</v>
      </c>
      <c r="AA40" s="1487">
        <f t="shared" si="3"/>
        <v>1</v>
      </c>
      <c r="AB40" s="1487">
        <f t="shared" si="4"/>
        <v>1</v>
      </c>
      <c r="AC40" s="1487">
        <f t="shared" si="5"/>
        <v>1</v>
      </c>
    </row>
    <row r="41" spans="1:31" ht="15">
      <c r="A41" s="438" t="s">
        <v>2298</v>
      </c>
      <c r="B41" s="2117" t="s">
        <v>3507</v>
      </c>
      <c r="C41" s="638" t="s">
        <v>1</v>
      </c>
      <c r="D41" s="440"/>
      <c r="E41" s="441">
        <f>土地案例!AD6</f>
        <v>2071</v>
      </c>
      <c r="F41" s="442"/>
      <c r="G41" s="443">
        <f>土地案例!AD3</f>
        <v>2045</v>
      </c>
      <c r="H41" s="444"/>
      <c r="I41" s="441">
        <f>土地案例!AD5</f>
        <v>2036</v>
      </c>
      <c r="J41" s="444"/>
      <c r="K41" s="723"/>
      <c r="L41" s="2901"/>
      <c r="M41" s="2893"/>
      <c r="N41" s="2893"/>
      <c r="O41" s="2902"/>
      <c r="P41" s="3520" t="str">
        <f>A41</f>
        <v>成交单价</v>
      </c>
      <c r="Q41" s="3520"/>
      <c r="R41" s="3551">
        <f>E41</f>
        <v>2071</v>
      </c>
      <c r="S41" s="3551"/>
      <c r="T41" s="3551">
        <f>G41</f>
        <v>2045</v>
      </c>
      <c r="U41" s="3551"/>
      <c r="V41" s="3551">
        <f>I41</f>
        <v>2036</v>
      </c>
      <c r="W41" s="3551"/>
      <c r="X41" s="699"/>
      <c r="Y41" s="721"/>
      <c r="Z41" s="699"/>
      <c r="AA41" s="699"/>
      <c r="AB41" s="699"/>
      <c r="AC41" s="699"/>
    </row>
    <row r="42" spans="1:31" ht="15.75" thickBot="1">
      <c r="A42" s="445" t="s">
        <v>2247</v>
      </c>
      <c r="B42" s="639"/>
      <c r="C42" s="448">
        <f>R43</f>
        <v>1802</v>
      </c>
      <c r="D42" s="2487" t="s">
        <v>2636</v>
      </c>
      <c r="E42" s="448">
        <f>R42</f>
        <v>1785</v>
      </c>
      <c r="F42" s="2488"/>
      <c r="G42" s="447">
        <f>T42</f>
        <v>1806</v>
      </c>
      <c r="H42" s="2488"/>
      <c r="I42" s="448">
        <f>V42</f>
        <v>1816</v>
      </c>
      <c r="J42" s="2488"/>
      <c r="K42" s="2490">
        <f>F42+H42+J42</f>
        <v>0</v>
      </c>
      <c r="L42" s="2901"/>
      <c r="M42" s="2893"/>
      <c r="N42" s="2893"/>
      <c r="O42" s="2902"/>
      <c r="P42" s="3520" t="str">
        <f>A42</f>
        <v>比较价值（元/平方米）</v>
      </c>
      <c r="Q42" s="3520"/>
      <c r="R42" s="3580">
        <f>ROUND(PRODUCT(R41,AA7:AA40),0)</f>
        <v>1785</v>
      </c>
      <c r="S42" s="3580"/>
      <c r="T42" s="3580">
        <f>ROUND(PRODUCT(T41,AB7:AB40),0)</f>
        <v>1806</v>
      </c>
      <c r="U42" s="3580"/>
      <c r="V42" s="3580">
        <f>ROUND(PRODUCT(V41,AC7:AC40),0)</f>
        <v>1816</v>
      </c>
      <c r="W42" s="3580"/>
      <c r="X42" s="699"/>
      <c r="Y42" s="699"/>
      <c r="Z42" s="699"/>
      <c r="AA42" s="699"/>
      <c r="AB42" s="699"/>
      <c r="AC42" s="699"/>
    </row>
    <row r="43" spans="1:31" ht="15.75" thickBot="1">
      <c r="A43" s="449" t="s">
        <v>2248</v>
      </c>
      <c r="B43" s="450"/>
      <c r="C43" s="451">
        <f>R43</f>
        <v>1802</v>
      </c>
      <c r="D43" s="451"/>
      <c r="E43" s="451"/>
      <c r="F43" s="451"/>
      <c r="G43" s="451"/>
      <c r="H43" s="451"/>
      <c r="I43" s="451"/>
      <c r="J43" s="451"/>
      <c r="K43" s="724"/>
      <c r="L43" s="2901"/>
      <c r="M43" s="2893"/>
      <c r="N43" s="2893"/>
      <c r="O43" s="2902"/>
      <c r="P43" s="3517" t="str">
        <f>A43</f>
        <v>估价对象XX用房的比较价值（楼面单价，元/平方米）</v>
      </c>
      <c r="Q43" s="3518"/>
      <c r="R43" s="3581">
        <f>ROUND(IF(D42="简单平均",AVERAGE(R42:W42),R42*F42+T42*H42+V42*J42),0)</f>
        <v>1802</v>
      </c>
      <c r="S43" s="3581"/>
      <c r="T43" s="3581"/>
      <c r="U43" s="3581"/>
      <c r="V43" s="3581"/>
      <c r="W43" s="3581"/>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2249</v>
      </c>
      <c r="D46" s="455"/>
      <c r="E46" s="456">
        <f>IF(E41&lt;E42,E42/E41-1,E41/E42-1)</f>
        <v>0.16022408963585444</v>
      </c>
      <c r="F46" s="457" t="str">
        <f>IF(OR(E46&gt;=0.3,E46&lt;=-0.3),"超过30%","")</f>
        <v/>
      </c>
      <c r="G46" s="456">
        <f>IF(G41&lt;G42,G42/G41-1,G41/G42-1)</f>
        <v>0.13233665559246965</v>
      </c>
      <c r="H46" s="457" t="str">
        <f>IF(OR(G46&gt;=0.3,G46&lt;=-0.3),"超过30%","")</f>
        <v/>
      </c>
      <c r="I46" s="456">
        <f>IF(I41&lt;I42,I42/I41-1,I41/I42-1)</f>
        <v>0.12114537444933915</v>
      </c>
      <c r="J46" s="457" t="str">
        <f>IF(OR(I46&gt;=0.3,I46&lt;=-0.3),"超过30%","")</f>
        <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2250</v>
      </c>
      <c r="D47" s="458"/>
      <c r="E47" s="456">
        <f>IF(E42&lt;G42,G42/E42-1,E42/G42-1)</f>
        <v>1.1764705882352899E-2</v>
      </c>
      <c r="F47" s="457" t="str">
        <f>IF(OR(E47&gt;=0.2,E47&lt;=-0.2),"超过20%","")</f>
        <v/>
      </c>
      <c r="G47" s="456">
        <f>IF(G42&lt;I42,I42/G42-1,G42/I42-1)</f>
        <v>5.5370985603544476E-3</v>
      </c>
      <c r="H47" s="457" t="str">
        <f>IF(OR(G47&gt;=0.2,G47&lt;=-0.2),"超过20%","")</f>
        <v/>
      </c>
      <c r="I47" s="456">
        <f>IF(I42&lt;E42,E42/I42-1,I42/E42-1)</f>
        <v>1.7366946778711423E-2</v>
      </c>
      <c r="J47" s="457" t="str">
        <f>IF(OR(I47&gt;=0.2,I47&lt;=-0.2),"超过20%","")</f>
        <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2251</v>
      </c>
      <c r="D48" s="458"/>
      <c r="E48" s="456">
        <f>IF(E41&lt;G41,G41/E41-1,E41/G41-1)</f>
        <v>1.2713936430317929E-2</v>
      </c>
      <c r="F48" s="457" t="str">
        <f>IF(OR(E48&gt;=0.3,E48&lt;=-0.3),"超过30%","")</f>
        <v/>
      </c>
      <c r="G48" s="456">
        <f>IF(G41&lt;I41,I41/G41-1,G41/I41-1)</f>
        <v>4.4204322200391832E-3</v>
      </c>
      <c r="H48" s="457" t="str">
        <f>IF(OR(G48&gt;=0.3,G48&lt;=-0.3),"超过30%","")</f>
        <v/>
      </c>
      <c r="I48" s="456">
        <f>IF(I41&lt;E41,E41/I41-1,I41/E41-1)</f>
        <v>1.7190569744597317E-2</v>
      </c>
      <c r="J48" s="457" t="str">
        <f>IF(OR(I48&gt;=0.3,I48&lt;=-0.3),"超过30%","")</f>
        <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2336</v>
      </c>
      <c r="B50" s="641" t="s">
        <v>2337</v>
      </c>
      <c r="C50" s="2118" t="s">
        <v>2338</v>
      </c>
      <c r="D50" s="2119" t="s">
        <v>2339</v>
      </c>
      <c r="E50" s="642" t="s">
        <v>2340</v>
      </c>
      <c r="F50" s="643" t="s">
        <v>2341</v>
      </c>
      <c r="G50" s="3535" t="s">
        <v>2342</v>
      </c>
      <c r="H50" s="3582"/>
      <c r="I50" s="1490" t="s">
        <v>2377</v>
      </c>
      <c r="J50" s="1490">
        <f>项目基本情况!F35</f>
        <v>0</v>
      </c>
      <c r="K50" s="2121" t="s">
        <v>2344</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2345</v>
      </c>
      <c r="B51" s="645">
        <f>C43</f>
        <v>1802</v>
      </c>
      <c r="C51" s="646">
        <v>1</v>
      </c>
      <c r="D51" s="1056">
        <v>1</v>
      </c>
      <c r="E51" s="646">
        <f>'数据-汇总表'!E8+'数据-汇总表'!E9</f>
        <v>175962.71000000002</v>
      </c>
      <c r="F51" s="647">
        <f t="shared" ref="F51:F60" si="15">ROUND(B51*E51/10000,0)</f>
        <v>31708</v>
      </c>
      <c r="G51" s="3531"/>
      <c r="H51" s="3520"/>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2346</v>
      </c>
      <c r="B52" s="224">
        <f>ROUND($C$43*C52*D52,0)</f>
        <v>225</v>
      </c>
      <c r="C52" s="176">
        <f t="shared" ref="C52:C60" si="16">IF($C$50="北京市系数",I52,J52)</f>
        <v>0.5</v>
      </c>
      <c r="D52" s="1057">
        <v>0.25</v>
      </c>
      <c r="E52" s="650"/>
      <c r="F52" s="647">
        <f t="shared" si="15"/>
        <v>0</v>
      </c>
      <c r="G52" s="3226" t="s">
        <v>2347</v>
      </c>
      <c r="H52" s="999" t="str">
        <f>项目基本情况!B37</f>
        <v>十级</v>
      </c>
      <c r="I52" s="860">
        <f>SUMIF(修正!A57:A68,H52,修正!B57:B68)</f>
        <v>0.5</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2348</v>
      </c>
      <c r="B53" s="224">
        <f t="shared" ref="B53:B60" si="17">ROUND($C$43*C53*D53,0)</f>
        <v>90</v>
      </c>
      <c r="C53" s="176">
        <f t="shared" si="16"/>
        <v>0.2</v>
      </c>
      <c r="D53" s="1057">
        <v>0.25</v>
      </c>
      <c r="E53" s="650"/>
      <c r="F53" s="647">
        <f t="shared" si="15"/>
        <v>0</v>
      </c>
      <c r="G53" s="3227"/>
      <c r="H53" s="999" t="str">
        <f>项目基本情况!B37</f>
        <v>十级</v>
      </c>
      <c r="I53" s="860">
        <f>SUMIF(修正!A57:A68,H53,修正!C57:C68)</f>
        <v>0.2</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2349</v>
      </c>
      <c r="B54" s="224">
        <f t="shared" si="17"/>
        <v>90</v>
      </c>
      <c r="C54" s="176">
        <f t="shared" si="16"/>
        <v>0.2</v>
      </c>
      <c r="D54" s="1057">
        <v>0.25</v>
      </c>
      <c r="E54" s="650"/>
      <c r="F54" s="647">
        <f t="shared" si="15"/>
        <v>0</v>
      </c>
      <c r="G54" s="3227"/>
      <c r="H54" s="999" t="str">
        <f>项目基本情况!B37</f>
        <v>十级</v>
      </c>
      <c r="I54" s="860">
        <f>SUMIF(修正!A57:A68,H54,修正!D57:D68)</f>
        <v>0.2</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2350</v>
      </c>
      <c r="B56" s="224">
        <f t="shared" si="17"/>
        <v>90</v>
      </c>
      <c r="C56" s="176">
        <f t="shared" si="16"/>
        <v>0.2</v>
      </c>
      <c r="D56" s="1057">
        <v>0.25</v>
      </c>
      <c r="E56" s="223">
        <f>'数据-汇总表'!E11</f>
        <v>0</v>
      </c>
      <c r="F56" s="647">
        <f t="shared" si="15"/>
        <v>0</v>
      </c>
      <c r="G56" s="2122" t="s">
        <v>2351</v>
      </c>
      <c r="H56" s="999" t="str">
        <f>项目基本情况!C37</f>
        <v>十级</v>
      </c>
      <c r="I56" s="860">
        <f>SUMIF(修正!A57:A68,H56,修正!E57:E68)</f>
        <v>0.2</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2352</v>
      </c>
      <c r="B57" s="224">
        <f t="shared" si="17"/>
        <v>90</v>
      </c>
      <c r="C57" s="176">
        <f t="shared" si="16"/>
        <v>0.2</v>
      </c>
      <c r="D57" s="1057">
        <v>0.25</v>
      </c>
      <c r="E57" s="223">
        <f>'数据-汇总表'!E12</f>
        <v>29778.85</v>
      </c>
      <c r="F57" s="647">
        <f t="shared" si="15"/>
        <v>268</v>
      </c>
      <c r="G57" s="1004" t="s">
        <v>2353</v>
      </c>
      <c r="H57" s="999" t="str">
        <f>IF(G57="商业",项目基本情况!B37,IF(G57="办公",项目基本情况!C37,IF(G57="住宅",项目基本情况!D37,项目基本情况!E37)))</f>
        <v>十级</v>
      </c>
      <c r="I57" s="860">
        <f>SUMIF(修正!A57:A68,H57,修正!F57:F68)</f>
        <v>0.2</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2354</v>
      </c>
      <c r="B58" s="224">
        <f t="shared" si="17"/>
        <v>45</v>
      </c>
      <c r="C58" s="176">
        <f t="shared" si="16"/>
        <v>0.1</v>
      </c>
      <c r="D58" s="1057">
        <v>0.25</v>
      </c>
      <c r="E58" s="223">
        <f>'数据-汇总表'!E13</f>
        <v>30257.699999999997</v>
      </c>
      <c r="F58" s="647">
        <f t="shared" si="15"/>
        <v>136</v>
      </c>
      <c r="G58" s="1004" t="s">
        <v>2355</v>
      </c>
      <c r="H58" s="999" t="str">
        <f>IF(G58="商业",项目基本情况!B37,IF(G58="办公",项目基本情况!C37,IF(G58="住宅",项目基本情况!D37,项目基本情况!E37)))</f>
        <v>十级</v>
      </c>
      <c r="I58" s="860">
        <f>SUMIF(修正!A57:A68,H58,修正!G57:G68)</f>
        <v>0.1</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2356</v>
      </c>
      <c r="B59" s="224">
        <f t="shared" si="17"/>
        <v>45</v>
      </c>
      <c r="C59" s="176">
        <f t="shared" si="16"/>
        <v>0.1</v>
      </c>
      <c r="D59" s="1057">
        <v>0.25</v>
      </c>
      <c r="E59" s="223">
        <f>'数据-汇总表'!E14</f>
        <v>0</v>
      </c>
      <c r="F59" s="647">
        <f t="shared" si="15"/>
        <v>0</v>
      </c>
      <c r="G59" s="2122" t="s">
        <v>2347</v>
      </c>
      <c r="H59" s="999" t="str">
        <f>项目基本情况!B37</f>
        <v>十级</v>
      </c>
      <c r="I59" s="860">
        <f>SUMIF(修正!A57:A68,H59,修正!G57:G68)</f>
        <v>0.1</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2357</v>
      </c>
      <c r="B60" s="224">
        <f t="shared" si="17"/>
        <v>45</v>
      </c>
      <c r="C60" s="176">
        <f t="shared" si="16"/>
        <v>0.1</v>
      </c>
      <c r="D60" s="1057">
        <v>0.25</v>
      </c>
      <c r="E60" s="223">
        <f>'数据-汇总表'!E15</f>
        <v>0</v>
      </c>
      <c r="F60" s="647">
        <f t="shared" si="15"/>
        <v>0</v>
      </c>
      <c r="G60" s="2123" t="s">
        <v>2351</v>
      </c>
      <c r="H60" s="1009" t="str">
        <f>项目基本情况!C37</f>
        <v>十级</v>
      </c>
      <c r="I60" s="860">
        <f>SUMIF(修正!A57:A68,H60,修正!G57:G68)</f>
        <v>0.1</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2358</v>
      </c>
      <c r="B61" s="652" t="s">
        <v>28</v>
      </c>
      <c r="C61" s="652" t="s">
        <v>29</v>
      </c>
      <c r="D61" s="652" t="s">
        <v>816</v>
      </c>
      <c r="E61" s="652">
        <f>IF(B41="楼面地价",SUM(E51:E60),'数据-汇总表'!D3)</f>
        <v>235999.26</v>
      </c>
      <c r="F61" s="653">
        <f>IF(B41="楼面地价",SUM(F51:F60),ROUND(C43*E61/10000,0))</f>
        <v>32112</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2022-7-1</v>
      </c>
      <c r="D63" s="701">
        <f>EDATE(C63,-3)</f>
        <v>44652</v>
      </c>
      <c r="E63" s="701">
        <f>EDATE(D63,-3)</f>
        <v>44562</v>
      </c>
      <c r="F63" s="701">
        <f t="shared" ref="F63:M63" si="18">EDATE(E63,-3)</f>
        <v>44470</v>
      </c>
      <c r="G63" s="701">
        <f t="shared" si="18"/>
        <v>44378</v>
      </c>
      <c r="H63" s="701">
        <f t="shared" si="18"/>
        <v>44287</v>
      </c>
      <c r="I63" s="701">
        <f t="shared" si="18"/>
        <v>44197</v>
      </c>
      <c r="J63" s="701">
        <f t="shared" si="18"/>
        <v>44105</v>
      </c>
      <c r="K63" s="701">
        <f t="shared" si="18"/>
        <v>44013</v>
      </c>
      <c r="L63" s="701">
        <f t="shared" si="18"/>
        <v>43922</v>
      </c>
      <c r="M63" s="701">
        <f t="shared" si="18"/>
        <v>43831</v>
      </c>
      <c r="N63" s="701">
        <v>43647</v>
      </c>
      <c r="O63" s="701">
        <v>43466</v>
      </c>
      <c r="P63" s="2902"/>
      <c r="Q63" s="2902"/>
      <c r="R63" s="2902"/>
      <c r="S63" s="2902"/>
      <c r="T63" s="2902"/>
      <c r="U63" s="2902"/>
      <c r="V63" s="2902"/>
      <c r="W63" s="2902"/>
      <c r="X63" s="2902"/>
      <c r="Y63" s="2902"/>
      <c r="Z63" s="2902"/>
      <c r="AA63" s="2902"/>
      <c r="AB63" s="2902"/>
      <c r="AC63" s="2902"/>
      <c r="AD63" s="2902"/>
      <c r="AE63" s="2902"/>
    </row>
    <row r="64" spans="1:31" ht="21.75" thickBot="1">
      <c r="A64" s="703" t="s">
        <v>2252</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4" t="s">
        <v>2359</v>
      </c>
      <c r="B65" s="1222"/>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2019-3</v>
      </c>
      <c r="O65" s="1296" t="str">
        <f t="shared" si="19"/>
        <v>2019-1</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29" t="s">
        <v>2378</v>
      </c>
      <c r="B66" s="294" t="str">
        <f>"北京市平均增长率"&amp;TEXT(基准地价修正!P24,"0.00%")</f>
        <v>北京市平均增长率0.00%</v>
      </c>
      <c r="C66" s="560">
        <v>100</v>
      </c>
      <c r="D66" s="552">
        <f>C66-0.2</f>
        <v>99.8</v>
      </c>
      <c r="E66" s="552">
        <f t="shared" ref="E66:M66" si="20">D66-0.2</f>
        <v>99.6</v>
      </c>
      <c r="F66" s="552">
        <f t="shared" si="20"/>
        <v>99.399999999999991</v>
      </c>
      <c r="G66" s="552">
        <f t="shared" si="20"/>
        <v>99.199999999999989</v>
      </c>
      <c r="H66" s="552">
        <f t="shared" si="20"/>
        <v>98.999999999999986</v>
      </c>
      <c r="I66" s="552">
        <f t="shared" si="20"/>
        <v>98.799999999999983</v>
      </c>
      <c r="J66" s="552">
        <f t="shared" si="20"/>
        <v>98.59999999999998</v>
      </c>
      <c r="K66" s="552">
        <f t="shared" si="20"/>
        <v>98.399999999999977</v>
      </c>
      <c r="L66" s="552">
        <f t="shared" si="20"/>
        <v>98.199999999999974</v>
      </c>
      <c r="M66" s="552">
        <f t="shared" si="20"/>
        <v>97.999999999999972</v>
      </c>
      <c r="N66" s="552">
        <f>M66-0.4</f>
        <v>97.599999999999966</v>
      </c>
      <c r="O66" s="552">
        <f>N66-0.4</f>
        <v>97.19999999999996</v>
      </c>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2163</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2128</v>
      </c>
      <c r="B68" s="467"/>
      <c r="C68" s="479" t="s">
        <v>2230</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2166</v>
      </c>
      <c r="B70" s="485" t="s">
        <v>2132</v>
      </c>
      <c r="C70" s="3248" t="s">
        <v>3478</v>
      </c>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2135</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2136</v>
      </c>
      <c r="C74" s="504" t="str">
        <f>C75&amp;"（含）"&amp;"-"&amp;D75</f>
        <v>0（含）-0.5</v>
      </c>
      <c r="D74" s="504" t="str">
        <f t="shared" ref="D74:L74" si="21">D75&amp;"（含）"&amp;"-"&amp;E75</f>
        <v>0.5（含）-1</v>
      </c>
      <c r="E74" s="504" t="str">
        <f t="shared" si="21"/>
        <v>1（含）-1.5</v>
      </c>
      <c r="F74" s="504" t="str">
        <f t="shared" si="21"/>
        <v>1.5（含）-2</v>
      </c>
      <c r="G74" s="504" t="str">
        <f t="shared" si="21"/>
        <v>2（含）-2.5</v>
      </c>
      <c r="H74" s="504" t="str">
        <f t="shared" si="21"/>
        <v>2.5（含）-</v>
      </c>
      <c r="I74" s="504" t="str">
        <f t="shared" si="21"/>
        <v>（含）-</v>
      </c>
      <c r="J74" s="504" t="str">
        <f t="shared" si="21"/>
        <v>（含）-</v>
      </c>
      <c r="K74" s="504" t="str">
        <f t="shared" si="21"/>
        <v>（含）-</v>
      </c>
      <c r="L74" s="504" t="str">
        <f t="shared" si="21"/>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v>0</v>
      </c>
      <c r="D75" s="506">
        <v>0.5</v>
      </c>
      <c r="E75" s="506">
        <v>1</v>
      </c>
      <c r="F75" s="506">
        <v>1.5</v>
      </c>
      <c r="G75" s="506">
        <v>2</v>
      </c>
      <c r="H75" s="506">
        <v>2.5</v>
      </c>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95</v>
      </c>
      <c r="E76" s="501">
        <f t="shared" ref="E76:M76" si="22">IF($B$41="单位面积地价",D76+$K11,D76-$K11)</f>
        <v>90</v>
      </c>
      <c r="F76" s="501">
        <f t="shared" si="22"/>
        <v>85</v>
      </c>
      <c r="G76" s="501">
        <f t="shared" si="22"/>
        <v>80</v>
      </c>
      <c r="H76" s="501">
        <f t="shared" si="22"/>
        <v>75</v>
      </c>
      <c r="I76" s="501">
        <f t="shared" si="22"/>
        <v>70</v>
      </c>
      <c r="J76" s="501">
        <f t="shared" si="22"/>
        <v>65</v>
      </c>
      <c r="K76" s="501">
        <f t="shared" si="22"/>
        <v>60</v>
      </c>
      <c r="L76" s="501">
        <f t="shared" si="22"/>
        <v>55</v>
      </c>
      <c r="M76" s="501">
        <f t="shared" si="22"/>
        <v>50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2137</v>
      </c>
      <c r="B83" s="485" t="s">
        <v>2283</v>
      </c>
      <c r="C83" s="530" t="s">
        <v>2175</v>
      </c>
      <c r="D83" s="530" t="s">
        <v>2176</v>
      </c>
      <c r="E83" s="530" t="s">
        <v>2177</v>
      </c>
      <c r="F83" s="530" t="s">
        <v>2178</v>
      </c>
      <c r="G83" s="530" t="s">
        <v>2179</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95</v>
      </c>
      <c r="E84" s="501">
        <f>D84-$K15</f>
        <v>90</v>
      </c>
      <c r="F84" s="501">
        <f>E84-$K15</f>
        <v>85</v>
      </c>
      <c r="G84" s="501">
        <f>F84-$K15</f>
        <v>80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2180</v>
      </c>
      <c r="C85" s="535" t="s">
        <v>2175</v>
      </c>
      <c r="D85" s="535" t="s">
        <v>2176</v>
      </c>
      <c r="E85" s="535" t="s">
        <v>2177</v>
      </c>
      <c r="F85" s="535" t="s">
        <v>2178</v>
      </c>
      <c r="G85" s="535" t="s">
        <v>2179</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95</v>
      </c>
      <c r="E86" s="501">
        <f>D86-$K17</f>
        <v>90</v>
      </c>
      <c r="F86" s="501">
        <f>E86-$K17</f>
        <v>85</v>
      </c>
      <c r="G86" s="501">
        <f>F86-$K17</f>
        <v>80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2362</v>
      </c>
      <c r="C87" s="530" t="s">
        <v>2175</v>
      </c>
      <c r="D87" s="530" t="s">
        <v>2176</v>
      </c>
      <c r="E87" s="530" t="s">
        <v>2177</v>
      </c>
      <c r="F87" s="530" t="s">
        <v>2178</v>
      </c>
      <c r="G87" s="530" t="s">
        <v>2179</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2363</v>
      </c>
      <c r="C89" s="530" t="s">
        <v>2175</v>
      </c>
      <c r="D89" s="530" t="s">
        <v>2176</v>
      </c>
      <c r="E89" s="530" t="s">
        <v>2177</v>
      </c>
      <c r="F89" s="530" t="s">
        <v>2178</v>
      </c>
      <c r="G89" s="530" t="s">
        <v>2179</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2232</v>
      </c>
      <c r="C91" s="530" t="s">
        <v>2175</v>
      </c>
      <c r="D91" s="530" t="s">
        <v>2176</v>
      </c>
      <c r="E91" s="530" t="s">
        <v>2177</v>
      </c>
      <c r="F91" s="530" t="s">
        <v>2178</v>
      </c>
      <c r="G91" s="530" t="s">
        <v>2179</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2379</v>
      </c>
      <c r="C93" s="616" t="s">
        <v>2253</v>
      </c>
      <c r="D93" s="616" t="s">
        <v>2254</v>
      </c>
      <c r="E93" s="616" t="s">
        <v>2255</v>
      </c>
      <c r="F93" s="616" t="s">
        <v>2256</v>
      </c>
      <c r="G93" s="616" t="s">
        <v>2257</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2364</v>
      </c>
      <c r="D95" s="496" t="s">
        <v>2365</v>
      </c>
      <c r="E95" s="496" t="s">
        <v>2366</v>
      </c>
      <c r="F95" s="496" t="s">
        <v>2367</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2269</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2328</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ht="28.5">
      <c r="A107" s="484" t="s">
        <v>2141</v>
      </c>
      <c r="B107" s="485" t="s">
        <v>2368</v>
      </c>
      <c r="C107" s="486" t="str">
        <f t="shared" ref="C107:L107" si="26">C108&amp;"(含)"&amp;"-"&amp;D108</f>
        <v>0(含)-50000</v>
      </c>
      <c r="D107" s="486" t="str">
        <f t="shared" si="26"/>
        <v>50000(含)-100000</v>
      </c>
      <c r="E107" s="486" t="str">
        <f t="shared" si="26"/>
        <v>100000(含)-150000</v>
      </c>
      <c r="F107" s="486" t="str">
        <f t="shared" si="26"/>
        <v>150000(含)-</v>
      </c>
      <c r="G107" s="486" t="str">
        <f t="shared" si="26"/>
        <v>(含)-</v>
      </c>
      <c r="H107" s="486" t="str">
        <f t="shared" si="26"/>
        <v>(含)-</v>
      </c>
      <c r="I107" s="486" t="str">
        <f t="shared" si="26"/>
        <v>(含)-</v>
      </c>
      <c r="J107" s="486" t="str">
        <f t="shared" si="26"/>
        <v>(含)-</v>
      </c>
      <c r="K107" s="1453" t="str">
        <f t="shared" si="26"/>
        <v>(含)-</v>
      </c>
      <c r="L107" s="1453" t="str">
        <f t="shared" si="26"/>
        <v>(含)-</v>
      </c>
      <c r="M107" s="1454"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v>0</v>
      </c>
      <c r="D108" s="552">
        <v>50000</v>
      </c>
      <c r="E108" s="552">
        <v>100000</v>
      </c>
      <c r="F108" s="552">
        <v>150000</v>
      </c>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v>100</v>
      </c>
      <c r="D109" s="548">
        <f>C109+1</f>
        <v>101</v>
      </c>
      <c r="E109" s="548">
        <f t="shared" ref="E109:F109" si="27">D109+1</f>
        <v>102</v>
      </c>
      <c r="F109" s="548">
        <f t="shared" si="27"/>
        <v>103</v>
      </c>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2369</v>
      </c>
      <c r="C110" s="3253" t="s">
        <v>3505</v>
      </c>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8">C111-$K35</f>
        <v>99</v>
      </c>
      <c r="E111" s="501">
        <f t="shared" si="28"/>
        <v>98</v>
      </c>
      <c r="F111" s="501">
        <f t="shared" si="28"/>
        <v>97</v>
      </c>
      <c r="G111" s="501">
        <f t="shared" si="28"/>
        <v>96</v>
      </c>
      <c r="H111" s="501">
        <f t="shared" si="28"/>
        <v>95</v>
      </c>
      <c r="I111" s="501">
        <f t="shared" si="28"/>
        <v>94</v>
      </c>
      <c r="J111" s="501">
        <f t="shared" si="28"/>
        <v>93</v>
      </c>
      <c r="K111" s="501">
        <f t="shared" si="28"/>
        <v>92</v>
      </c>
      <c r="L111" s="501">
        <f t="shared" si="28"/>
        <v>91</v>
      </c>
      <c r="M111" s="502">
        <f t="shared" si="28"/>
        <v>90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2371</v>
      </c>
      <c r="C112" s="3249" t="s">
        <v>3479</v>
      </c>
      <c r="D112" s="3249" t="s">
        <v>3480</v>
      </c>
      <c r="E112" s="3249" t="s">
        <v>3481</v>
      </c>
      <c r="F112" s="3249" t="s">
        <v>3482</v>
      </c>
      <c r="G112" s="3249" t="s">
        <v>3483</v>
      </c>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9">C113-$K36</f>
        <v>99.5</v>
      </c>
      <c r="E113" s="501">
        <f t="shared" si="29"/>
        <v>99</v>
      </c>
      <c r="F113" s="501">
        <f t="shared" si="29"/>
        <v>98.5</v>
      </c>
      <c r="G113" s="501">
        <f t="shared" si="29"/>
        <v>98</v>
      </c>
      <c r="H113" s="501">
        <f t="shared" si="29"/>
        <v>97.5</v>
      </c>
      <c r="I113" s="501">
        <f t="shared" si="29"/>
        <v>97</v>
      </c>
      <c r="J113" s="501">
        <f t="shared" si="29"/>
        <v>96.5</v>
      </c>
      <c r="K113" s="501">
        <f t="shared" si="29"/>
        <v>96</v>
      </c>
      <c r="L113" s="501">
        <f t="shared" si="29"/>
        <v>95.5</v>
      </c>
      <c r="M113" s="502">
        <f t="shared" si="29"/>
        <v>95</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2372</v>
      </c>
      <c r="C114" s="3249" t="s">
        <v>3506</v>
      </c>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30">C115-$K37</f>
        <v>99</v>
      </c>
      <c r="E115" s="501">
        <f t="shared" si="30"/>
        <v>98</v>
      </c>
      <c r="F115" s="501">
        <f t="shared" si="30"/>
        <v>97</v>
      </c>
      <c r="G115" s="501">
        <f t="shared" si="30"/>
        <v>96</v>
      </c>
      <c r="H115" s="501">
        <f t="shared" si="30"/>
        <v>95</v>
      </c>
      <c r="I115" s="501">
        <f t="shared" si="30"/>
        <v>94</v>
      </c>
      <c r="J115" s="501">
        <f t="shared" si="30"/>
        <v>93</v>
      </c>
      <c r="K115" s="501">
        <f t="shared" si="30"/>
        <v>92</v>
      </c>
      <c r="L115" s="501">
        <f t="shared" si="30"/>
        <v>91</v>
      </c>
      <c r="M115" s="502">
        <f t="shared" si="30"/>
        <v>90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5" customWidth="1"/>
    <col min="33" max="36" width="9.375" style="2199" customWidth="1"/>
    <col min="37" max="38" width="9.375" style="2133" customWidth="1"/>
    <col min="39" max="16384" width="12" style="2133"/>
  </cols>
  <sheetData>
    <row r="1" spans="1:36" ht="28.5">
      <c r="A1" s="202" t="s">
        <v>2380</v>
      </c>
      <c r="B1" s="203"/>
      <c r="C1" s="207" t="s">
        <v>2381</v>
      </c>
      <c r="D1" s="348">
        <f>SUM(D29:D30,D33:D39)</f>
        <v>0</v>
      </c>
      <c r="E1" s="2130"/>
      <c r="F1" s="2130"/>
      <c r="G1" s="2130"/>
      <c r="H1" s="2130"/>
      <c r="I1" s="2130"/>
      <c r="J1" s="2130"/>
      <c r="K1" s="1233"/>
      <c r="L1" s="2131" t="s">
        <v>2382</v>
      </c>
      <c r="M1" s="975">
        <f>SUMPRODUCT((区片价!B5:B9=I2)*(区片价!C3:F3=E2)*(区片价!C5:F9))</f>
        <v>0</v>
      </c>
      <c r="N1" s="978">
        <f>SUMPRODUCT((因素修正幅度!B5:B9=I2)*(因素修正幅度!C3:F3=E2)*(因素修正幅度!C5:F9))</f>
        <v>0</v>
      </c>
      <c r="O1" s="2132"/>
      <c r="P1" s="2132"/>
      <c r="Q1" s="1233"/>
      <c r="R1" s="1326" t="s">
        <v>2383</v>
      </c>
      <c r="S1" s="1326" t="s">
        <v>2384</v>
      </c>
      <c r="T1" s="1326" t="s">
        <v>2385</v>
      </c>
      <c r="U1" s="1326" t="s">
        <v>2386</v>
      </c>
      <c r="V1" s="1326" t="s">
        <v>2387</v>
      </c>
      <c r="W1" s="1330"/>
      <c r="X1" s="1330"/>
      <c r="Y1" s="1330"/>
      <c r="Z1" s="1330"/>
      <c r="AA1" s="1330"/>
      <c r="AB1" s="1330"/>
      <c r="AC1" s="1331"/>
      <c r="AD1" s="1332"/>
      <c r="AE1" s="1332"/>
      <c r="AF1" s="1332"/>
      <c r="AG1" s="1332"/>
      <c r="AH1" s="1332"/>
      <c r="AI1" s="1332"/>
      <c r="AJ1" s="1333"/>
    </row>
    <row r="2" spans="1:36" ht="15.75">
      <c r="A2" s="207" t="s">
        <v>2388</v>
      </c>
      <c r="B2" s="210" t="e">
        <f>C26</f>
        <v>#DIV/0!</v>
      </c>
      <c r="C2" s="2134" t="s">
        <v>2389</v>
      </c>
      <c r="D2" s="2135" t="s">
        <v>2390</v>
      </c>
      <c r="E2" s="2136"/>
      <c r="F2" s="2135" t="s">
        <v>2391</v>
      </c>
      <c r="G2" s="2137" t="str">
        <f>IF(E2="商业",项目基本情况!B37,IF(E2="办公",项目基本情况!C37,IF(E2="住宅",项目基本情况!D37,项目基本情况!E37)))</f>
        <v>十级</v>
      </c>
      <c r="H2" s="2135" t="s">
        <v>2392</v>
      </c>
      <c r="I2" s="2137" t="str">
        <f>IF(E2="商业",项目基本情况!B38,IF(E2="办公",项目基本情况!C38,IF(E2="住宅",项目基本情况!D38,项目基本情况!E38)))</f>
        <v>Ⅹ-房2</v>
      </c>
      <c r="J2" s="2138"/>
      <c r="K2" s="1233"/>
      <c r="L2" s="2139" t="s">
        <v>2393</v>
      </c>
      <c r="M2" s="976">
        <f>SUMPRODUCT((区片价!B10:B28=I2)*(区片价!C3:F3=E2)*(区片价!C10:F28))</f>
        <v>0</v>
      </c>
      <c r="N2" s="978">
        <f>SUMPRODUCT((因素修正幅度!B10:B28=I2)*(因素修正幅度!C3:F3=E2)*(因素修正幅度!C10:F28))</f>
        <v>0</v>
      </c>
      <c r="O2" s="1233"/>
      <c r="P2" s="1233"/>
      <c r="Q2" s="1233"/>
      <c r="R2" s="1326">
        <v>1</v>
      </c>
      <c r="S2" s="1326">
        <f>ROUND(IF(G3&gt;1,IF(R2&lt;7,SUMPRODUCT((B93:B98=R2)*(C92:N92=G2)*(C93:N98)),SUMIF(C92:N92,G2,C100:N100)),IF(R2&lt;7,SUMPRODUCT((B102:B107=R2)*(C92:N92=G2)*(C102:N107)),SUMIF(C92:N92,G2,C109:N109))),4)</f>
        <v>1.9419999999999999</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2394</v>
      </c>
      <c r="B3" s="210" t="e">
        <f>ROUND(B2*10000/D1,0)</f>
        <v>#DIV/0!</v>
      </c>
      <c r="C3" s="2134" t="s">
        <v>2395</v>
      </c>
      <c r="D3" s="2135" t="s">
        <v>2396</v>
      </c>
      <c r="E3" s="2140"/>
      <c r="F3" s="2141" t="s">
        <v>2397</v>
      </c>
      <c r="G3" s="837">
        <f>IF(F3="宗地容积率",'数据-汇总表'!I4,IF(F3="估价对象容积率",'数据-汇总表'!I6,'数据-汇总表'!I7))</f>
        <v>1.47</v>
      </c>
      <c r="H3" s="175" t="s">
        <v>2398</v>
      </c>
      <c r="I3" s="862"/>
      <c r="J3" s="2138" t="s">
        <v>2399</v>
      </c>
      <c r="K3" s="1233"/>
      <c r="L3" s="2139" t="s">
        <v>2400</v>
      </c>
      <c r="M3" s="976">
        <f>SUMPRODUCT((区片价!B29:B48=I2)*(区片价!C3:F3=E2)*(区片价!C29:F48))</f>
        <v>0</v>
      </c>
      <c r="N3" s="978">
        <f>SUMPRODUCT((因素修正幅度!B29:B48=I2)*(因素修正幅度!C3:F3=E2)*(因素修正幅度!C29:F48))</f>
        <v>0</v>
      </c>
      <c r="O3" s="1233"/>
      <c r="P3" s="1233"/>
      <c r="Q3" s="1233"/>
      <c r="R3" s="1326">
        <v>2</v>
      </c>
      <c r="S3" s="1326">
        <f>ROUND(IF(G3&gt;1,IF(R3&lt;7,SUMPRODUCT((B93:B98=R3)*(C92:N92=G2)*(C93:N98)),SUMIF(C92:N92,G2,C100:N100)),IF(R3&lt;7,SUMPRODUCT((B102:B107=R3)*(C92:N92=G2)*(C102:N107)),SUMIF(C92:N92,G2,C109:N109))),4)</f>
        <v>1.2799</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90"/>
      <c r="B4" s="3591"/>
      <c r="C4" s="3591"/>
      <c r="D4" s="3592"/>
      <c r="E4" s="3592"/>
      <c r="F4" s="3592"/>
      <c r="G4" s="3592"/>
      <c r="H4" s="3592"/>
      <c r="I4" s="3592"/>
      <c r="J4" s="3593"/>
      <c r="K4" s="1233"/>
      <c r="L4" s="2139" t="s">
        <v>2401</v>
      </c>
      <c r="M4" s="976">
        <f>SUMPRODUCT((区片价!B49:B75=I2)*(区片价!C3:F3=E2)*(区片价!C49:F75))</f>
        <v>0</v>
      </c>
      <c r="N4" s="978">
        <f>SUMPRODUCT((因素修正幅度!B49:B75=I2)*(因素修正幅度!C3:F3=E2)*(因素修正幅度!C49:F75))</f>
        <v>0</v>
      </c>
      <c r="O4" s="1233"/>
      <c r="P4" s="1233"/>
      <c r="Q4" s="1233"/>
      <c r="R4" s="1326">
        <v>3</v>
      </c>
      <c r="S4" s="1326">
        <f>ROUND(IF(G3&gt;1,IF(R4&lt;7,SUMPRODUCT((B93:B98=R4)*(C92:N92=G2)*(C93:N98)),SUMIF(C92:N92,G2,C100:N100)),IF(R4&lt;7,SUMPRODUCT((B102:B107=R4)*(C92:N92=G2)*(C102:N107)),SUMIF(C92:N92,G2,C109:N109))),4)</f>
        <v>1.0072000000000001</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1" customFormat="1" ht="15.75" thickBot="1">
      <c r="A5" s="2142" t="s">
        <v>626</v>
      </c>
      <c r="B5" s="2143" t="s">
        <v>2402</v>
      </c>
      <c r="C5" s="838" t="e">
        <f>ROUND(IF(E2="商业",C6*C7+C16,(IF(E2="住宅",C6*C12+C16,C6+C16))),0)</f>
        <v>#DIV/0!</v>
      </c>
      <c r="D5" s="1473" t="e">
        <f>ROUND(C6+C16,0)</f>
        <v>#DIV/0!</v>
      </c>
      <c r="E5" s="1473"/>
      <c r="F5" s="2144"/>
      <c r="G5" s="2145"/>
      <c r="H5" s="2145"/>
      <c r="I5" s="2145"/>
      <c r="J5" s="2146"/>
      <c r="K5" s="2147"/>
      <c r="L5" s="2139" t="s">
        <v>2403</v>
      </c>
      <c r="M5" s="976">
        <f>SUMPRODUCT((区片价!B76:B109=I2)*(区片价!C3:F3=E2)*(区片价!C76:F109))</f>
        <v>0</v>
      </c>
      <c r="N5" s="978">
        <f>SUMPRODUCT((因素修正幅度!B76:B109=I2)*(因素修正幅度!C3:F3=E2)*(因素修正幅度!C76:F109))</f>
        <v>0</v>
      </c>
      <c r="O5" s="1233"/>
      <c r="P5" s="1233"/>
      <c r="Q5" s="1233"/>
      <c r="R5" s="1326">
        <v>4</v>
      </c>
      <c r="S5" s="1326">
        <f>ROUND(IF(G3&gt;1,IF(R5&lt;7,SUMPRODUCT((B93:B98=R5)*(C92:N92=G2)*(C93:N98)),SUMIF(C92:N92,G2,C100:N100)),IF(R5&lt;7,SUMPRODUCT((B102:B107=R5)*(C92:N92=G2)*(C102:N107)),SUMIF(C92:N92,G2,C109:N109))),4)</f>
        <v>0.75249999999999995</v>
      </c>
      <c r="T5" s="1326" t="e">
        <f t="shared" si="0"/>
        <v>#DIV/0!</v>
      </c>
      <c r="U5" s="1327"/>
      <c r="V5" s="1326" t="e">
        <f t="shared" si="1"/>
        <v>#DIV/0!</v>
      </c>
      <c r="W5" s="1330"/>
      <c r="X5" s="1330"/>
      <c r="Y5" s="1330"/>
      <c r="Z5" s="1330"/>
      <c r="AA5" s="1330"/>
      <c r="AB5" s="1330"/>
      <c r="AC5" s="2148"/>
      <c r="AD5" s="2149"/>
      <c r="AE5" s="2149"/>
      <c r="AF5" s="2149"/>
      <c r="AG5" s="2149"/>
      <c r="AH5" s="2149"/>
      <c r="AI5" s="2149"/>
      <c r="AJ5" s="2150"/>
    </row>
    <row r="6" spans="1:36" ht="15.75" thickBot="1">
      <c r="A6" s="2152" t="s">
        <v>2404</v>
      </c>
      <c r="B6" s="2153" t="s">
        <v>2405</v>
      </c>
      <c r="C6" s="839">
        <f>SUMIF(L1:L12,G2,M1:M12)</f>
        <v>0</v>
      </c>
      <c r="D6" s="2154" t="s">
        <v>2406</v>
      </c>
      <c r="E6" s="2155"/>
      <c r="F6" s="2155"/>
      <c r="G6" s="2156"/>
      <c r="H6" s="2156"/>
      <c r="I6" s="2156"/>
      <c r="J6" s="2157"/>
      <c r="K6" s="1518"/>
      <c r="L6" s="2139" t="s">
        <v>2407</v>
      </c>
      <c r="M6" s="976">
        <f>SUMPRODUCT((区片价!B110:B157=I2)*(区片价!C3:F3=E2)*(区片价!C110:F157))</f>
        <v>0</v>
      </c>
      <c r="N6" s="978">
        <f>SUMPRODUCT((因素修正幅度!B110:B157=I2)*(因素修正幅度!C3:F3=E2)*(因素修正幅度!C110:F157))</f>
        <v>0</v>
      </c>
      <c r="O6" s="1233"/>
      <c r="P6" s="1233"/>
      <c r="Q6" s="1233"/>
      <c r="R6" s="1326">
        <v>5</v>
      </c>
      <c r="S6" s="1326">
        <f>ROUND(IF(G3&gt;1,IF(R6&lt;7,SUMPRODUCT((B93:B98=R6)*(C92:N92=G2)*(C93:N98)),SUMIF(C92:N92,G2,C100:N100)),IF(R6&lt;7,SUMPRODUCT((B102:B107=R6)*(C92:N92=G2)*(C102:N107)),SUMIF(C92:N92,G2,C109:N109))),4)</f>
        <v>0.56589999999999996</v>
      </c>
      <c r="T6" s="1326" t="e">
        <f t="shared" si="0"/>
        <v>#DIV/0!</v>
      </c>
      <c r="U6" s="1327"/>
      <c r="V6" s="1326" t="e">
        <f t="shared" si="1"/>
        <v>#DIV/0!</v>
      </c>
      <c r="W6" s="1330"/>
      <c r="X6" s="1330"/>
      <c r="Y6" s="1330"/>
      <c r="Z6" s="1330"/>
      <c r="AA6" s="1330"/>
      <c r="AB6" s="1330"/>
      <c r="AC6" s="2148"/>
      <c r="AD6" s="2149"/>
      <c r="AE6" s="2149"/>
      <c r="AF6" s="2149"/>
      <c r="AG6" s="2149"/>
      <c r="AH6" s="2149"/>
      <c r="AI6" s="2149"/>
      <c r="AJ6" s="2150"/>
    </row>
    <row r="7" spans="1:36" ht="24">
      <c r="A7" s="3594" t="str">
        <f>IF(E2="商业",IF(C8="不临58条商业街","",2),"")</f>
        <v/>
      </c>
      <c r="B7" s="2158" t="s">
        <v>2408</v>
      </c>
      <c r="C7" s="840" t="e">
        <f>IF(C8="不临58条商业街",1,ROUND(1+(1.6*E8+1.2*E9+0.8*E10+0.4*E11)*C9,4))</f>
        <v>#DIV/0!</v>
      </c>
      <c r="D7" s="2159" t="s">
        <v>2409</v>
      </c>
      <c r="E7" s="863"/>
      <c r="F7" s="2160"/>
      <c r="G7" s="2161"/>
      <c r="H7" s="2161"/>
      <c r="I7" s="2161"/>
      <c r="J7" s="2162"/>
      <c r="K7" s="1518"/>
      <c r="L7" s="2139" t="s">
        <v>2410</v>
      </c>
      <c r="M7" s="976">
        <f>SUMPRODUCT((区片价!B158:B205=I2)*(区片价!C3:F3=E2)*(区片价!C158:F205))</f>
        <v>0</v>
      </c>
      <c r="N7" s="978">
        <f>SUMPRODUCT((因素修正幅度!B158:B205=I2)*(因素修正幅度!C3:F3=E2)*(因素修正幅度!C158:F205))</f>
        <v>0</v>
      </c>
      <c r="O7" s="1233"/>
      <c r="P7" s="1233"/>
      <c r="Q7" s="1233"/>
      <c r="R7" s="1326">
        <v>6</v>
      </c>
      <c r="S7" s="1326">
        <f>ROUND(IF(G3&gt;1,IF(R7&lt;7,SUMPRODUCT((B93:B98=R7)*(C92:N92=G2)*(C93:N98)),SUMIF(C92:N92,G2,C100:N100)),IF(R7&lt;7,SUMPRODUCT((B102:B107=R7)*(C92:N92=G2)*(C102:N107)),SUMIF(C92:N92,G2,C109:N109))),4)</f>
        <v>0.45250000000000001</v>
      </c>
      <c r="T7" s="1326" t="e">
        <f t="shared" si="0"/>
        <v>#DIV/0!</v>
      </c>
      <c r="U7" s="1327"/>
      <c r="V7" s="1326" t="e">
        <f t="shared" si="1"/>
        <v>#DIV/0!</v>
      </c>
      <c r="W7" s="1492" t="s">
        <v>2411</v>
      </c>
      <c r="X7" s="1328" t="str">
        <f>G2</f>
        <v>十级</v>
      </c>
      <c r="Y7" s="1328" t="s">
        <v>2412</v>
      </c>
      <c r="Z7" s="1329">
        <f>G3</f>
        <v>1.47</v>
      </c>
      <c r="AA7" s="1330"/>
      <c r="AB7" s="1330"/>
      <c r="AC7" s="1331"/>
      <c r="AD7" s="1332"/>
      <c r="AE7" s="1332"/>
      <c r="AF7" s="1332"/>
      <c r="AG7" s="1332"/>
      <c r="AH7" s="1332"/>
      <c r="AI7" s="1332"/>
      <c r="AJ7" s="1333"/>
    </row>
    <row r="8" spans="1:36" ht="15">
      <c r="A8" s="3595"/>
      <c r="B8" s="175" t="s">
        <v>2413</v>
      </c>
      <c r="C8" s="2163"/>
      <c r="D8" s="841" t="s">
        <v>139</v>
      </c>
      <c r="E8" s="842" t="e">
        <f>ROUND(C11/E7,4)</f>
        <v>#DIV/0!</v>
      </c>
      <c r="F8" s="2164" t="s">
        <v>2414</v>
      </c>
      <c r="G8" s="2165"/>
      <c r="H8" s="2165"/>
      <c r="I8" s="2165"/>
      <c r="J8" s="2166"/>
      <c r="K8" s="1233"/>
      <c r="L8" s="2139" t="s">
        <v>2415</v>
      </c>
      <c r="M8" s="976">
        <f>SUMPRODUCT((区片价!B206:B244=I2)*(区片价!C3:F3=E2)*(区片价!C206:F244))</f>
        <v>0</v>
      </c>
      <c r="N8" s="978">
        <f>SUMPRODUCT((因素修正幅度!B206:B244=I2)*(因素修正幅度!C3:F3=E2)*(因素修正幅度!C206:F244))</f>
        <v>0</v>
      </c>
      <c r="O8" s="1233"/>
      <c r="P8" s="1233"/>
      <c r="Q8" s="1233"/>
      <c r="R8" s="1326">
        <v>7</v>
      </c>
      <c r="S8" s="1327"/>
      <c r="T8" s="1326" t="e">
        <f t="shared" si="0"/>
        <v>#DIV/0!</v>
      </c>
      <c r="U8" s="1327"/>
      <c r="V8" s="1326" t="e">
        <f t="shared" si="1"/>
        <v>#DIV/0!</v>
      </c>
      <c r="W8" s="3587" t="s">
        <v>2416</v>
      </c>
      <c r="X8" s="3588"/>
      <c r="Y8" s="1334" t="s">
        <v>2417</v>
      </c>
      <c r="Z8" s="1334" t="s">
        <v>2418</v>
      </c>
      <c r="AA8" s="1334" t="s">
        <v>2419</v>
      </c>
      <c r="AB8" s="1334" t="s">
        <v>2420</v>
      </c>
      <c r="AC8" s="1334" t="s">
        <v>2421</v>
      </c>
      <c r="AD8" s="1334" t="s">
        <v>2422</v>
      </c>
      <c r="AE8" s="1334" t="s">
        <v>2423</v>
      </c>
      <c r="AF8" s="1334" t="s">
        <v>2424</v>
      </c>
      <c r="AG8" s="1334" t="s">
        <v>2425</v>
      </c>
      <c r="AH8" s="1334" t="s">
        <v>2426</v>
      </c>
      <c r="AI8" s="1334" t="s">
        <v>2427</v>
      </c>
      <c r="AJ8" s="1334" t="s">
        <v>2428</v>
      </c>
    </row>
    <row r="9" spans="1:36" ht="15">
      <c r="A9" s="3595"/>
      <c r="B9" s="175" t="s">
        <v>2429</v>
      </c>
      <c r="C9" s="843">
        <f>SUMIF(修正!C71:C138,C8,修正!E71:E138)</f>
        <v>0</v>
      </c>
      <c r="D9" s="176" t="s">
        <v>140</v>
      </c>
      <c r="E9" s="176" t="e">
        <f>ROUND(C11/E7,4)</f>
        <v>#DIV/0!</v>
      </c>
      <c r="F9" s="2164" t="s">
        <v>2430</v>
      </c>
      <c r="G9" s="2165"/>
      <c r="H9" s="2165"/>
      <c r="I9" s="2165"/>
      <c r="J9" s="2166"/>
      <c r="K9" s="1233"/>
      <c r="L9" s="2139" t="s">
        <v>2431</v>
      </c>
      <c r="M9" s="976">
        <f>SUMPRODUCT((区片价!B245:B289=I2)*(区片价!C3:F3=E2)*(区片价!C245:F289))</f>
        <v>0</v>
      </c>
      <c r="N9" s="978">
        <f>SUMPRODUCT((因素修正幅度!B245:B289=I2)*(因素修正幅度!C3:F3=E2)*(因素修正幅度!C245:F289))</f>
        <v>0</v>
      </c>
      <c r="O9" s="1233"/>
      <c r="P9" s="1233"/>
      <c r="Q9" s="1233"/>
      <c r="R9" s="1326">
        <v>8</v>
      </c>
      <c r="S9" s="1327"/>
      <c r="T9" s="1326" t="e">
        <f t="shared" si="0"/>
        <v>#DIV/0!</v>
      </c>
      <c r="U9" s="1327"/>
      <c r="V9" s="1326" t="e">
        <f t="shared" si="1"/>
        <v>#DIV/0!</v>
      </c>
      <c r="W9" s="3589" t="s">
        <v>2432</v>
      </c>
      <c r="X9" s="1335" t="s">
        <v>2433</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95"/>
      <c r="B10" s="175" t="s">
        <v>2434</v>
      </c>
      <c r="C10" s="176">
        <f>SUMIF(修正!C71:C138,C8,修正!F71:F138)</f>
        <v>0</v>
      </c>
      <c r="D10" s="176" t="s">
        <v>141</v>
      </c>
      <c r="E10" s="176" t="e">
        <f>ROUND(C11/E7,4)</f>
        <v>#DIV/0!</v>
      </c>
      <c r="F10" s="2164" t="s">
        <v>2435</v>
      </c>
      <c r="G10" s="2165"/>
      <c r="H10" s="2165"/>
      <c r="I10" s="2165"/>
      <c r="J10" s="2166"/>
      <c r="K10" s="1233"/>
      <c r="L10" s="2139" t="s">
        <v>2436</v>
      </c>
      <c r="M10" s="976">
        <f>SUMPRODUCT((区片价!B290:B316=I2)*(区片价!C3:F3=E2)*(区片价!C290:F316))</f>
        <v>0</v>
      </c>
      <c r="N10" s="978">
        <f>SUMPRODUCT((因素修正幅度!B290:B316=I2)*(因素修正幅度!C3:F3=E2)*(因素修正幅度!C290:F316))</f>
        <v>0</v>
      </c>
      <c r="O10" s="1233"/>
      <c r="P10" s="1233"/>
      <c r="Q10" s="1233"/>
      <c r="R10" s="1326">
        <v>9</v>
      </c>
      <c r="S10" s="1327"/>
      <c r="T10" s="1326" t="e">
        <f t="shared" si="0"/>
        <v>#DIV/0!</v>
      </c>
      <c r="U10" s="1327"/>
      <c r="V10" s="1326" t="e">
        <f t="shared" si="1"/>
        <v>#DIV/0!</v>
      </c>
      <c r="W10" s="3589"/>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95"/>
      <c r="B11" s="2167" t="s">
        <v>2437</v>
      </c>
      <c r="C11" s="844">
        <f>C10/4</f>
        <v>0</v>
      </c>
      <c r="D11" s="844" t="s">
        <v>142</v>
      </c>
      <c r="E11" s="844" t="e">
        <f>ROUND(C11/E7,4)</f>
        <v>#DIV/0!</v>
      </c>
      <c r="F11" s="2168" t="s">
        <v>2438</v>
      </c>
      <c r="G11" s="2169"/>
      <c r="H11" s="2169"/>
      <c r="I11" s="2169"/>
      <c r="J11" s="2170"/>
      <c r="K11" s="1233"/>
      <c r="L11" s="2139" t="s">
        <v>2439</v>
      </c>
      <c r="M11" s="976">
        <f>SUMPRODUCT((区片价!B317:B337=I2)*(区片价!C3:F3=E2)*(区片价!C317:F337))</f>
        <v>0</v>
      </c>
      <c r="N11" s="978">
        <f>SUMPRODUCT((因素修正幅度!B317:B337=I2)*(因素修正幅度!C3:F3=E2)*(因素修正幅度!C317:F337))</f>
        <v>0</v>
      </c>
      <c r="O11" s="1233"/>
      <c r="P11" s="1233"/>
      <c r="Q11" s="1233"/>
      <c r="R11" s="1326">
        <v>10</v>
      </c>
      <c r="S11" s="1327"/>
      <c r="T11" s="1326" t="e">
        <f t="shared" si="0"/>
        <v>#DIV/0!</v>
      </c>
      <c r="U11" s="1327"/>
      <c r="V11" s="1326" t="e">
        <f t="shared" si="1"/>
        <v>#DIV/0!</v>
      </c>
      <c r="W11" s="3589" t="s">
        <v>2440</v>
      </c>
      <c r="X11" s="1338" t="s">
        <v>2441</v>
      </c>
      <c r="Y11" s="1339">
        <f>$G$3</f>
        <v>1.47</v>
      </c>
      <c r="Z11" s="1339">
        <f t="shared" ref="Z11:AJ11" si="3">$G$3</f>
        <v>1.47</v>
      </c>
      <c r="AA11" s="1339">
        <f t="shared" si="3"/>
        <v>1.47</v>
      </c>
      <c r="AB11" s="1339">
        <f t="shared" si="3"/>
        <v>1.47</v>
      </c>
      <c r="AC11" s="1339">
        <f t="shared" si="3"/>
        <v>1.47</v>
      </c>
      <c r="AD11" s="1339">
        <f t="shared" si="3"/>
        <v>1.47</v>
      </c>
      <c r="AE11" s="1339">
        <f t="shared" si="3"/>
        <v>1.47</v>
      </c>
      <c r="AF11" s="1339">
        <f t="shared" si="3"/>
        <v>1.47</v>
      </c>
      <c r="AG11" s="1339">
        <f t="shared" si="3"/>
        <v>1.47</v>
      </c>
      <c r="AH11" s="1339">
        <f t="shared" si="3"/>
        <v>1.47</v>
      </c>
      <c r="AI11" s="1339">
        <f t="shared" si="3"/>
        <v>1.47</v>
      </c>
      <c r="AJ11" s="1339">
        <f t="shared" si="3"/>
        <v>1.47</v>
      </c>
    </row>
    <row r="12" spans="1:36" ht="25.5" thickBot="1">
      <c r="A12" s="3594" t="s">
        <v>2442</v>
      </c>
      <c r="B12" s="2171" t="s">
        <v>2443</v>
      </c>
      <c r="C12" s="840">
        <f>ROUND(C15*D15*E15*F15*G15*H15*I15*J15,4)</f>
        <v>1</v>
      </c>
      <c r="D12" s="2172" t="s">
        <v>2444</v>
      </c>
      <c r="E12" s="2173"/>
      <c r="F12" s="2173"/>
      <c r="G12" s="2174"/>
      <c r="H12" s="2174"/>
      <c r="I12" s="2174"/>
      <c r="J12" s="2175"/>
      <c r="K12" s="1233"/>
      <c r="L12" s="2176" t="s">
        <v>2445</v>
      </c>
      <c r="M12" s="977">
        <f>SUMPRODUCT((区片价!B338:B344=I2)*(区片价!C3:F3=E2)*(区片价!C338:F344))</f>
        <v>0</v>
      </c>
      <c r="N12" s="978">
        <f>SUMPRODUCT((因素修正幅度!B338:B344=I2)*(因素修正幅度!C3:F3=E2)*(因素修正幅度!C338:F344))</f>
        <v>0</v>
      </c>
      <c r="O12" s="1233"/>
      <c r="P12" s="1233"/>
      <c r="Q12" s="1233"/>
      <c r="R12" s="1326">
        <v>11</v>
      </c>
      <c r="S12" s="1327"/>
      <c r="T12" s="1326" t="e">
        <f t="shared" si="0"/>
        <v>#DIV/0!</v>
      </c>
      <c r="U12" s="1327"/>
      <c r="V12" s="1326" t="e">
        <f t="shared" si="1"/>
        <v>#DIV/0!</v>
      </c>
      <c r="W12" s="3589"/>
      <c r="X12" s="1340" t="s">
        <v>2446</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96"/>
      <c r="B13" s="2177" t="s">
        <v>2447</v>
      </c>
      <c r="C13" s="2178" t="s">
        <v>2448</v>
      </c>
      <c r="D13" s="1484" t="s">
        <v>2449</v>
      </c>
      <c r="E13" s="1484" t="s">
        <v>2450</v>
      </c>
      <c r="F13" s="30" t="s">
        <v>2451</v>
      </c>
      <c r="G13" s="2179" t="s">
        <v>2452</v>
      </c>
      <c r="H13" s="2179" t="s">
        <v>2452</v>
      </c>
      <c r="I13" s="2179" t="s">
        <v>2452</v>
      </c>
      <c r="J13" s="2180" t="s">
        <v>2452</v>
      </c>
      <c r="K13" s="1233"/>
      <c r="L13" s="1233"/>
      <c r="M13" s="1233"/>
      <c r="N13" s="1233"/>
      <c r="O13" s="1233"/>
      <c r="P13" s="1233"/>
      <c r="Q13" s="1233"/>
      <c r="R13" s="1326">
        <v>12</v>
      </c>
      <c r="S13" s="1327"/>
      <c r="T13" s="1326" t="e">
        <f t="shared" si="0"/>
        <v>#DIV/0!</v>
      </c>
      <c r="U13" s="1327"/>
      <c r="V13" s="1326" t="e">
        <f t="shared" si="1"/>
        <v>#DIV/0!</v>
      </c>
      <c r="W13" s="3589"/>
      <c r="X13" s="1340"/>
      <c r="Y13" s="1337">
        <f>(-0.163*(Y12^2)-0.59*Y12+7617)*(10^(-4))/Y11</f>
        <v>0.51816326530612244</v>
      </c>
      <c r="Z13" s="1337">
        <f t="shared" ref="Z13:AJ13" si="5">(-0.163*(Z12^2)-0.59*Z12+7617)*(10^(-4))/Z11</f>
        <v>0.51816326530612244</v>
      </c>
      <c r="AA13" s="1337">
        <f t="shared" si="5"/>
        <v>0.51816326530612244</v>
      </c>
      <c r="AB13" s="1337">
        <f t="shared" si="5"/>
        <v>0.51816326530612244</v>
      </c>
      <c r="AC13" s="1337">
        <f t="shared" si="5"/>
        <v>0.51816326530612244</v>
      </c>
      <c r="AD13" s="1337">
        <f t="shared" si="5"/>
        <v>0.51816326530612244</v>
      </c>
      <c r="AE13" s="1337">
        <f t="shared" si="5"/>
        <v>0.51816326530612244</v>
      </c>
      <c r="AF13" s="1337">
        <f t="shared" si="5"/>
        <v>0.51816326530612244</v>
      </c>
      <c r="AG13" s="1337">
        <f t="shared" si="5"/>
        <v>0.51816326530612244</v>
      </c>
      <c r="AH13" s="1337">
        <f t="shared" si="5"/>
        <v>0.51816326530612244</v>
      </c>
      <c r="AI13" s="1337">
        <f t="shared" si="5"/>
        <v>0.51816326530612244</v>
      </c>
      <c r="AJ13" s="1337">
        <f t="shared" si="5"/>
        <v>0.51816326530612244</v>
      </c>
    </row>
    <row r="14" spans="1:36" ht="15">
      <c r="A14" s="3596"/>
      <c r="B14" s="2181"/>
      <c r="C14" s="2182"/>
      <c r="D14" s="2183"/>
      <c r="E14" s="2183"/>
      <c r="F14" s="2184"/>
      <c r="G14" s="2185" t="s">
        <v>2453</v>
      </c>
      <c r="H14" s="2186"/>
      <c r="I14" s="2187"/>
      <c r="J14" s="2188"/>
      <c r="K14" s="1233"/>
      <c r="L14" s="1233"/>
      <c r="M14" s="1233"/>
      <c r="N14" s="1233"/>
      <c r="O14" s="1233"/>
      <c r="P14" s="1233"/>
      <c r="Q14" s="1233"/>
      <c r="R14" s="1326">
        <v>13</v>
      </c>
      <c r="S14" s="1327"/>
      <c r="T14" s="1326" t="e">
        <f t="shared" si="0"/>
        <v>#DIV/0!</v>
      </c>
      <c r="U14" s="1327"/>
      <c r="V14" s="1326" t="e">
        <f t="shared" si="1"/>
        <v>#DIV/0!</v>
      </c>
      <c r="W14" s="1330"/>
      <c r="X14" s="1330"/>
      <c r="Y14" s="1330"/>
      <c r="Z14" s="1330"/>
      <c r="AA14" s="1330"/>
      <c r="AB14" s="1330"/>
      <c r="AC14" s="1331"/>
      <c r="AD14" s="2968"/>
      <c r="AE14" s="2968"/>
      <c r="AF14" s="2968"/>
      <c r="AG14" s="2968"/>
      <c r="AH14" s="2968"/>
      <c r="AI14" s="2968"/>
      <c r="AJ14" s="2969"/>
    </row>
    <row r="15" spans="1:36" ht="15.75" thickBot="1">
      <c r="A15" s="3597"/>
      <c r="B15" s="2189" t="s">
        <v>2454</v>
      </c>
      <c r="C15" s="193">
        <f>IF(C14="有",1.1,1)</f>
        <v>1</v>
      </c>
      <c r="D15" s="193">
        <f>IF(D14="有",1.1,1)</f>
        <v>1</v>
      </c>
      <c r="E15" s="193">
        <f>IF(E14="有",1.1,1)</f>
        <v>1</v>
      </c>
      <c r="F15" s="193">
        <f>IF(F14="500米范围内",1.2,IF(F14="500-1000米",1.1,1))</f>
        <v>1</v>
      </c>
      <c r="G15" s="864">
        <v>1</v>
      </c>
      <c r="H15" s="864">
        <v>1</v>
      </c>
      <c r="I15" s="864">
        <v>1</v>
      </c>
      <c r="J15" s="865">
        <v>1</v>
      </c>
      <c r="K15" s="1233"/>
      <c r="L15" s="2132"/>
      <c r="M15" s="2132"/>
      <c r="N15" s="2132"/>
      <c r="O15" s="2132"/>
      <c r="P15" s="2132"/>
      <c r="Q15" s="1233"/>
      <c r="R15" s="1326">
        <v>14</v>
      </c>
      <c r="S15" s="1327"/>
      <c r="T15" s="1326" t="e">
        <f t="shared" si="0"/>
        <v>#DIV/0!</v>
      </c>
      <c r="U15" s="1327"/>
      <c r="V15" s="1326" t="e">
        <f t="shared" si="1"/>
        <v>#DIV/0!</v>
      </c>
      <c r="W15" s="1330"/>
      <c r="X15" s="1330"/>
      <c r="Y15" s="1330"/>
      <c r="Z15" s="1330"/>
      <c r="AA15" s="1330"/>
      <c r="AB15" s="1330"/>
      <c r="AC15" s="1331"/>
      <c r="AD15" s="2968"/>
      <c r="AE15" s="2968"/>
      <c r="AF15" s="2968"/>
      <c r="AG15" s="2968"/>
      <c r="AH15" s="2968"/>
      <c r="AI15" s="2968"/>
      <c r="AJ15" s="2969"/>
    </row>
    <row r="16" spans="1:36" ht="24.6" customHeight="1">
      <c r="A16" s="3594" t="s">
        <v>2459</v>
      </c>
      <c r="B16" s="2158" t="s">
        <v>2460</v>
      </c>
      <c r="C16" s="2320" t="e">
        <f>ROUND(IF(F17="与级别开发程度一致",0,(G17-E17)/C17),0)</f>
        <v>#DIV/0!</v>
      </c>
      <c r="D16" s="3610" t="s">
        <v>2464</v>
      </c>
      <c r="E16" s="3611"/>
      <c r="F16" s="3610" t="s">
        <v>2461</v>
      </c>
      <c r="G16" s="3611"/>
      <c r="H16" s="2190"/>
      <c r="I16" s="2190"/>
      <c r="J16" s="2324"/>
      <c r="K16" s="2190"/>
      <c r="L16" s="2190"/>
      <c r="M16" s="2190"/>
      <c r="N16" s="2190"/>
      <c r="O16" s="2191"/>
      <c r="P16" s="2132"/>
      <c r="Q16" s="1233"/>
      <c r="R16" s="1326">
        <v>15</v>
      </c>
      <c r="S16" s="1327"/>
      <c r="T16" s="1326" t="e">
        <f t="shared" si="0"/>
        <v>#DIV/0!</v>
      </c>
      <c r="U16" s="1327"/>
      <c r="V16" s="1326" t="e">
        <f t="shared" si="1"/>
        <v>#DIV/0!</v>
      </c>
      <c r="W16" s="1330"/>
      <c r="X16" s="1330"/>
      <c r="Y16" s="1330"/>
      <c r="Z16" s="1330"/>
      <c r="AA16" s="1330"/>
      <c r="AB16" s="1330"/>
      <c r="AC16" s="1331"/>
      <c r="AD16" s="2968"/>
      <c r="AE16" s="2968"/>
      <c r="AF16" s="2968"/>
      <c r="AG16" s="2968"/>
      <c r="AH16" s="2968"/>
      <c r="AI16" s="2968"/>
      <c r="AJ16" s="2969"/>
    </row>
    <row r="17" spans="1:37" ht="13.5" thickBot="1">
      <c r="A17" s="3598"/>
      <c r="B17" s="2331" t="s">
        <v>2463</v>
      </c>
      <c r="C17" s="2332">
        <f>SUMPRODUCT((修正!A2:A7=E2)*(修正!B1:M1=G2)*(修正!B2:M7))</f>
        <v>0</v>
      </c>
      <c r="D17" s="193" t="str">
        <f>IF(OR(G2="八级",G2="九级",G2="十级",G2="十一级",G2="十二级"),"五通一平","七通一平")</f>
        <v>五通一平</v>
      </c>
      <c r="E17" s="2321">
        <f>SUMPRODUCT((修正!B1:M1=G2)*(修正!B17:M17))</f>
        <v>185</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3"/>
      <c r="R17" s="1233"/>
      <c r="S17" s="1233"/>
      <c r="T17" s="1233"/>
      <c r="U17" s="1233"/>
      <c r="V17" s="1233"/>
      <c r="W17" s="1233"/>
      <c r="X17" s="1233"/>
      <c r="Y17" s="1233"/>
      <c r="Z17" s="1234"/>
      <c r="AA17" s="1234"/>
      <c r="AB17" s="1234"/>
      <c r="AC17" s="1234"/>
      <c r="AD17" s="1234"/>
      <c r="AE17" s="1233"/>
      <c r="AF17" s="1233"/>
      <c r="AG17" s="2132"/>
      <c r="AH17" s="2132"/>
      <c r="AI17" s="2132"/>
      <c r="AJ17" s="2132"/>
    </row>
    <row r="18" spans="1:37" s="2151" customFormat="1" ht="15.75" thickBot="1">
      <c r="A18" s="2325" t="s">
        <v>627</v>
      </c>
      <c r="B18" s="2326" t="s">
        <v>2466</v>
      </c>
      <c r="C18" s="2327">
        <f>SUMIF(修正!C20:C51,E3,修正!E20:E51)</f>
        <v>0</v>
      </c>
      <c r="D18" s="2328"/>
      <c r="E18" s="2329"/>
      <c r="F18" s="2329"/>
      <c r="G18" s="2329"/>
      <c r="H18" s="2329"/>
      <c r="I18" s="2329"/>
      <c r="J18" s="2330"/>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89"/>
      <c r="AH18" s="2289"/>
      <c r="AI18" s="2289"/>
      <c r="AJ18" s="2967"/>
    </row>
    <row r="19" spans="1:37" s="2151" customFormat="1" ht="27.75" thickBot="1">
      <c r="A19" s="2195" t="s">
        <v>628</v>
      </c>
      <c r="B19" s="2196" t="s">
        <v>2467</v>
      </c>
      <c r="C19" s="845" t="e">
        <f>ROUND(IF(H19="按公示增长率计算",SUMPRODUCT((地价!A3:A37=YEAR(G19)&amp;"-"&amp;ROUNDUP(MONTH(G19)/3,0))*(地价!X2:AB2=E2)*(地价!X3:AB37)),IF(H19="地价指数",M20/M19,(1+I19)^O19)),4)</f>
        <v>#VALUE!</v>
      </c>
      <c r="D19" s="2200" t="s">
        <v>2468</v>
      </c>
      <c r="E19" s="846">
        <v>41640</v>
      </c>
      <c r="F19" s="2200" t="s">
        <v>2469</v>
      </c>
      <c r="G19" s="847">
        <f>'数据-取费表'!B2</f>
        <v>44769</v>
      </c>
      <c r="H19" s="2201"/>
      <c r="I19" s="848" t="str">
        <f>IF(H19="季度增幅（自定义）",SUMIF(N21:N24,E2,O21:O24),"")</f>
        <v/>
      </c>
      <c r="J19" s="2198"/>
      <c r="K19" s="1240"/>
      <c r="L19" s="2202" t="s">
        <v>2470</v>
      </c>
      <c r="M19" s="1448">
        <f>ROUND(SUMIF(地价!B2:F2,E2,地价!B37:F37),0)</f>
        <v>0</v>
      </c>
      <c r="N19" s="2203" t="s">
        <v>2471</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0"/>
      <c r="AH19" s="2289"/>
      <c r="AI19" s="2971"/>
      <c r="AJ19" s="2971"/>
      <c r="AK19" s="2204"/>
    </row>
    <row r="20" spans="1:37" s="2151" customFormat="1" ht="27.75" thickBot="1">
      <c r="A20" s="2205" t="s">
        <v>629</v>
      </c>
      <c r="B20" s="2206" t="s">
        <v>2472</v>
      </c>
      <c r="C20" s="850" t="e">
        <f>ROUND(POWER(1+G20,J20-I20)*(POWER(1+G20,I20)-1)/(POWER(1+G20,J20)-1),4)</f>
        <v>#DIV/0!</v>
      </c>
      <c r="D20" s="2207" t="s">
        <v>2473</v>
      </c>
      <c r="E20" s="1455">
        <f>存贷款利率!E21/100</f>
        <v>4.3499999999999997E-2</v>
      </c>
      <c r="F20" s="2207" t="s">
        <v>2465</v>
      </c>
      <c r="G20" s="854">
        <f>SUMIF(M26:P26,E2,M28:P28)</f>
        <v>0</v>
      </c>
      <c r="H20" s="2207" t="s">
        <v>2474</v>
      </c>
      <c r="I20" s="855" t="e">
        <f>SUMIF('数据-取费表'!C6:C15,E2,'数据-取费表'!F6:F15)/COUNTIF('数据-取费表'!C6:C15,E2)</f>
        <v>#DIV/0!</v>
      </c>
      <c r="J20" s="856">
        <f>IF(E2="住宅",70,IF(E2="商业",40,50))</f>
        <v>50</v>
      </c>
      <c r="K20" s="1240"/>
      <c r="L20" s="2208" t="s">
        <v>2475</v>
      </c>
      <c r="M20" s="1449">
        <f>ROUND(SUMPRODUCT((地价!A4:A37=YEAR(G19)&amp;"-"&amp;ROUNDUP(MONTH(G19)/3,0))*(地价!B2:F2=E2)*(地价!B4:F37)),0)</f>
        <v>0</v>
      </c>
      <c r="N20" s="2209" t="s">
        <v>2476</v>
      </c>
      <c r="O20" s="2210" t="s">
        <v>2477</v>
      </c>
      <c r="P20" s="2211" t="s">
        <v>2478</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1" customFormat="1" ht="15">
      <c r="A21" s="2212" t="s">
        <v>630</v>
      </c>
      <c r="B21" s="2213" t="s">
        <v>2479</v>
      </c>
      <c r="C21" s="857">
        <f>IF(B21="容积率修正",IF(G3&lt;=10,D22,J22),C23)</f>
        <v>0</v>
      </c>
      <c r="D21" s="2214"/>
      <c r="E21" s="2214"/>
      <c r="F21" s="2214"/>
      <c r="G21" s="2214"/>
      <c r="H21" s="2214"/>
      <c r="I21" s="2214"/>
      <c r="J21" s="2215"/>
      <c r="K21" s="1240"/>
      <c r="L21" s="2967"/>
      <c r="M21" s="2967"/>
      <c r="N21" s="2216" t="s">
        <v>2480</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1" customFormat="1" ht="14.25">
      <c r="A22" s="2090" t="s">
        <v>2481</v>
      </c>
      <c r="B22" s="2217" t="s">
        <v>2482</v>
      </c>
      <c r="C22" s="1486" t="s">
        <v>2483</v>
      </c>
      <c r="D22" s="1486">
        <f>IF(E22=G22,F22,IF(G3&lt;=10,ROUND(F22+(H22-F22)*(G3-E22)/(G22-E22),4),"——"))</f>
        <v>0.56079999999999997</v>
      </c>
      <c r="E22" s="837">
        <f>ROUNDDOWN(G3,1)</f>
        <v>1.4</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1.5</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486" t="s">
        <v>155</v>
      </c>
      <c r="J22" s="858" t="str">
        <f>IF(G3&gt;10,D113,"——")</f>
        <v>——</v>
      </c>
      <c r="K22" s="1240"/>
      <c r="L22" s="2967"/>
      <c r="M22" s="2967"/>
      <c r="N22" s="2216" t="s">
        <v>2484</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0" t="s">
        <v>2485</v>
      </c>
      <c r="B23" s="2218" t="s">
        <v>2486</v>
      </c>
      <c r="C23" s="931">
        <f>ROUND(IF(G3&gt;1,IF(I3&lt;7,SUMPRODUCT((B93:B98=I3)*(C92:N92=G2)*(C93:N98)),SUMIF(C92:N92,G2,C100:N100)),IF(I3&lt;7,SUMPRODUCT((B102:B107=I3)*(C92:N92=G2)*(C102:N107)),SUMIF(C92:N92,G2,C109:N109))),4)</f>
        <v>0</v>
      </c>
      <c r="D23" s="2186"/>
      <c r="E23" s="2186"/>
      <c r="F23" s="2219"/>
      <c r="G23" s="2220"/>
      <c r="H23" s="2221"/>
      <c r="I23" s="2222"/>
      <c r="J23" s="2223"/>
      <c r="K23" s="1233"/>
      <c r="L23" s="2132"/>
      <c r="M23" s="2132"/>
      <c r="N23" s="2216" t="s">
        <v>2487</v>
      </c>
      <c r="O23" s="1288"/>
      <c r="P23" s="1289">
        <f>SUMPRODUCT((地价!A3:A37=YEAR(G19)&amp;"-"&amp;ROUNDUP(MONTH(G19)/3,0))*(地价!AD2:AH2=N23)*(地价!AD3:AH37))</f>
        <v>0</v>
      </c>
      <c r="Q23" s="2132"/>
      <c r="R23" s="1239"/>
      <c r="S23" s="1239"/>
      <c r="T23" s="1234"/>
      <c r="U23" s="1234"/>
      <c r="V23" s="1234"/>
      <c r="W23" s="1233"/>
      <c r="X23" s="1233"/>
      <c r="Y23" s="1233"/>
      <c r="Z23" s="1240"/>
      <c r="AA23" s="1240"/>
      <c r="AB23" s="1240"/>
      <c r="AC23" s="1240"/>
      <c r="AD23" s="1240"/>
      <c r="AE23" s="1234"/>
      <c r="AF23" s="1234"/>
      <c r="AG23" s="2289"/>
      <c r="AH23" s="2289"/>
      <c r="AI23" s="2289"/>
      <c r="AJ23" s="2289"/>
      <c r="AK23" s="2199"/>
    </row>
    <row r="24" spans="1:37" s="2151" customFormat="1" ht="15.75" thickBot="1">
      <c r="A24" s="2205" t="s">
        <v>631</v>
      </c>
      <c r="B24" s="2196" t="s">
        <v>2488</v>
      </c>
      <c r="C24" s="845">
        <f>SUMIF(A45:A88,E2,B45:B88)</f>
        <v>0</v>
      </c>
      <c r="D24" s="2197"/>
      <c r="E24" s="2224"/>
      <c r="F24" s="2224"/>
      <c r="G24" s="2224"/>
      <c r="H24" s="2224"/>
      <c r="I24" s="2224"/>
      <c r="J24" s="2225"/>
      <c r="K24" s="1240"/>
      <c r="L24" s="2967"/>
      <c r="M24" s="2967"/>
      <c r="N24" s="2226" t="s">
        <v>2489</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5" t="s">
        <v>632</v>
      </c>
      <c r="B25" s="2227" t="s">
        <v>2490</v>
      </c>
      <c r="C25" s="851"/>
      <c r="D25" s="2161"/>
      <c r="E25" s="2161"/>
      <c r="F25" s="2228"/>
      <c r="G25" s="2161"/>
      <c r="H25" s="2161"/>
      <c r="I25" s="2161"/>
      <c r="J25" s="2162"/>
      <c r="K25" s="1233"/>
      <c r="L25" s="2132"/>
      <c r="M25" s="2132"/>
      <c r="N25" s="2962" t="s">
        <v>2491</v>
      </c>
      <c r="O25" s="2963"/>
      <c r="P25" s="2964">
        <f>SUMPRODUCT((地价!A3:A37=YEAR(G19)&amp;"-"&amp;ROUNDUP(MONTH(G19)/3,0))*(地价!AD2:AH2=N25)*(地价!AD3:AH37))</f>
        <v>0</v>
      </c>
      <c r="Q25" s="2132"/>
      <c r="R25" s="1239"/>
      <c r="S25" s="1239"/>
      <c r="T25" s="1234"/>
      <c r="U25" s="1234"/>
      <c r="V25" s="1234"/>
      <c r="W25" s="1233"/>
      <c r="X25" s="1233"/>
      <c r="Y25" s="1233"/>
      <c r="Z25" s="1240"/>
      <c r="AA25" s="1240"/>
      <c r="AB25" s="1240"/>
      <c r="AC25" s="1240"/>
      <c r="AD25" s="1240"/>
      <c r="AE25" s="1234"/>
      <c r="AF25" s="1234"/>
      <c r="AG25" s="2289"/>
      <c r="AH25" s="2289"/>
      <c r="AI25" s="2289"/>
      <c r="AJ25" s="2289"/>
    </row>
    <row r="26" spans="1:37" ht="15">
      <c r="A26" s="2229"/>
      <c r="B26" s="2217" t="s">
        <v>2492</v>
      </c>
      <c r="C26" s="2491" t="e">
        <f>IF(B21="容积率修正",E29+SUM(E33:E39),SUM(V2:V16)+SUM(E33:E39))</f>
        <v>#DIV/0!</v>
      </c>
      <c r="D26" s="2230"/>
      <c r="E26" s="2186"/>
      <c r="F26" s="2231"/>
      <c r="G26" s="2186"/>
      <c r="H26" s="2186"/>
      <c r="I26" s="2186"/>
      <c r="J26" s="2232"/>
      <c r="K26" s="1233"/>
      <c r="L26" s="2965" t="s">
        <v>2390</v>
      </c>
      <c r="M26" s="2159" t="s">
        <v>2455</v>
      </c>
      <c r="N26" s="2159" t="s">
        <v>2456</v>
      </c>
      <c r="O26" s="2159" t="s">
        <v>2457</v>
      </c>
      <c r="P26" s="2966" t="s">
        <v>2458</v>
      </c>
      <c r="Q26" s="2132"/>
      <c r="R26" s="1239"/>
      <c r="S26" s="1239"/>
      <c r="T26" s="1234"/>
      <c r="U26" s="1234"/>
      <c r="V26" s="1234"/>
      <c r="W26" s="1233"/>
      <c r="X26" s="1233"/>
      <c r="Y26" s="1233"/>
      <c r="Z26" s="1240"/>
      <c r="AA26" s="1240"/>
      <c r="AB26" s="1240"/>
      <c r="AC26" s="1240"/>
      <c r="AD26" s="1240"/>
      <c r="AE26" s="1234"/>
      <c r="AF26" s="1234"/>
      <c r="AG26" s="2289"/>
      <c r="AH26" s="2289"/>
      <c r="AI26" s="2289"/>
      <c r="AJ26" s="2289"/>
    </row>
    <row r="27" spans="1:37" ht="15.75" thickBot="1">
      <c r="A27" s="2229"/>
      <c r="B27" s="2233" t="s">
        <v>2493</v>
      </c>
      <c r="C27" s="852" t="e">
        <f>E30+SUM(I33:I39)</f>
        <v>#DIV/0!</v>
      </c>
      <c r="D27" s="2234"/>
      <c r="E27" s="2235"/>
      <c r="F27" s="2236"/>
      <c r="G27" s="2235"/>
      <c r="H27" s="2235"/>
      <c r="I27" s="2235"/>
      <c r="J27" s="2237"/>
      <c r="K27" s="1233"/>
      <c r="L27" s="2192" t="s">
        <v>2462</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89"/>
      <c r="AH27" s="2289"/>
      <c r="AI27" s="2289"/>
      <c r="AJ27" s="2289"/>
    </row>
    <row r="28" spans="1:37" ht="15.75" thickBot="1">
      <c r="A28" s="2238"/>
      <c r="B28" s="2239" t="s">
        <v>2494</v>
      </c>
      <c r="C28" s="2240" t="s">
        <v>2495</v>
      </c>
      <c r="D28" s="2240" t="s">
        <v>2496</v>
      </c>
      <c r="E28" s="2241" t="s">
        <v>2497</v>
      </c>
      <c r="F28" s="2242"/>
      <c r="G28" s="2174"/>
      <c r="H28" s="2174"/>
      <c r="I28" s="2174"/>
      <c r="J28" s="2175"/>
      <c r="K28" s="1233"/>
      <c r="L28" s="2193" t="s">
        <v>2465</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89"/>
      <c r="AH28" s="2289"/>
      <c r="AI28" s="2289"/>
      <c r="AJ28" s="2289"/>
    </row>
    <row r="29" spans="1:37" ht="22.5" customHeight="1">
      <c r="A29" s="2243"/>
      <c r="B29" s="2244" t="s">
        <v>2498</v>
      </c>
      <c r="C29" s="180" t="e">
        <f>ROUND(C5*C18*C19*C20*C21*C24,0)</f>
        <v>#DIV/0!</v>
      </c>
      <c r="D29" s="2245"/>
      <c r="E29" s="860" t="e">
        <f>ROUND(C29*D29/10000,0)</f>
        <v>#DIV/0!</v>
      </c>
      <c r="F29" s="2246" t="s">
        <v>2499</v>
      </c>
      <c r="G29" s="2247"/>
      <c r="H29" s="2247"/>
      <c r="I29" s="2247"/>
      <c r="J29" s="2248"/>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2"/>
      <c r="AH29" s="2132"/>
      <c r="AI29" s="2132"/>
      <c r="AJ29" s="2132"/>
    </row>
    <row r="30" spans="1:37" ht="25.5" thickBot="1">
      <c r="A30" s="2249"/>
      <c r="B30" s="2250" t="s">
        <v>2500</v>
      </c>
      <c r="C30" s="193" t="e">
        <f>ROUND(IF(E2="工业",C29*M39,C29*M38),0)</f>
        <v>#DIV/0!</v>
      </c>
      <c r="D30" s="2251"/>
      <c r="E30" s="860" t="e">
        <f>ROUND(C30*D30/10000,0)</f>
        <v>#DIV/0!</v>
      </c>
      <c r="F30" s="2252" t="s">
        <v>2501</v>
      </c>
      <c r="G30" s="2253"/>
      <c r="H30" s="2253"/>
      <c r="I30" s="2253"/>
      <c r="J30" s="2254"/>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2"/>
      <c r="AH30" s="2132"/>
      <c r="AI30" s="2132"/>
      <c r="AJ30" s="2132"/>
    </row>
    <row r="31" spans="1:37" ht="14.25">
      <c r="A31" s="2255"/>
      <c r="B31" s="2256" t="s">
        <v>2502</v>
      </c>
      <c r="C31" s="2257" t="s">
        <v>2503</v>
      </c>
      <c r="D31" s="2174"/>
      <c r="E31" s="2257"/>
      <c r="F31" s="2257"/>
      <c r="G31" s="2172" t="s">
        <v>2504</v>
      </c>
      <c r="H31" s="2174"/>
      <c r="I31" s="2258"/>
      <c r="J31" s="2175"/>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2"/>
      <c r="AH31" s="2132"/>
      <c r="AI31" s="2132"/>
      <c r="AJ31" s="2132"/>
    </row>
    <row r="32" spans="1:37" ht="24">
      <c r="A32" s="2243"/>
      <c r="B32" s="2259"/>
      <c r="C32" s="458" t="s">
        <v>2495</v>
      </c>
      <c r="D32" s="455" t="s">
        <v>2496</v>
      </c>
      <c r="E32" s="455" t="s">
        <v>2497</v>
      </c>
      <c r="F32" s="348" t="s">
        <v>2505</v>
      </c>
      <c r="G32" s="2260" t="s">
        <v>2495</v>
      </c>
      <c r="H32" s="2260" t="s">
        <v>2496</v>
      </c>
      <c r="I32" s="2260" t="s">
        <v>2497</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2"/>
      <c r="AH32" s="2132"/>
      <c r="AI32" s="2132"/>
      <c r="AJ32" s="2132"/>
    </row>
    <row r="33" spans="1:37" ht="36" customHeight="1">
      <c r="A33" s="3607"/>
      <c r="B33" s="2261" t="s">
        <v>2506</v>
      </c>
      <c r="C33" s="180" t="e">
        <f>ROUND(D5*C19*C20*C24*F33,0)</f>
        <v>#DIV/0!</v>
      </c>
      <c r="D33" s="2245"/>
      <c r="E33" s="176" t="e">
        <f>ROUND(C33*D33/10000,0)</f>
        <v>#DIV/0!</v>
      </c>
      <c r="F33" s="176">
        <f>SUMIF(修正!A57:A68,G2,修正!B57:B68)</f>
        <v>0.5</v>
      </c>
      <c r="G33" s="176" t="e">
        <f t="shared" ref="G33" si="6">ROUND(IF(E2="工业",C33*$M$39,C33*$M$38),0)</f>
        <v>#DIV/0!</v>
      </c>
      <c r="H33" s="176">
        <f>D33</f>
        <v>0</v>
      </c>
      <c r="I33" s="176" t="e">
        <f>ROUND(G33*H33/10000,0)</f>
        <v>#DIV/0!</v>
      </c>
      <c r="J33" s="3612" t="s">
        <v>2808</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89"/>
      <c r="AH33" s="2289"/>
      <c r="AI33" s="2289"/>
      <c r="AJ33" s="2289"/>
    </row>
    <row r="34" spans="1:37" ht="14.25">
      <c r="A34" s="3608"/>
      <c r="B34" s="2178" t="s">
        <v>2507</v>
      </c>
      <c r="C34" s="180" t="e">
        <f>ROUND(D5*C19*C20*C24*F34,0)</f>
        <v>#DIV/0!</v>
      </c>
      <c r="D34" s="2245"/>
      <c r="E34" s="176" t="e">
        <f t="shared" ref="E34:E39" si="7">ROUND(C34*D34/10000,0)</f>
        <v>#DIV/0!</v>
      </c>
      <c r="F34" s="176">
        <f>SUMIF(修正!A57:A68,G2,修正!C57:C68)</f>
        <v>0.2</v>
      </c>
      <c r="G34" s="176" t="e">
        <f>ROUND(IF(E2="工业",C34*$M$39,C34*$M$38),0)</f>
        <v>#DIV/0!</v>
      </c>
      <c r="H34" s="176">
        <f t="shared" ref="H34:H39" si="8">D34</f>
        <v>0</v>
      </c>
      <c r="I34" s="176" t="e">
        <f t="shared" ref="I34:I39" si="9">ROUND(G34*H34/10000,0)</f>
        <v>#DIV/0!</v>
      </c>
      <c r="J34" s="3608"/>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89"/>
      <c r="AH34" s="2289"/>
      <c r="AI34" s="2289"/>
      <c r="AJ34" s="2289"/>
    </row>
    <row r="35" spans="1:37">
      <c r="A35" s="3608"/>
      <c r="B35" s="2178" t="s">
        <v>2508</v>
      </c>
      <c r="C35" s="180" t="e">
        <f>ROUND(D5*C19*C20*C24*F35,0)</f>
        <v>#DIV/0!</v>
      </c>
      <c r="D35" s="2245"/>
      <c r="E35" s="176" t="e">
        <f t="shared" si="7"/>
        <v>#DIV/0!</v>
      </c>
      <c r="F35" s="176">
        <f>SUMIF(修正!A57:A68,G2,修正!D57:D68)</f>
        <v>0.2</v>
      </c>
      <c r="G35" s="176" t="e">
        <f>ROUND(IF(E2="工业",C35*$M$39,C35*$M$38),0)</f>
        <v>#DIV/0!</v>
      </c>
      <c r="H35" s="176">
        <f t="shared" si="8"/>
        <v>0</v>
      </c>
      <c r="I35" s="176" t="e">
        <f t="shared" si="9"/>
        <v>#DIV/0!</v>
      </c>
      <c r="J35" s="3608"/>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89"/>
      <c r="AH35" s="2289"/>
      <c r="AI35" s="2289"/>
      <c r="AJ35" s="2289"/>
    </row>
    <row r="36" spans="1:37" ht="13.5" thickBot="1">
      <c r="A36" s="3609"/>
      <c r="B36" s="2178" t="s">
        <v>2509</v>
      </c>
      <c r="C36" s="180" t="e">
        <f>ROUND(D5*C19*C20*C24*F36,0)</f>
        <v>#DIV/0!</v>
      </c>
      <c r="D36" s="2245"/>
      <c r="E36" s="176" t="e">
        <f t="shared" si="7"/>
        <v>#DIV/0!</v>
      </c>
      <c r="F36" s="176" t="e">
        <f>SUMIF(修正!A57:A68,G2,修正!#REF!)</f>
        <v>#REF!</v>
      </c>
      <c r="G36" s="176" t="e">
        <f>ROUND(IF(E2="工业",C36*$M$39,C36*$M$38),0)</f>
        <v>#DIV/0!</v>
      </c>
      <c r="H36" s="176">
        <f t="shared" si="8"/>
        <v>0</v>
      </c>
      <c r="I36" s="176" t="e">
        <f t="shared" si="9"/>
        <v>#DIV/0!</v>
      </c>
      <c r="J36" s="3609"/>
      <c r="K36" s="1233"/>
      <c r="L36" s="2132"/>
      <c r="M36" s="2132"/>
      <c r="N36" s="1233"/>
      <c r="O36" s="1233"/>
      <c r="P36" s="1233"/>
      <c r="Q36" s="1233"/>
      <c r="R36" s="1233"/>
      <c r="S36" s="1233"/>
      <c r="T36" s="1233"/>
      <c r="U36" s="1233"/>
      <c r="V36" s="1233"/>
      <c r="W36" s="1233"/>
      <c r="X36" s="1233"/>
      <c r="Y36" s="1233"/>
      <c r="Z36" s="1234"/>
      <c r="AA36" s="1234"/>
      <c r="AB36" s="1234"/>
      <c r="AC36" s="1234"/>
      <c r="AD36" s="1234"/>
      <c r="AE36" s="1234"/>
      <c r="AF36" s="1234"/>
      <c r="AG36" s="2289"/>
      <c r="AH36" s="2289"/>
      <c r="AI36" s="2289"/>
      <c r="AJ36" s="2289"/>
    </row>
    <row r="37" spans="1:37">
      <c r="A37" s="2263"/>
      <c r="B37" s="2178" t="s">
        <v>2510</v>
      </c>
      <c r="C37" s="176" t="e">
        <f>ROUND(D5*C19*C20*C24*F37,0)</f>
        <v>#DIV/0!</v>
      </c>
      <c r="D37" s="2245"/>
      <c r="E37" s="176" t="e">
        <f t="shared" si="7"/>
        <v>#DIV/0!</v>
      </c>
      <c r="F37" s="180">
        <f>SUMIF(修正!A57:A68,G2,修正!E57:E68)</f>
        <v>0.2</v>
      </c>
      <c r="G37" s="176" t="e">
        <f>ROUND(IF(E2="工业",C37*$M$39,C37*$M$38),0)</f>
        <v>#DIV/0!</v>
      </c>
      <c r="H37" s="176">
        <f t="shared" si="8"/>
        <v>0</v>
      </c>
      <c r="I37" s="176" t="e">
        <f t="shared" si="9"/>
        <v>#DIV/0!</v>
      </c>
      <c r="J37" s="2262"/>
      <c r="K37" s="1233"/>
      <c r="L37" s="2264" t="s">
        <v>2511</v>
      </c>
      <c r="M37" s="2265"/>
      <c r="N37" s="1233"/>
      <c r="O37" s="1233"/>
      <c r="P37" s="1233"/>
      <c r="Q37" s="1233"/>
      <c r="R37" s="1233"/>
      <c r="S37" s="1233"/>
      <c r="T37" s="1233"/>
      <c r="U37" s="1233"/>
      <c r="V37" s="1233"/>
      <c r="W37" s="1233"/>
      <c r="X37" s="1233"/>
      <c r="Y37" s="1233"/>
      <c r="Z37" s="1234"/>
      <c r="AA37" s="1234"/>
      <c r="AB37" s="1234"/>
      <c r="AC37" s="1234"/>
      <c r="AD37" s="1234"/>
      <c r="AE37" s="1234"/>
      <c r="AF37" s="1234"/>
      <c r="AG37" s="2289"/>
      <c r="AH37" s="2289"/>
      <c r="AI37" s="2289"/>
      <c r="AJ37" s="2289"/>
    </row>
    <row r="38" spans="1:37">
      <c r="A38" s="2263"/>
      <c r="B38" s="2178" t="s">
        <v>2512</v>
      </c>
      <c r="C38" s="176" t="e">
        <f>ROUND(D5*C19*C41*C24*F38,0)</f>
        <v>#DIV/0!</v>
      </c>
      <c r="D38" s="2245"/>
      <c r="E38" s="176" t="e">
        <f t="shared" si="7"/>
        <v>#DIV/0!</v>
      </c>
      <c r="F38" s="180">
        <f>SUMIF(修正!A57:A68,G2,修正!F57:F68)</f>
        <v>0.2</v>
      </c>
      <c r="G38" s="176" t="e">
        <f>ROUND(IF(E2="工业",C38*$M$39,C38*$M$38),0)</f>
        <v>#DIV/0!</v>
      </c>
      <c r="H38" s="176">
        <f t="shared" si="8"/>
        <v>0</v>
      </c>
      <c r="I38" s="176" t="e">
        <f t="shared" si="9"/>
        <v>#DIV/0!</v>
      </c>
      <c r="J38" s="2262"/>
      <c r="K38" s="1233"/>
      <c r="L38" s="1555" t="s">
        <v>2513</v>
      </c>
      <c r="M38" s="2266">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49"/>
      <c r="B39" s="2267" t="s">
        <v>2514</v>
      </c>
      <c r="C39" s="193" t="e">
        <f>ROUND(D5*C19*C41*C24*F39,0)</f>
        <v>#DIV/0!</v>
      </c>
      <c r="D39" s="2251"/>
      <c r="E39" s="193" t="e">
        <f t="shared" si="7"/>
        <v>#DIV/0!</v>
      </c>
      <c r="F39" s="853">
        <f>SUMIF(修正!A57:A68,G2,修正!G57:G68)</f>
        <v>0.1</v>
      </c>
      <c r="G39" s="193" t="e">
        <f>ROUND(IF(E2="工业",C39*$M$39,C39*$M$38),0)</f>
        <v>#DIV/0!</v>
      </c>
      <c r="H39" s="193">
        <f t="shared" si="8"/>
        <v>0</v>
      </c>
      <c r="I39" s="193" t="e">
        <f t="shared" si="9"/>
        <v>#DIV/0!</v>
      </c>
      <c r="J39" s="2268"/>
      <c r="K39" s="1233"/>
      <c r="L39" s="2269" t="s">
        <v>2458</v>
      </c>
      <c r="M39" s="2270">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19" t="s">
        <v>2619</v>
      </c>
      <c r="C41" s="348" t="e">
        <f>ROUND(POWER(1+E41,H41-G41)*(POWER(1+E41,G41)-1)/(POWER(1+E41,H41)-1),4)</f>
        <v>#DIV/0!</v>
      </c>
      <c r="D41" s="176" t="s">
        <v>2465</v>
      </c>
      <c r="E41" s="2318">
        <f>G20</f>
        <v>0</v>
      </c>
      <c r="F41" s="176" t="s">
        <v>2474</v>
      </c>
      <c r="G41" s="189"/>
      <c r="H41" s="176">
        <v>50</v>
      </c>
      <c r="Z41" s="1234"/>
      <c r="AA41" s="1234"/>
      <c r="AB41" s="1234"/>
      <c r="AC41" s="1234"/>
      <c r="AD41" s="1234"/>
      <c r="AE41" s="1234"/>
      <c r="AF41" s="1234"/>
      <c r="AG41" s="1234"/>
      <c r="AH41" s="1234"/>
      <c r="AI41" s="1234"/>
      <c r="AJ41" s="1234"/>
    </row>
    <row r="42" spans="1:37" s="1233" customFormat="1">
      <c r="A42" s="1234"/>
      <c r="B42" s="2271"/>
      <c r="Z42" s="1234"/>
      <c r="AA42" s="1234"/>
      <c r="AB42" s="1234"/>
      <c r="AC42" s="1234"/>
      <c r="AD42" s="1234"/>
      <c r="AE42" s="1234"/>
      <c r="AF42" s="1234"/>
      <c r="AG42" s="1234"/>
      <c r="AH42" s="1234"/>
      <c r="AI42" s="1234"/>
      <c r="AJ42" s="1234"/>
    </row>
    <row r="43" spans="1:37" s="1233" customFormat="1">
      <c r="A43" s="1234"/>
      <c r="B43" s="2271"/>
      <c r="Z43" s="1234"/>
      <c r="AA43" s="1234"/>
      <c r="AB43" s="1234"/>
      <c r="AC43" s="1234"/>
      <c r="AD43" s="1234"/>
      <c r="AE43" s="1234"/>
      <c r="AF43" s="1234"/>
      <c r="AG43" s="1234"/>
      <c r="AH43" s="1234"/>
      <c r="AI43" s="1234"/>
      <c r="AJ43" s="1234"/>
    </row>
    <row r="44" spans="1:37" s="1233" customFormat="1">
      <c r="A44" s="1234"/>
      <c r="B44" s="2271"/>
      <c r="Z44" s="1234"/>
      <c r="AA44" s="1234"/>
      <c r="AB44" s="1234"/>
      <c r="AC44" s="1234"/>
      <c r="AD44" s="1234"/>
      <c r="AE44" s="1234"/>
      <c r="AF44" s="1234"/>
      <c r="AG44" s="1234"/>
      <c r="AH44" s="1234"/>
      <c r="AI44" s="1234"/>
      <c r="AJ44" s="1234"/>
    </row>
    <row r="45" spans="1:37" s="1233" customFormat="1" ht="15.75" thickBot="1">
      <c r="A45" s="2272" t="s">
        <v>2515</v>
      </c>
      <c r="B45" s="2273"/>
      <c r="C45" s="7"/>
      <c r="D45" s="7"/>
      <c r="E45" s="7"/>
      <c r="F45" s="6"/>
      <c r="G45" s="6"/>
      <c r="H45" s="6"/>
      <c r="I45" s="1956"/>
      <c r="J45" s="1956"/>
      <c r="K45" s="1956"/>
      <c r="L45" s="1956"/>
      <c r="M45" s="1956"/>
      <c r="Z45" s="1234"/>
      <c r="AA45" s="1234"/>
      <c r="AB45" s="1234"/>
      <c r="AC45" s="1234"/>
      <c r="AD45" s="1234"/>
      <c r="AE45" s="1234"/>
      <c r="AF45" s="1234"/>
      <c r="AG45" s="1234"/>
      <c r="AH45" s="1234"/>
      <c r="AI45" s="1234"/>
      <c r="AJ45" s="1234"/>
    </row>
    <row r="46" spans="1:37" s="1233" customFormat="1" ht="15">
      <c r="A46" s="2274" t="s">
        <v>2516</v>
      </c>
      <c r="B46" s="2275">
        <f>1+E48</f>
        <v>1</v>
      </c>
      <c r="C46" s="2276"/>
      <c r="D46" s="753"/>
      <c r="E46" s="754"/>
      <c r="F46" s="2277"/>
      <c r="G46" s="6"/>
      <c r="H46" s="7"/>
      <c r="I46" s="1956"/>
      <c r="J46" s="1956"/>
      <c r="K46" s="1956"/>
      <c r="L46" s="1956"/>
      <c r="M46" s="1956"/>
      <c r="Z46" s="1234"/>
      <c r="AA46" s="1234"/>
      <c r="AB46" s="1234"/>
      <c r="AC46" s="1234"/>
      <c r="AD46" s="1234"/>
      <c r="AE46" s="1234"/>
      <c r="AF46" s="1234"/>
      <c r="AG46" s="1234"/>
      <c r="AH46" s="1234"/>
      <c r="AI46" s="1234"/>
      <c r="AJ46" s="1234"/>
    </row>
    <row r="47" spans="1:37" s="1233" customFormat="1" ht="24.75">
      <c r="A47" s="2278" t="s">
        <v>2517</v>
      </c>
      <c r="B47" s="1485" t="s">
        <v>2518</v>
      </c>
      <c r="C47" s="1485" t="s">
        <v>2519</v>
      </c>
      <c r="D47" s="1485" t="s">
        <v>2520</v>
      </c>
      <c r="E47" s="758" t="s">
        <v>2521</v>
      </c>
      <c r="F47" s="2279" t="s">
        <v>2522</v>
      </c>
      <c r="G47" s="1485" t="s">
        <v>574</v>
      </c>
      <c r="H47" s="2280" t="s">
        <v>2523</v>
      </c>
      <c r="I47" s="1485" t="s">
        <v>2524</v>
      </c>
      <c r="J47" s="560" t="s">
        <v>2175</v>
      </c>
      <c r="K47" s="560" t="s">
        <v>2176</v>
      </c>
      <c r="L47" s="560" t="s">
        <v>2177</v>
      </c>
      <c r="M47" s="560" t="s">
        <v>2178</v>
      </c>
      <c r="N47" s="560" t="s">
        <v>2179</v>
      </c>
      <c r="AA47" s="1234"/>
      <c r="AB47" s="1234"/>
      <c r="AC47" s="1234"/>
      <c r="AD47" s="1234"/>
      <c r="AE47" s="1234"/>
      <c r="AF47" s="1234"/>
      <c r="AG47" s="1234"/>
      <c r="AH47" s="1234"/>
      <c r="AI47" s="1234"/>
      <c r="AJ47" s="1234"/>
      <c r="AK47" s="1234"/>
    </row>
    <row r="48" spans="1:37" s="1233" customFormat="1" ht="38.25">
      <c r="A48" s="2278" t="s">
        <v>2525</v>
      </c>
      <c r="B48" s="2281" t="str">
        <f>估价对象房地状况!C4</f>
        <v>估价对象位于XX商圈，周边商业氛围成熟，人流量大，商业繁华度好</v>
      </c>
      <c r="C48" s="2183"/>
      <c r="D48" s="1177">
        <f t="shared" ref="D48:D56" si="10">SUMIF($J$47:$N$47,C48,J48:N48)</f>
        <v>0</v>
      </c>
      <c r="E48" s="760">
        <f>ROUND(SUM(D48:D56),4)</f>
        <v>0</v>
      </c>
      <c r="F48" s="1949"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78" t="s">
        <v>2526</v>
      </c>
      <c r="B49" s="2282" t="str">
        <f>估价对象房地状况!C18</f>
        <v>估价对象周边道路状况、公共交通通达情况、停车便捷程度，综合评价交通便捷度较好</v>
      </c>
      <c r="C49" s="2183"/>
      <c r="D49" s="1177">
        <f t="shared" si="10"/>
        <v>0</v>
      </c>
      <c r="E49" s="761"/>
      <c r="F49" s="1949"/>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8" t="s">
        <v>2527</v>
      </c>
      <c r="B50" s="2282">
        <f>估价对象房地状况!C19</f>
        <v>0</v>
      </c>
      <c r="C50" s="2183"/>
      <c r="D50" s="1177">
        <f t="shared" si="10"/>
        <v>0</v>
      </c>
      <c r="E50" s="761"/>
      <c r="F50" s="1949"/>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8" t="s">
        <v>2528</v>
      </c>
      <c r="B51" s="2283" t="s">
        <v>2529</v>
      </c>
      <c r="C51" s="2183"/>
      <c r="D51" s="1177">
        <f t="shared" si="10"/>
        <v>0</v>
      </c>
      <c r="E51" s="761"/>
      <c r="F51" s="1949"/>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8" t="s">
        <v>2530</v>
      </c>
      <c r="B52" s="2282">
        <f>估价对象房地状况!C24</f>
        <v>0</v>
      </c>
      <c r="C52" s="2183"/>
      <c r="D52" s="1177">
        <f t="shared" si="10"/>
        <v>0</v>
      </c>
      <c r="E52" s="761"/>
      <c r="F52" s="1949"/>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8" t="s">
        <v>2531</v>
      </c>
      <c r="B53" s="2284" t="s">
        <v>2532</v>
      </c>
      <c r="C53" s="2183"/>
      <c r="D53" s="1177">
        <f t="shared" si="10"/>
        <v>0</v>
      </c>
      <c r="E53" s="761"/>
      <c r="F53" s="1949"/>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5" t="s">
        <v>2533</v>
      </c>
      <c r="B54" s="1446" t="str">
        <f>估价对象房地状况!C21</f>
        <v>估价对象所在区域公共配套设施齐备情况</v>
      </c>
      <c r="C54" s="2183"/>
      <c r="D54" s="1177">
        <f t="shared" si="10"/>
        <v>0</v>
      </c>
      <c r="E54" s="761"/>
      <c r="F54" s="1949"/>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5" t="s">
        <v>2534</v>
      </c>
      <c r="B55" s="2282" t="str">
        <f>估价对象房地状况!C22</f>
        <v>估价对象所在区域基础设施水平</v>
      </c>
      <c r="C55" s="2183"/>
      <c r="D55" s="1177">
        <f t="shared" si="10"/>
        <v>0</v>
      </c>
      <c r="E55" s="761"/>
      <c r="F55" s="1949"/>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6" t="s">
        <v>2535</v>
      </c>
      <c r="B56" s="2287" t="str">
        <f>估价对象房地状况!C20</f>
        <v>区域自然环境：；人文环境；综合评价环境状况一般</v>
      </c>
      <c r="C56" s="2183"/>
      <c r="D56" s="1177">
        <f t="shared" si="10"/>
        <v>0</v>
      </c>
      <c r="E56" s="764"/>
      <c r="F56" s="1949"/>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4" t="s">
        <v>2536</v>
      </c>
      <c r="B57" s="2275">
        <f>1+E59</f>
        <v>1</v>
      </c>
      <c r="C57" s="753"/>
      <c r="D57" s="753"/>
      <c r="E57" s="754"/>
      <c r="F57" s="2277"/>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8" t="s">
        <v>2517</v>
      </c>
      <c r="B58" s="1485"/>
      <c r="C58" s="1485" t="s">
        <v>2519</v>
      </c>
      <c r="D58" s="1485" t="s">
        <v>2520</v>
      </c>
      <c r="E58" s="758" t="s">
        <v>2521</v>
      </c>
      <c r="F58" s="2279" t="s">
        <v>2537</v>
      </c>
      <c r="G58" s="1485" t="s">
        <v>574</v>
      </c>
      <c r="H58" s="2280" t="s">
        <v>2523</v>
      </c>
      <c r="I58" s="1485" t="s">
        <v>2524</v>
      </c>
      <c r="J58" s="560" t="s">
        <v>2175</v>
      </c>
      <c r="K58" s="560" t="s">
        <v>2176</v>
      </c>
      <c r="L58" s="560" t="s">
        <v>2177</v>
      </c>
      <c r="M58" s="560" t="s">
        <v>2178</v>
      </c>
      <c r="N58" s="560" t="s">
        <v>2179</v>
      </c>
      <c r="AA58" s="1234"/>
      <c r="AB58" s="1234"/>
      <c r="AC58" s="1234"/>
      <c r="AD58" s="1234"/>
      <c r="AE58" s="1234"/>
      <c r="AF58" s="1234"/>
      <c r="AG58" s="1234"/>
      <c r="AH58" s="1234"/>
      <c r="AI58" s="1234"/>
      <c r="AJ58" s="1234"/>
      <c r="AK58" s="1234"/>
    </row>
    <row r="59" spans="1:37" s="1233" customFormat="1" ht="38.25">
      <c r="A59" s="2278" t="s">
        <v>2538</v>
      </c>
      <c r="B59" s="2281" t="str">
        <f>估价对象房地状况!C17</f>
        <v>估价对象位于XX商圈，周边办公楼项目较多，入驻率高，办公集聚程度较好</v>
      </c>
      <c r="C59" s="2183"/>
      <c r="D59" s="1177">
        <f t="shared" ref="D59:D67" si="15">SUMIF($J$58:$N$58,C59,J59:N59)</f>
        <v>0</v>
      </c>
      <c r="E59" s="760">
        <f>ROUND(SUM(D59:D67),4)</f>
        <v>0</v>
      </c>
      <c r="F59" s="1949"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78" t="s">
        <v>2526</v>
      </c>
      <c r="B60" s="2282" t="str">
        <f>估价对象房地状况!C18</f>
        <v>估价对象周边道路状况、公共交通通达情况、停车便捷程度，综合评价交通便捷度较好</v>
      </c>
      <c r="C60" s="2183"/>
      <c r="D60" s="1177">
        <f t="shared" si="15"/>
        <v>0</v>
      </c>
      <c r="E60" s="761"/>
      <c r="F60" s="1949"/>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8" t="s">
        <v>2527</v>
      </c>
      <c r="B61" s="2282">
        <f>估价对象房地状况!C19</f>
        <v>0</v>
      </c>
      <c r="C61" s="2183"/>
      <c r="D61" s="1177">
        <f t="shared" si="15"/>
        <v>0</v>
      </c>
      <c r="E61" s="761"/>
      <c r="F61" s="1949"/>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8" t="s">
        <v>2528</v>
      </c>
      <c r="B62" s="2283" t="s">
        <v>2529</v>
      </c>
      <c r="C62" s="2183"/>
      <c r="D62" s="1177">
        <f t="shared" si="15"/>
        <v>0</v>
      </c>
      <c r="E62" s="761"/>
      <c r="F62" s="1949"/>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8" t="s">
        <v>2530</v>
      </c>
      <c r="B63" s="2282">
        <f>估价对象房地状况!C24</f>
        <v>0</v>
      </c>
      <c r="C63" s="2183"/>
      <c r="D63" s="1177">
        <f t="shared" si="15"/>
        <v>0</v>
      </c>
      <c r="E63" s="761"/>
      <c r="F63" s="1949"/>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8" t="s">
        <v>2531</v>
      </c>
      <c r="B64" s="2284" t="s">
        <v>2532</v>
      </c>
      <c r="C64" s="2183"/>
      <c r="D64" s="1177">
        <f t="shared" si="15"/>
        <v>0</v>
      </c>
      <c r="E64" s="761"/>
      <c r="F64" s="1949"/>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78" t="s">
        <v>2533</v>
      </c>
      <c r="B65" s="1446" t="str">
        <f>估价对象房地状况!C21</f>
        <v>估价对象所在区域公共配套设施齐备情况</v>
      </c>
      <c r="C65" s="2183"/>
      <c r="D65" s="1177">
        <f t="shared" si="15"/>
        <v>0</v>
      </c>
      <c r="E65" s="761"/>
      <c r="F65" s="1949"/>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8" t="s">
        <v>2534</v>
      </c>
      <c r="B66" s="1446" t="str">
        <f>估价对象房地状况!C22</f>
        <v>估价对象所在区域基础设施水平</v>
      </c>
      <c r="C66" s="2183"/>
      <c r="D66" s="1177">
        <f t="shared" si="15"/>
        <v>0</v>
      </c>
      <c r="E66" s="761"/>
      <c r="F66" s="1949"/>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6" t="s">
        <v>2535</v>
      </c>
      <c r="B67" s="2288" t="str">
        <f>估价对象房地状况!C20</f>
        <v>区域自然环境：；人文环境；综合评价环境状况一般</v>
      </c>
      <c r="C67" s="2183"/>
      <c r="D67" s="1177">
        <f t="shared" si="15"/>
        <v>0</v>
      </c>
      <c r="E67" s="764"/>
      <c r="F67" s="1949"/>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4" t="s">
        <v>2539</v>
      </c>
      <c r="B68" s="2275">
        <f>1+E70</f>
        <v>1</v>
      </c>
      <c r="C68" s="753"/>
      <c r="D68" s="753"/>
      <c r="E68" s="754"/>
      <c r="F68" s="2277"/>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8" t="s">
        <v>2517</v>
      </c>
      <c r="B69" s="1485"/>
      <c r="C69" s="1485" t="s">
        <v>2519</v>
      </c>
      <c r="D69" s="1485" t="s">
        <v>2520</v>
      </c>
      <c r="E69" s="758" t="s">
        <v>2521</v>
      </c>
      <c r="F69" s="2279" t="s">
        <v>2537</v>
      </c>
      <c r="G69" s="1485" t="s">
        <v>574</v>
      </c>
      <c r="H69" s="2280" t="s">
        <v>2523</v>
      </c>
      <c r="I69" s="1485" t="s">
        <v>2524</v>
      </c>
      <c r="J69" s="560" t="s">
        <v>2175</v>
      </c>
      <c r="K69" s="560" t="s">
        <v>2176</v>
      </c>
      <c r="L69" s="560" t="s">
        <v>2177</v>
      </c>
      <c r="M69" s="560" t="s">
        <v>2178</v>
      </c>
      <c r="N69" s="560" t="s">
        <v>2179</v>
      </c>
      <c r="AA69" s="1234"/>
      <c r="AB69" s="1234"/>
      <c r="AC69" s="1234"/>
      <c r="AD69" s="1234"/>
      <c r="AE69" s="1234"/>
      <c r="AF69" s="1234"/>
      <c r="AG69" s="1234"/>
      <c r="AH69" s="1234"/>
      <c r="AI69" s="1234"/>
      <c r="AJ69" s="1234"/>
      <c r="AK69" s="1234"/>
    </row>
    <row r="70" spans="1:37" s="1233" customFormat="1" ht="51">
      <c r="A70" s="2278" t="s">
        <v>2540</v>
      </c>
      <c r="B70" s="2281" t="str">
        <f>估价对象房地状况!C15</f>
        <v>估价对象周边居住用地比例、居住小区规模和社区发展完善程度，综合评价居住社区成熟度一般</v>
      </c>
      <c r="C70" s="2183"/>
      <c r="D70" s="1177">
        <f t="shared" ref="D70:D78" si="20">SUMIF($J$69:$N$69,C70,J70:N70)</f>
        <v>0</v>
      </c>
      <c r="E70" s="760">
        <f>ROUND(SUM(D70:D78),4)</f>
        <v>0</v>
      </c>
      <c r="F70" s="1949"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78" t="s">
        <v>2526</v>
      </c>
      <c r="B71" s="2282" t="str">
        <f>估价对象房地状况!C18</f>
        <v>估价对象周边道路状况、公共交通通达情况、停车便捷程度，综合评价交通便捷度较好</v>
      </c>
      <c r="C71" s="2183"/>
      <c r="D71" s="1177">
        <f t="shared" si="20"/>
        <v>0</v>
      </c>
      <c r="E71" s="765"/>
      <c r="F71" s="1949"/>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8" t="s">
        <v>2527</v>
      </c>
      <c r="B72" s="2282">
        <f>估价对象房地状况!C19</f>
        <v>0</v>
      </c>
      <c r="C72" s="2183"/>
      <c r="D72" s="1177">
        <f t="shared" si="20"/>
        <v>0</v>
      </c>
      <c r="E72" s="765"/>
      <c r="F72" s="1949"/>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8" t="s">
        <v>2541</v>
      </c>
      <c r="B73" s="2282">
        <f>估价对象房地状况!C24</f>
        <v>0</v>
      </c>
      <c r="C73" s="2183"/>
      <c r="D73" s="1177">
        <f t="shared" si="20"/>
        <v>0</v>
      </c>
      <c r="E73" s="765"/>
      <c r="F73" s="1949"/>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78" t="s">
        <v>2533</v>
      </c>
      <c r="B74" s="1446" t="str">
        <f>估价对象房地状况!C21</f>
        <v>估价对象所在区域公共配套设施齐备情况</v>
      </c>
      <c r="C74" s="2183"/>
      <c r="D74" s="1177">
        <f t="shared" si="20"/>
        <v>0</v>
      </c>
      <c r="E74" s="765"/>
      <c r="F74" s="1949"/>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8" t="s">
        <v>2534</v>
      </c>
      <c r="B75" s="1446" t="str">
        <f>估价对象房地状况!C22</f>
        <v>估价对象所在区域基础设施水平</v>
      </c>
      <c r="C75" s="2183"/>
      <c r="D75" s="1177">
        <f t="shared" si="20"/>
        <v>0</v>
      </c>
      <c r="E75" s="765"/>
      <c r="F75" s="1949"/>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2" customFormat="1" ht="24">
      <c r="A76" s="2278" t="s">
        <v>2531</v>
      </c>
      <c r="B76" s="2284" t="s">
        <v>2532</v>
      </c>
      <c r="C76" s="2183"/>
      <c r="D76" s="1177">
        <f t="shared" si="20"/>
        <v>0</v>
      </c>
      <c r="E76" s="765"/>
      <c r="F76" s="1949"/>
      <c r="G76" s="1175"/>
      <c r="H76" s="1179" t="str">
        <f t="shared" si="21"/>
        <v>——</v>
      </c>
      <c r="I76" s="759">
        <v>0.05</v>
      </c>
      <c r="J76" s="1176">
        <f t="shared" si="22"/>
        <v>0</v>
      </c>
      <c r="K76" s="1176">
        <f t="shared" si="23"/>
        <v>0</v>
      </c>
      <c r="L76" s="1176">
        <v>0</v>
      </c>
      <c r="M76" s="1176">
        <f t="shared" si="24"/>
        <v>0</v>
      </c>
      <c r="N76" s="1176">
        <f t="shared" si="24"/>
        <v>0</v>
      </c>
      <c r="AA76" s="2289"/>
      <c r="AB76" s="1234"/>
      <c r="AC76" s="1234"/>
      <c r="AD76" s="1234"/>
      <c r="AE76" s="1234"/>
      <c r="AF76" s="1234"/>
      <c r="AG76" s="1234"/>
      <c r="AH76" s="2289"/>
      <c r="AI76" s="2289"/>
      <c r="AJ76" s="2289"/>
      <c r="AK76" s="2289"/>
    </row>
    <row r="77" spans="1:37" ht="38.25">
      <c r="A77" s="2278" t="s">
        <v>2535</v>
      </c>
      <c r="B77" s="2281" t="str">
        <f>估价对象房地状况!C20</f>
        <v>区域自然环境：；人文环境；综合评价环境状况一般</v>
      </c>
      <c r="C77" s="2183"/>
      <c r="D77" s="1177">
        <f t="shared" si="20"/>
        <v>0</v>
      </c>
      <c r="E77" s="765"/>
      <c r="F77" s="1949"/>
      <c r="G77" s="1175"/>
      <c r="H77" s="1179" t="str">
        <f t="shared" si="21"/>
        <v>——</v>
      </c>
      <c r="I77" s="759">
        <v>0.15</v>
      </c>
      <c r="J77" s="1176">
        <f t="shared" si="22"/>
        <v>0</v>
      </c>
      <c r="K77" s="1176">
        <f t="shared" si="23"/>
        <v>0</v>
      </c>
      <c r="L77" s="1176">
        <v>0</v>
      </c>
      <c r="M77" s="1176">
        <f t="shared" si="24"/>
        <v>0</v>
      </c>
      <c r="N77" s="1176">
        <f t="shared" si="24"/>
        <v>0</v>
      </c>
      <c r="Z77" s="2133"/>
      <c r="AA77" s="2199"/>
      <c r="AG77" s="1235"/>
      <c r="AK77" s="2199"/>
    </row>
    <row r="78" spans="1:37" ht="24.75" thickBot="1">
      <c r="A78" s="2286" t="s">
        <v>2542</v>
      </c>
      <c r="B78" s="2290"/>
      <c r="C78" s="2183"/>
      <c r="D78" s="1177">
        <f t="shared" si="20"/>
        <v>0</v>
      </c>
      <c r="E78" s="766"/>
      <c r="F78" s="1949"/>
      <c r="G78" s="1175"/>
      <c r="H78" s="1179" t="str">
        <f t="shared" si="21"/>
        <v>——</v>
      </c>
      <c r="I78" s="763">
        <v>0.04</v>
      </c>
      <c r="J78" s="1176">
        <f t="shared" si="22"/>
        <v>0</v>
      </c>
      <c r="K78" s="1176">
        <f t="shared" si="23"/>
        <v>0</v>
      </c>
      <c r="L78" s="1176">
        <v>0</v>
      </c>
      <c r="M78" s="1176">
        <f t="shared" si="24"/>
        <v>0</v>
      </c>
      <c r="N78" s="1176">
        <f t="shared" si="24"/>
        <v>0</v>
      </c>
      <c r="Z78" s="2133"/>
      <c r="AA78" s="2199"/>
      <c r="AG78" s="1235"/>
      <c r="AK78" s="2199"/>
    </row>
    <row r="79" spans="1:37" ht="15">
      <c r="A79" s="2274" t="s">
        <v>2543</v>
      </c>
      <c r="B79" s="2275">
        <f>1+E81</f>
        <v>1</v>
      </c>
      <c r="C79" s="753"/>
      <c r="D79" s="753"/>
      <c r="E79" s="754"/>
      <c r="F79" s="2277"/>
      <c r="G79" s="6"/>
      <c r="H79" s="6"/>
      <c r="I79" s="6"/>
      <c r="J79" s="7"/>
      <c r="K79" s="7"/>
      <c r="L79" s="7"/>
      <c r="M79" s="7"/>
      <c r="N79" s="7"/>
      <c r="Z79" s="2133"/>
      <c r="AA79" s="2199"/>
      <c r="AG79" s="1235"/>
      <c r="AK79" s="2199"/>
    </row>
    <row r="80" spans="1:37" ht="24.75">
      <c r="A80" s="2278" t="s">
        <v>2517</v>
      </c>
      <c r="B80" s="1485"/>
      <c r="C80" s="1485" t="s">
        <v>2519</v>
      </c>
      <c r="D80" s="1485" t="s">
        <v>2520</v>
      </c>
      <c r="E80" s="758" t="s">
        <v>2521</v>
      </c>
      <c r="F80" s="2279" t="s">
        <v>2537</v>
      </c>
      <c r="G80" s="1485" t="s">
        <v>574</v>
      </c>
      <c r="H80" s="2280" t="s">
        <v>2523</v>
      </c>
      <c r="I80" s="1485" t="s">
        <v>2524</v>
      </c>
      <c r="J80" s="560" t="s">
        <v>2175</v>
      </c>
      <c r="K80" s="560" t="s">
        <v>2176</v>
      </c>
      <c r="L80" s="560" t="s">
        <v>2177</v>
      </c>
      <c r="M80" s="560" t="s">
        <v>2178</v>
      </c>
      <c r="N80" s="560" t="s">
        <v>2179</v>
      </c>
      <c r="Z80" s="2133"/>
      <c r="AA80" s="2199"/>
      <c r="AG80" s="1235"/>
      <c r="AK80" s="2199"/>
    </row>
    <row r="81" spans="1:37" ht="38.25">
      <c r="A81" s="2278" t="s">
        <v>2544</v>
      </c>
      <c r="B81" s="2282" t="str">
        <f>估价对象房地状况!G15</f>
        <v>估价对象位于XX开发区，园区建设成熟度XX，产业集聚程度XX</v>
      </c>
      <c r="C81" s="2183"/>
      <c r="D81" s="1177">
        <f t="shared" ref="D81:D88" si="25">SUMIF($J$80:$N$80,C81,J81:N81)</f>
        <v>0</v>
      </c>
      <c r="E81" s="760">
        <f>ROUND(SUM(D81:D88),4)</f>
        <v>0</v>
      </c>
      <c r="F81" s="1949"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3"/>
      <c r="AA81" s="2199"/>
      <c r="AG81" s="1235"/>
      <c r="AK81" s="2199"/>
    </row>
    <row r="82" spans="1:37" ht="51">
      <c r="A82" s="2278" t="s">
        <v>2526</v>
      </c>
      <c r="B82" s="2282" t="str">
        <f>估价对象房地状况!G16</f>
        <v>估价对象周边道路状况、公共交通通达情况、停车便捷程度，综合评价交通便捷度较好</v>
      </c>
      <c r="C82" s="2183"/>
      <c r="D82" s="1177">
        <f t="shared" si="25"/>
        <v>0</v>
      </c>
      <c r="E82" s="765"/>
      <c r="F82" s="1949"/>
      <c r="G82" s="1175"/>
      <c r="H82" s="1179" t="str">
        <f t="shared" si="26"/>
        <v>——</v>
      </c>
      <c r="I82" s="759">
        <v>0.33</v>
      </c>
      <c r="J82" s="1176">
        <f t="shared" si="27"/>
        <v>0</v>
      </c>
      <c r="K82" s="1176">
        <f t="shared" si="28"/>
        <v>0</v>
      </c>
      <c r="L82" s="1176">
        <v>0</v>
      </c>
      <c r="M82" s="1176">
        <f t="shared" si="29"/>
        <v>0</v>
      </c>
      <c r="N82" s="1176">
        <f t="shared" si="29"/>
        <v>0</v>
      </c>
      <c r="Z82" s="2133"/>
      <c r="AA82" s="2199"/>
      <c r="AG82" s="1235"/>
      <c r="AK82" s="2199"/>
    </row>
    <row r="83" spans="1:37" ht="24">
      <c r="A83" s="2278" t="s">
        <v>2527</v>
      </c>
      <c r="B83" s="2282">
        <f>估价对象房地状况!G17</f>
        <v>0</v>
      </c>
      <c r="C83" s="2183"/>
      <c r="D83" s="1177">
        <f t="shared" si="25"/>
        <v>0</v>
      </c>
      <c r="E83" s="765"/>
      <c r="F83" s="1949"/>
      <c r="G83" s="1175"/>
      <c r="H83" s="1179" t="str">
        <f t="shared" si="26"/>
        <v>——</v>
      </c>
      <c r="I83" s="759">
        <v>0.05</v>
      </c>
      <c r="J83" s="1176">
        <f t="shared" si="27"/>
        <v>0</v>
      </c>
      <c r="K83" s="1176">
        <f t="shared" si="28"/>
        <v>0</v>
      </c>
      <c r="L83" s="1176">
        <v>0</v>
      </c>
      <c r="M83" s="1176">
        <f t="shared" si="29"/>
        <v>0</v>
      </c>
      <c r="N83" s="1176">
        <f t="shared" si="29"/>
        <v>0</v>
      </c>
      <c r="Z83" s="2133"/>
      <c r="AA83" s="2199"/>
      <c r="AG83" s="1235"/>
      <c r="AK83" s="2199"/>
    </row>
    <row r="84" spans="1:37" ht="14.25">
      <c r="A84" s="2278" t="s">
        <v>2541</v>
      </c>
      <c r="B84" s="2282">
        <f>估价对象房地状况!G22</f>
        <v>0</v>
      </c>
      <c r="C84" s="2183"/>
      <c r="D84" s="1177">
        <f t="shared" si="25"/>
        <v>0</v>
      </c>
      <c r="E84" s="765"/>
      <c r="F84" s="1949"/>
      <c r="G84" s="1175"/>
      <c r="H84" s="1179" t="str">
        <f t="shared" si="26"/>
        <v>——</v>
      </c>
      <c r="I84" s="759">
        <v>0.04</v>
      </c>
      <c r="J84" s="1176">
        <f t="shared" si="27"/>
        <v>0</v>
      </c>
      <c r="K84" s="1176">
        <f t="shared" si="28"/>
        <v>0</v>
      </c>
      <c r="L84" s="1176">
        <v>0</v>
      </c>
      <c r="M84" s="1176">
        <f t="shared" si="29"/>
        <v>0</v>
      </c>
      <c r="N84" s="1176">
        <f t="shared" si="29"/>
        <v>0</v>
      </c>
      <c r="Z84" s="2133"/>
      <c r="AA84" s="2199"/>
      <c r="AG84" s="1235"/>
      <c r="AK84" s="2199"/>
    </row>
    <row r="85" spans="1:37" ht="25.5">
      <c r="A85" s="2278" t="s">
        <v>2533</v>
      </c>
      <c r="B85" s="1446" t="str">
        <f>估价对象房地状况!G19</f>
        <v>估价对象所在区域公共配套设施齐备情况</v>
      </c>
      <c r="C85" s="2183"/>
      <c r="D85" s="1177">
        <f t="shared" si="25"/>
        <v>0</v>
      </c>
      <c r="E85" s="765"/>
      <c r="F85" s="1949"/>
      <c r="G85" s="1175"/>
      <c r="H85" s="1179" t="str">
        <f t="shared" si="26"/>
        <v>——</v>
      </c>
      <c r="I85" s="759">
        <v>0.06</v>
      </c>
      <c r="J85" s="1176">
        <f t="shared" si="27"/>
        <v>0</v>
      </c>
      <c r="K85" s="1176">
        <f t="shared" si="28"/>
        <v>0</v>
      </c>
      <c r="L85" s="1176">
        <v>0</v>
      </c>
      <c r="M85" s="1176">
        <f t="shared" si="29"/>
        <v>0</v>
      </c>
      <c r="N85" s="1176">
        <f t="shared" si="29"/>
        <v>0</v>
      </c>
      <c r="Z85" s="2133"/>
      <c r="AA85" s="2199"/>
      <c r="AG85" s="1235"/>
      <c r="AK85" s="2199"/>
    </row>
    <row r="86" spans="1:37" ht="25.5">
      <c r="A86" s="2278" t="s">
        <v>2534</v>
      </c>
      <c r="B86" s="1446" t="str">
        <f>估价对象房地状况!G20</f>
        <v>估价对象所在区域基础设施水平</v>
      </c>
      <c r="C86" s="2183"/>
      <c r="D86" s="1177">
        <f t="shared" si="25"/>
        <v>0</v>
      </c>
      <c r="E86" s="765"/>
      <c r="F86" s="1949"/>
      <c r="G86" s="1175"/>
      <c r="H86" s="1179" t="str">
        <f t="shared" si="26"/>
        <v>——</v>
      </c>
      <c r="I86" s="759">
        <v>0.15</v>
      </c>
      <c r="J86" s="1176">
        <f t="shared" si="27"/>
        <v>0</v>
      </c>
      <c r="K86" s="1176">
        <f t="shared" si="28"/>
        <v>0</v>
      </c>
      <c r="L86" s="1176">
        <v>0</v>
      </c>
      <c r="M86" s="1176">
        <f t="shared" si="29"/>
        <v>0</v>
      </c>
      <c r="N86" s="1176">
        <f t="shared" si="29"/>
        <v>0</v>
      </c>
      <c r="Z86" s="2133"/>
      <c r="AA86" s="2199"/>
      <c r="AG86" s="1235"/>
      <c r="AK86" s="2199"/>
    </row>
    <row r="87" spans="1:37" ht="24">
      <c r="A87" s="2278" t="s">
        <v>2531</v>
      </c>
      <c r="B87" s="2284" t="s">
        <v>2545</v>
      </c>
      <c r="C87" s="2183"/>
      <c r="D87" s="1177">
        <f t="shared" si="25"/>
        <v>0</v>
      </c>
      <c r="E87" s="765"/>
      <c r="F87" s="1949"/>
      <c r="G87" s="1175"/>
      <c r="H87" s="1179" t="str">
        <f t="shared" si="26"/>
        <v>——</v>
      </c>
      <c r="I87" s="759">
        <v>0.05</v>
      </c>
      <c r="J87" s="1176">
        <f t="shared" si="27"/>
        <v>0</v>
      </c>
      <c r="K87" s="1176">
        <f t="shared" si="28"/>
        <v>0</v>
      </c>
      <c r="L87" s="1176">
        <v>0</v>
      </c>
      <c r="M87" s="1176">
        <f t="shared" si="29"/>
        <v>0</v>
      </c>
      <c r="N87" s="1176">
        <f t="shared" si="29"/>
        <v>0</v>
      </c>
      <c r="Z87" s="2133"/>
      <c r="AA87" s="2199"/>
      <c r="AG87" s="1235"/>
      <c r="AK87" s="2199"/>
    </row>
    <row r="88" spans="1:37" ht="39" thickBot="1">
      <c r="A88" s="2286" t="s">
        <v>2546</v>
      </c>
      <c r="B88" s="2291" t="str">
        <f>估价对象房地状况!G18</f>
        <v>该园区内是否有污染型企业，绿化情况，卫生条件，整体环境状况判断</v>
      </c>
      <c r="C88" s="2183"/>
      <c r="D88" s="1177">
        <f t="shared" si="25"/>
        <v>0</v>
      </c>
      <c r="E88" s="766"/>
      <c r="F88" s="1949"/>
      <c r="G88" s="1175"/>
      <c r="H88" s="1179" t="str">
        <f t="shared" si="26"/>
        <v>——</v>
      </c>
      <c r="I88" s="763">
        <v>0.06</v>
      </c>
      <c r="J88" s="1176">
        <f t="shared" si="27"/>
        <v>0</v>
      </c>
      <c r="K88" s="1176">
        <f t="shared" si="28"/>
        <v>0</v>
      </c>
      <c r="L88" s="1176">
        <v>0</v>
      </c>
      <c r="M88" s="1176">
        <f t="shared" si="29"/>
        <v>0</v>
      </c>
      <c r="N88" s="1176">
        <f t="shared" si="29"/>
        <v>0</v>
      </c>
      <c r="Z88" s="2133"/>
      <c r="AA88" s="2199"/>
      <c r="AG88" s="1235"/>
      <c r="AK88" s="2199"/>
    </row>
    <row r="90" spans="1:37">
      <c r="A90" s="3599" t="s">
        <v>2547</v>
      </c>
      <c r="B90" s="3599"/>
      <c r="C90" s="3599"/>
      <c r="D90" s="3599"/>
      <c r="E90" s="3599"/>
      <c r="F90" s="3599"/>
      <c r="G90" s="3599"/>
      <c r="H90" s="3599"/>
      <c r="I90" s="3599"/>
      <c r="J90" s="3599"/>
      <c r="K90" s="2292"/>
      <c r="L90" s="2292"/>
      <c r="M90" s="2292"/>
      <c r="N90" s="2292"/>
    </row>
    <row r="91" spans="1:37">
      <c r="A91" s="3601" t="s">
        <v>2548</v>
      </c>
      <c r="B91" s="3601" t="s">
        <v>2549</v>
      </c>
      <c r="C91" s="2246" t="s">
        <v>2550</v>
      </c>
      <c r="D91" s="2247"/>
      <c r="E91" s="2247"/>
      <c r="F91" s="2247"/>
      <c r="G91" s="2247"/>
      <c r="H91" s="2247"/>
      <c r="I91" s="2247"/>
      <c r="J91" s="2293"/>
      <c r="K91" s="2294"/>
      <c r="L91" s="2294"/>
      <c r="M91" s="2294"/>
      <c r="N91" s="2294"/>
    </row>
    <row r="92" spans="1:37">
      <c r="A92" s="3601"/>
      <c r="B92" s="3601"/>
      <c r="C92" s="860" t="s">
        <v>2417</v>
      </c>
      <c r="D92" s="860" t="s">
        <v>2418</v>
      </c>
      <c r="E92" s="860" t="s">
        <v>2419</v>
      </c>
      <c r="F92" s="860" t="s">
        <v>2420</v>
      </c>
      <c r="G92" s="860" t="s">
        <v>2421</v>
      </c>
      <c r="H92" s="860" t="s">
        <v>2422</v>
      </c>
      <c r="I92" s="860" t="s">
        <v>2423</v>
      </c>
      <c r="J92" s="860" t="s">
        <v>2424</v>
      </c>
      <c r="K92" s="860" t="s">
        <v>2425</v>
      </c>
      <c r="L92" s="860" t="s">
        <v>2426</v>
      </c>
      <c r="M92" s="860" t="s">
        <v>2427</v>
      </c>
      <c r="N92" s="860" t="s">
        <v>2428</v>
      </c>
    </row>
    <row r="93" spans="1:37">
      <c r="A93" s="3602" t="s">
        <v>2551</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603"/>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603"/>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603"/>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603"/>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603"/>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603"/>
      <c r="B99" s="2295" t="s">
        <v>2433</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604"/>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602" t="s">
        <v>2552</v>
      </c>
      <c r="B101" s="2299" t="s">
        <v>2553</v>
      </c>
      <c r="C101" s="2300">
        <f>$G$3</f>
        <v>1.47</v>
      </c>
      <c r="D101" s="2300">
        <f t="shared" ref="D101:N101" si="31">$G$3</f>
        <v>1.47</v>
      </c>
      <c r="E101" s="2300">
        <f t="shared" si="31"/>
        <v>1.47</v>
      </c>
      <c r="F101" s="2300">
        <f t="shared" si="31"/>
        <v>1.47</v>
      </c>
      <c r="G101" s="2300">
        <f t="shared" si="31"/>
        <v>1.47</v>
      </c>
      <c r="H101" s="2300">
        <f t="shared" si="31"/>
        <v>1.47</v>
      </c>
      <c r="I101" s="2300">
        <f t="shared" si="31"/>
        <v>1.47</v>
      </c>
      <c r="J101" s="2300">
        <f t="shared" si="31"/>
        <v>1.47</v>
      </c>
      <c r="K101" s="2300">
        <f t="shared" si="31"/>
        <v>1.47</v>
      </c>
      <c r="L101" s="2300">
        <f t="shared" si="31"/>
        <v>1.47</v>
      </c>
      <c r="M101" s="2300">
        <f t="shared" si="31"/>
        <v>1.47</v>
      </c>
      <c r="N101" s="2300">
        <f t="shared" si="31"/>
        <v>1.47</v>
      </c>
    </row>
    <row r="102" spans="1:14">
      <c r="A102" s="3603"/>
      <c r="B102" s="2295">
        <v>1</v>
      </c>
      <c r="C102" s="2296">
        <f>1.9362/C101</f>
        <v>1.3171428571428572</v>
      </c>
      <c r="D102" s="2296">
        <f>1.9362/D101</f>
        <v>1.3171428571428572</v>
      </c>
      <c r="E102" s="2296">
        <f>1.8629/E101</f>
        <v>1.2672789115646259</v>
      </c>
      <c r="F102" s="2296">
        <f>1.8629/F101</f>
        <v>1.2672789115646259</v>
      </c>
      <c r="G102" s="2296">
        <f>1.8629/G101</f>
        <v>1.2672789115646259</v>
      </c>
      <c r="H102" s="2296">
        <f>1.8629/H101</f>
        <v>1.2672789115646259</v>
      </c>
      <c r="I102" s="2296">
        <f>1.8629/I101</f>
        <v>1.2672789115646259</v>
      </c>
      <c r="J102" s="2296">
        <f>1.942/J101</f>
        <v>1.3210884353741497</v>
      </c>
      <c r="K102" s="2296">
        <f>1.942/K101</f>
        <v>1.3210884353741497</v>
      </c>
      <c r="L102" s="2296">
        <f>1.942/L101</f>
        <v>1.3210884353741497</v>
      </c>
      <c r="M102" s="2296">
        <f>1.942/M101</f>
        <v>1.3210884353741497</v>
      </c>
      <c r="N102" s="2296">
        <f>1.942/N101</f>
        <v>1.3210884353741497</v>
      </c>
    </row>
    <row r="103" spans="1:14">
      <c r="A103" s="3603"/>
      <c r="B103" s="2295">
        <v>2</v>
      </c>
      <c r="C103" s="2296">
        <f>1.4198/C101</f>
        <v>0.96585034013605442</v>
      </c>
      <c r="D103" s="2296">
        <f>1.4198/D101</f>
        <v>0.96585034013605442</v>
      </c>
      <c r="E103" s="2296">
        <f>1.3372/E101</f>
        <v>0.90965986394557818</v>
      </c>
      <c r="F103" s="2296">
        <f>1.3372/F101</f>
        <v>0.90965986394557818</v>
      </c>
      <c r="G103" s="2296">
        <f>1.3372/G101</f>
        <v>0.90965986394557818</v>
      </c>
      <c r="H103" s="2296">
        <f>1.3372/H101</f>
        <v>0.90965986394557818</v>
      </c>
      <c r="I103" s="2296">
        <f>1.3372/I101</f>
        <v>0.90965986394557818</v>
      </c>
      <c r="J103" s="2296">
        <f>1.2799/J101</f>
        <v>0.87068027210884358</v>
      </c>
      <c r="K103" s="2296">
        <f>1.2799/K101</f>
        <v>0.87068027210884358</v>
      </c>
      <c r="L103" s="2296">
        <f>1.2799/L101</f>
        <v>0.87068027210884358</v>
      </c>
      <c r="M103" s="2296">
        <f>1.2799/M101</f>
        <v>0.87068027210884358</v>
      </c>
      <c r="N103" s="2296">
        <f>1.2799/N101</f>
        <v>0.87068027210884358</v>
      </c>
    </row>
    <row r="104" spans="1:14">
      <c r="A104" s="3603"/>
      <c r="B104" s="2295">
        <v>3</v>
      </c>
      <c r="C104" s="2296">
        <f>1.1594/C101</f>
        <v>0.78870748299319726</v>
      </c>
      <c r="D104" s="2296">
        <f>1.1594/D101</f>
        <v>0.78870748299319726</v>
      </c>
      <c r="E104" s="2296">
        <f>1.0788/E101</f>
        <v>0.73387755102040819</v>
      </c>
      <c r="F104" s="2296">
        <f>1.0788/F101</f>
        <v>0.73387755102040819</v>
      </c>
      <c r="G104" s="2296">
        <f>1.0788/G101</f>
        <v>0.73387755102040819</v>
      </c>
      <c r="H104" s="2296">
        <f>1.0788/H101</f>
        <v>0.73387755102040819</v>
      </c>
      <c r="I104" s="2296">
        <f>1.0788/I101</f>
        <v>0.73387755102040819</v>
      </c>
      <c r="J104" s="2296">
        <f>1.0072/J101</f>
        <v>0.68517006802721092</v>
      </c>
      <c r="K104" s="2296">
        <f>1.0072/K101</f>
        <v>0.68517006802721092</v>
      </c>
      <c r="L104" s="2296">
        <f>1.0072/L101</f>
        <v>0.68517006802721092</v>
      </c>
      <c r="M104" s="2296">
        <f>1.0072/M101</f>
        <v>0.68517006802721092</v>
      </c>
      <c r="N104" s="2296">
        <f>1.0072/N101</f>
        <v>0.68517006802721092</v>
      </c>
    </row>
    <row r="105" spans="1:14">
      <c r="A105" s="3603"/>
      <c r="B105" s="2295">
        <v>4</v>
      </c>
      <c r="C105" s="2296">
        <f>0.9622/C101</f>
        <v>0.6545578231292517</v>
      </c>
      <c r="D105" s="2296">
        <f>0.9622/D101</f>
        <v>0.6545578231292517</v>
      </c>
      <c r="E105" s="2296">
        <f>0.8656/E101</f>
        <v>0.58884353741496598</v>
      </c>
      <c r="F105" s="2296">
        <f>0.8656/F101</f>
        <v>0.58884353741496598</v>
      </c>
      <c r="G105" s="2296">
        <f>0.8656/G101</f>
        <v>0.58884353741496598</v>
      </c>
      <c r="H105" s="2296">
        <f>0.8656/H101</f>
        <v>0.58884353741496598</v>
      </c>
      <c r="I105" s="2296">
        <f>0.8656/I101</f>
        <v>0.58884353741496598</v>
      </c>
      <c r="J105" s="2296">
        <f>0.7525/J101</f>
        <v>0.51190476190476186</v>
      </c>
      <c r="K105" s="2296">
        <f>0.7525/K101</f>
        <v>0.51190476190476186</v>
      </c>
      <c r="L105" s="2296">
        <f>0.7525/L101</f>
        <v>0.51190476190476186</v>
      </c>
      <c r="M105" s="2296">
        <f>0.7525/M101</f>
        <v>0.51190476190476186</v>
      </c>
      <c r="N105" s="2296">
        <f>0.7525/N101</f>
        <v>0.51190476190476186</v>
      </c>
    </row>
    <row r="106" spans="1:14">
      <c r="A106" s="3603"/>
      <c r="B106" s="2295">
        <v>5</v>
      </c>
      <c r="C106" s="2296">
        <f>0.8417/C101</f>
        <v>0.5725850340136055</v>
      </c>
      <c r="D106" s="2296">
        <f>0.8417/D101</f>
        <v>0.5725850340136055</v>
      </c>
      <c r="E106" s="2296">
        <f>0.7371/E101</f>
        <v>0.50142857142857145</v>
      </c>
      <c r="F106" s="2296">
        <f>0.7371/F101</f>
        <v>0.50142857142857145</v>
      </c>
      <c r="G106" s="2296">
        <f>0.7371/G101</f>
        <v>0.50142857142857145</v>
      </c>
      <c r="H106" s="2296">
        <f>0.7371/H101</f>
        <v>0.50142857142857145</v>
      </c>
      <c r="I106" s="2296">
        <f>0.7371/I101</f>
        <v>0.50142857142857145</v>
      </c>
      <c r="J106" s="2296">
        <f>0.5659/J101</f>
        <v>0.38496598639455781</v>
      </c>
      <c r="K106" s="2296">
        <f>0.5659/K101</f>
        <v>0.38496598639455781</v>
      </c>
      <c r="L106" s="2296">
        <f>0.5659/L101</f>
        <v>0.38496598639455781</v>
      </c>
      <c r="M106" s="2296">
        <f>0.5659/M101</f>
        <v>0.38496598639455781</v>
      </c>
      <c r="N106" s="2296">
        <f>0.5659/N101</f>
        <v>0.38496598639455781</v>
      </c>
    </row>
    <row r="107" spans="1:14">
      <c r="A107" s="3603"/>
      <c r="B107" s="2295">
        <v>6</v>
      </c>
      <c r="C107" s="2296">
        <f>0.7608/C101</f>
        <v>0.51755102040816325</v>
      </c>
      <c r="D107" s="2296">
        <f>0.7608/D101</f>
        <v>0.51755102040816325</v>
      </c>
      <c r="E107" s="2296">
        <f>0.6482/E101</f>
        <v>0.44095238095238098</v>
      </c>
      <c r="F107" s="2296">
        <f>0.6482/F101</f>
        <v>0.44095238095238098</v>
      </c>
      <c r="G107" s="2296">
        <f>0.6482/G101</f>
        <v>0.44095238095238098</v>
      </c>
      <c r="H107" s="2296">
        <f>0.6482/H101</f>
        <v>0.44095238095238098</v>
      </c>
      <c r="I107" s="2296">
        <f>0.6482/I101</f>
        <v>0.44095238095238098</v>
      </c>
      <c r="J107" s="2296">
        <f>0.4525/J101</f>
        <v>0.30782312925170069</v>
      </c>
      <c r="K107" s="2296">
        <f>0.4525/K101</f>
        <v>0.30782312925170069</v>
      </c>
      <c r="L107" s="2296">
        <f>0.4525/L101</f>
        <v>0.30782312925170069</v>
      </c>
      <c r="M107" s="2296">
        <f>0.4525/M101</f>
        <v>0.30782312925170069</v>
      </c>
      <c r="N107" s="2296">
        <f>0.4525/N101</f>
        <v>0.30782312925170069</v>
      </c>
    </row>
    <row r="108" spans="1:14">
      <c r="A108" s="3603"/>
      <c r="B108" s="3605" t="s">
        <v>2554</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604"/>
      <c r="B109" s="3606"/>
      <c r="C109" s="2298">
        <f>(-0.163*(C108^2)-0.59*C108+7617)*(10^(-4))/C101</f>
        <v>0.51816326530612244</v>
      </c>
      <c r="D109" s="2298">
        <f>(-0.163*(D108^2)-0.59*D108+7617)*(10^(-4))/D101</f>
        <v>0.51816326530612244</v>
      </c>
      <c r="E109" s="2298">
        <f>(-0.161*(E108^2)-7.509*E108+6533)*(10^(-4))/E101</f>
        <v>0.44442176870748301</v>
      </c>
      <c r="F109" s="2298">
        <f>(-0.161*(F108^2)-7.509*F108+6533)*(10^(-4))/F101</f>
        <v>0.44442176870748301</v>
      </c>
      <c r="G109" s="2298">
        <f>(-0.161*(G108^2)-7.509*G108+6533)*(10^(-4))/G101</f>
        <v>0.44442176870748301</v>
      </c>
      <c r="H109" s="2298">
        <f>(-0.161*(H108^2)-7.509*H108+6533)*(10^(-4))/H101</f>
        <v>0.44442176870748301</v>
      </c>
      <c r="I109" s="2298">
        <f>(-0.161*(I108^2)-7.509*I108+6533)*(10^(-4))/I101</f>
        <v>0.44442176870748301</v>
      </c>
      <c r="J109" s="2298">
        <f>(-0.214*(J108^2)-21.991*J108+4665)*(10^(-4))/J101</f>
        <v>0.31734693877551023</v>
      </c>
      <c r="K109" s="2298">
        <f>(-0.214*(K108^2)-21.991*K108+4665)*(10^(-4))/K101</f>
        <v>0.31734693877551023</v>
      </c>
      <c r="L109" s="2298">
        <f>(-0.214*(L108^2)-21.991*L108+4665)*(10^(-4))/L101</f>
        <v>0.31734693877551023</v>
      </c>
      <c r="M109" s="2298">
        <f>(-0.214*(M108^2)-21.991*M108+4665)*(10^(-4))/M101</f>
        <v>0.31734693877551023</v>
      </c>
      <c r="N109" s="2298">
        <f>(-0.214*(N108^2)-21.991*N108+4665)*(10^(-4))/N101</f>
        <v>0.31734693877551023</v>
      </c>
    </row>
    <row r="110" spans="1:14">
      <c r="A110" s="3600" t="s">
        <v>2555</v>
      </c>
      <c r="B110" s="3600"/>
      <c r="C110" s="3600"/>
      <c r="D110" s="3600"/>
      <c r="E110" s="3600"/>
      <c r="F110" s="3600"/>
      <c r="G110" s="3600"/>
      <c r="H110" s="3600"/>
      <c r="I110" s="3600"/>
      <c r="J110" s="3600"/>
      <c r="K110" s="2301"/>
      <c r="L110" s="2301"/>
      <c r="M110" s="2301"/>
      <c r="N110" s="2301"/>
    </row>
    <row r="112" spans="1:14" ht="13.5" thickBot="1"/>
    <row r="113" spans="1:13" ht="25.5" thickBot="1">
      <c r="A113" s="824" t="s">
        <v>2556</v>
      </c>
      <c r="B113" s="1178">
        <f>G3</f>
        <v>1.47</v>
      </c>
      <c r="C113" s="825" t="s">
        <v>2557</v>
      </c>
      <c r="D113" s="826">
        <f>SUMPRODUCT((A115:A118=F113)*(B114:M114=H113)*B115:M118)</f>
        <v>0</v>
      </c>
      <c r="E113" s="2137" t="s">
        <v>2390</v>
      </c>
      <c r="F113" s="2303">
        <f>E2</f>
        <v>0</v>
      </c>
      <c r="G113" s="2137" t="s">
        <v>2391</v>
      </c>
      <c r="H113" s="2303" t="str">
        <f>G2</f>
        <v>十级</v>
      </c>
      <c r="I113" s="2137"/>
      <c r="J113" s="2304"/>
      <c r="K113" s="2304"/>
      <c r="L113" s="2304"/>
      <c r="M113" s="2304"/>
    </row>
    <row r="114" spans="1:13">
      <c r="A114" s="829"/>
      <c r="B114" s="2305" t="s">
        <v>2558</v>
      </c>
      <c r="C114" s="2305" t="s">
        <v>2559</v>
      </c>
      <c r="D114" s="2305" t="s">
        <v>2560</v>
      </c>
      <c r="E114" s="2306" t="s">
        <v>2561</v>
      </c>
      <c r="F114" s="2306" t="s">
        <v>2562</v>
      </c>
      <c r="G114" s="2306" t="s">
        <v>2563</v>
      </c>
      <c r="H114" s="2307" t="s">
        <v>2564</v>
      </c>
      <c r="I114" s="2307" t="s">
        <v>2565</v>
      </c>
      <c r="J114" s="2308" t="s">
        <v>2566</v>
      </c>
      <c r="K114" s="2308" t="s">
        <v>2567</v>
      </c>
      <c r="L114" s="2308" t="s">
        <v>2568</v>
      </c>
      <c r="M114" s="2309" t="s">
        <v>2569</v>
      </c>
    </row>
    <row r="115" spans="1:13">
      <c r="A115" s="830" t="s">
        <v>2455</v>
      </c>
      <c r="B115" s="831">
        <f>ROUND(0.9335-0.0094*B113,4)</f>
        <v>0.91969999999999996</v>
      </c>
      <c r="C115" s="831">
        <f>B115</f>
        <v>0.91969999999999996</v>
      </c>
      <c r="D115" s="831">
        <f>ROUND(0.8331-0.0109*B113,4)</f>
        <v>0.81710000000000005</v>
      </c>
      <c r="E115" s="831">
        <f>D115</f>
        <v>0.81710000000000005</v>
      </c>
      <c r="F115" s="831">
        <f>E115</f>
        <v>0.81710000000000005</v>
      </c>
      <c r="G115" s="831">
        <f>F115</f>
        <v>0.81710000000000005</v>
      </c>
      <c r="H115" s="831">
        <f>G115</f>
        <v>0.81710000000000005</v>
      </c>
      <c r="I115" s="831">
        <f>ROUND(0.689-0.0155*B113,4)</f>
        <v>0.66620000000000001</v>
      </c>
      <c r="J115" s="831">
        <f t="shared" ref="J115:M118" si="33">I115</f>
        <v>0.66620000000000001</v>
      </c>
      <c r="K115" s="831">
        <f t="shared" si="33"/>
        <v>0.66620000000000001</v>
      </c>
      <c r="L115" s="831">
        <f t="shared" si="33"/>
        <v>0.66620000000000001</v>
      </c>
      <c r="M115" s="832">
        <f t="shared" si="33"/>
        <v>0.66620000000000001</v>
      </c>
    </row>
    <row r="116" spans="1:13">
      <c r="A116" s="830" t="s">
        <v>2456</v>
      </c>
      <c r="B116" s="831">
        <f>ROUND(0.949-0.012*B113,4)</f>
        <v>0.93140000000000001</v>
      </c>
      <c r="C116" s="831">
        <f>B116</f>
        <v>0.93140000000000001</v>
      </c>
      <c r="D116" s="831">
        <f>ROUND(0.8567-0.013*B113,4)</f>
        <v>0.83760000000000001</v>
      </c>
      <c r="E116" s="831">
        <f t="shared" ref="E116:H117" si="34">D116</f>
        <v>0.83760000000000001</v>
      </c>
      <c r="F116" s="831">
        <f t="shared" si="34"/>
        <v>0.83760000000000001</v>
      </c>
      <c r="G116" s="831">
        <f t="shared" si="34"/>
        <v>0.83760000000000001</v>
      </c>
      <c r="H116" s="831">
        <f t="shared" si="34"/>
        <v>0.83760000000000001</v>
      </c>
      <c r="I116" s="831">
        <f>ROUND(0.7694-0.014*B113,4)</f>
        <v>0.74880000000000002</v>
      </c>
      <c r="J116" s="831">
        <f t="shared" si="33"/>
        <v>0.74880000000000002</v>
      </c>
      <c r="K116" s="831">
        <f t="shared" si="33"/>
        <v>0.74880000000000002</v>
      </c>
      <c r="L116" s="831">
        <f t="shared" si="33"/>
        <v>0.74880000000000002</v>
      </c>
      <c r="M116" s="832">
        <f t="shared" si="33"/>
        <v>0.74880000000000002</v>
      </c>
    </row>
    <row r="117" spans="1:13">
      <c r="A117" s="830" t="s">
        <v>2457</v>
      </c>
      <c r="B117" s="831">
        <f>ROUND(0.8808-0.006*B113,4)</f>
        <v>0.872</v>
      </c>
      <c r="C117" s="831">
        <f>B117</f>
        <v>0.872</v>
      </c>
      <c r="D117" s="831">
        <f>ROUND(0.8748-0.008*B113,4)</f>
        <v>0.86299999999999999</v>
      </c>
      <c r="E117" s="831">
        <f t="shared" si="34"/>
        <v>0.86299999999999999</v>
      </c>
      <c r="F117" s="831">
        <f t="shared" si="34"/>
        <v>0.86299999999999999</v>
      </c>
      <c r="G117" s="831">
        <f t="shared" si="34"/>
        <v>0.86299999999999999</v>
      </c>
      <c r="H117" s="831">
        <f t="shared" si="34"/>
        <v>0.86299999999999999</v>
      </c>
      <c r="I117" s="831">
        <f>ROUND(0.7412-0.0095*B113,4)</f>
        <v>0.72719999999999996</v>
      </c>
      <c r="J117" s="831">
        <f t="shared" si="33"/>
        <v>0.72719999999999996</v>
      </c>
      <c r="K117" s="831">
        <f t="shared" si="33"/>
        <v>0.72719999999999996</v>
      </c>
      <c r="L117" s="831">
        <f t="shared" si="33"/>
        <v>0.72719999999999996</v>
      </c>
      <c r="M117" s="832">
        <f t="shared" si="33"/>
        <v>0.72719999999999996</v>
      </c>
    </row>
    <row r="118" spans="1:13" ht="13.5" thickBot="1">
      <c r="A118" s="670" t="s">
        <v>2458</v>
      </c>
      <c r="B118" s="833">
        <f>ROUND(0.7275-0.01*B113,4)</f>
        <v>0.71279999999999999</v>
      </c>
      <c r="C118" s="833">
        <f>B118</f>
        <v>0.71279999999999999</v>
      </c>
      <c r="D118" s="833">
        <f>ROUND(0.7043-0.012*B113,4)</f>
        <v>0.68669999999999998</v>
      </c>
      <c r="E118" s="833">
        <f>D118</f>
        <v>0.68669999999999998</v>
      </c>
      <c r="F118" s="833">
        <f>E118</f>
        <v>0.68669999999999998</v>
      </c>
      <c r="G118" s="833">
        <f>ROUND(0.6299-0.0122*B113,4)</f>
        <v>0.61199999999999999</v>
      </c>
      <c r="H118" s="833">
        <f>G118</f>
        <v>0.61199999999999999</v>
      </c>
      <c r="I118" s="833">
        <f>ROUND(0.5667-0.0136*B113,4)</f>
        <v>0.54669999999999996</v>
      </c>
      <c r="J118" s="833">
        <f t="shared" si="33"/>
        <v>0.54669999999999996</v>
      </c>
      <c r="K118" s="833">
        <f t="shared" si="33"/>
        <v>0.54669999999999996</v>
      </c>
      <c r="L118" s="833">
        <f t="shared" si="33"/>
        <v>0.54669999999999996</v>
      </c>
      <c r="M118" s="834">
        <f t="shared" si="33"/>
        <v>0.54669999999999996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2942</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2943</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2944</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2945</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2946</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2947</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2621</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2948</v>
      </c>
      <c r="B19" s="3208" t="s">
        <v>2949</v>
      </c>
      <c r="C19" s="3209" t="s">
        <v>2950</v>
      </c>
      <c r="D19" s="3210"/>
      <c r="E19" s="3204" t="s">
        <v>2951</v>
      </c>
      <c r="F19" s="803"/>
      <c r="G19" s="803"/>
    </row>
    <row r="20" spans="1:13" s="808" customFormat="1" ht="19.5" customHeight="1">
      <c r="A20" s="3622" t="s">
        <v>2952</v>
      </c>
      <c r="B20" s="3617" t="s">
        <v>2953</v>
      </c>
      <c r="C20" s="3211" t="s">
        <v>2954</v>
      </c>
      <c r="D20" s="3212"/>
      <c r="E20" s="3213">
        <v>1</v>
      </c>
      <c r="F20" s="3214" t="s">
        <v>2955</v>
      </c>
      <c r="G20" s="807"/>
      <c r="H20" s="801"/>
      <c r="I20" s="801"/>
    </row>
    <row r="21" spans="1:13" s="808" customFormat="1" ht="19.5" customHeight="1">
      <c r="A21" s="3623"/>
      <c r="B21" s="3616"/>
      <c r="C21" s="805" t="s">
        <v>2956</v>
      </c>
      <c r="D21" s="806"/>
      <c r="E21" s="3215">
        <v>1</v>
      </c>
      <c r="F21" s="3214" t="s">
        <v>2957</v>
      </c>
      <c r="G21" s="807"/>
      <c r="H21" s="801"/>
      <c r="I21" s="801"/>
    </row>
    <row r="22" spans="1:13" s="808" customFormat="1" ht="19.5" customHeight="1">
      <c r="A22" s="3623"/>
      <c r="B22" s="3616"/>
      <c r="C22" s="805" t="s">
        <v>2958</v>
      </c>
      <c r="D22" s="806"/>
      <c r="E22" s="3215">
        <v>0.9</v>
      </c>
      <c r="F22" s="3214" t="s">
        <v>2959</v>
      </c>
      <c r="G22" s="807"/>
      <c r="H22" s="801"/>
      <c r="I22" s="801"/>
    </row>
    <row r="23" spans="1:13" s="808" customFormat="1" ht="19.5" customHeight="1">
      <c r="A23" s="3623"/>
      <c r="B23" s="3616"/>
      <c r="C23" s="805" t="s">
        <v>2960</v>
      </c>
      <c r="D23" s="806"/>
      <c r="E23" s="3215">
        <v>0.9</v>
      </c>
      <c r="F23" s="3214" t="s">
        <v>2961</v>
      </c>
      <c r="G23" s="807"/>
      <c r="H23" s="801"/>
      <c r="I23" s="801"/>
    </row>
    <row r="24" spans="1:13" s="808" customFormat="1" ht="19.5" customHeight="1">
      <c r="A24" s="3623"/>
      <c r="B24" s="3616"/>
      <c r="C24" s="805" t="s">
        <v>2962</v>
      </c>
      <c r="D24" s="806"/>
      <c r="E24" s="3215">
        <v>0.8</v>
      </c>
      <c r="F24" s="3214" t="s">
        <v>2963</v>
      </c>
      <c r="G24" s="807"/>
      <c r="H24" s="801"/>
      <c r="I24" s="801"/>
    </row>
    <row r="25" spans="1:13" s="808" customFormat="1" ht="19.5" customHeight="1" thickBot="1">
      <c r="A25" s="3624"/>
      <c r="B25" s="3618"/>
      <c r="C25" s="3216" t="s">
        <v>2964</v>
      </c>
      <c r="D25" s="3217"/>
      <c r="E25" s="3218">
        <v>0.8</v>
      </c>
      <c r="F25" s="3214" t="s">
        <v>2965</v>
      </c>
      <c r="G25" s="807"/>
      <c r="H25" s="801"/>
      <c r="I25" s="801"/>
    </row>
    <row r="26" spans="1:13" s="808" customFormat="1" ht="19.5" customHeight="1" thickBot="1">
      <c r="A26" s="3219" t="s">
        <v>2966</v>
      </c>
      <c r="B26" s="3220" t="s">
        <v>2953</v>
      </c>
      <c r="C26" s="3221" t="s">
        <v>2967</v>
      </c>
      <c r="D26" s="3222"/>
      <c r="E26" s="3223">
        <v>1</v>
      </c>
      <c r="F26" s="3214" t="s">
        <v>2968</v>
      </c>
      <c r="G26" s="807"/>
      <c r="H26" s="801"/>
      <c r="I26" s="801"/>
    </row>
    <row r="27" spans="1:13" s="808" customFormat="1" ht="19.5" customHeight="1">
      <c r="A27" s="3619" t="s">
        <v>2969</v>
      </c>
      <c r="B27" s="3617" t="s">
        <v>2969</v>
      </c>
      <c r="C27" s="3211" t="s">
        <v>2970</v>
      </c>
      <c r="D27" s="3212"/>
      <c r="E27" s="3213">
        <v>1</v>
      </c>
      <c r="F27" s="3214" t="s">
        <v>2971</v>
      </c>
      <c r="G27" s="807"/>
      <c r="H27" s="801"/>
      <c r="I27" s="801"/>
    </row>
    <row r="28" spans="1:13" s="808" customFormat="1" ht="19.5" customHeight="1">
      <c r="A28" s="3620"/>
      <c r="B28" s="3616"/>
      <c r="C28" s="805" t="s">
        <v>2972</v>
      </c>
      <c r="D28" s="806"/>
      <c r="E28" s="3215">
        <v>1</v>
      </c>
      <c r="F28" s="3214" t="s">
        <v>2973</v>
      </c>
      <c r="G28" s="807"/>
      <c r="H28" s="801"/>
      <c r="I28" s="801"/>
    </row>
    <row r="29" spans="1:13" s="808" customFormat="1" ht="19.5" customHeight="1">
      <c r="A29" s="3620"/>
      <c r="B29" s="3616"/>
      <c r="C29" s="805" t="s">
        <v>2974</v>
      </c>
      <c r="D29" s="806"/>
      <c r="E29" s="3215">
        <v>0.8</v>
      </c>
      <c r="F29" s="3214" t="s">
        <v>2975</v>
      </c>
      <c r="G29" s="807"/>
      <c r="H29" s="801"/>
      <c r="I29" s="801"/>
    </row>
    <row r="30" spans="1:13" s="808" customFormat="1" ht="19.5" customHeight="1">
      <c r="A30" s="3620"/>
      <c r="B30" s="3616"/>
      <c r="C30" s="805" t="s">
        <v>2976</v>
      </c>
      <c r="D30" s="806"/>
      <c r="E30" s="3215">
        <v>0.8</v>
      </c>
      <c r="F30" s="3214" t="s">
        <v>2977</v>
      </c>
      <c r="G30" s="807"/>
      <c r="H30" s="801"/>
      <c r="I30" s="801"/>
    </row>
    <row r="31" spans="1:13" s="808" customFormat="1" ht="19.5" customHeight="1">
      <c r="A31" s="3620"/>
      <c r="B31" s="3616"/>
      <c r="C31" s="805" t="s">
        <v>2978</v>
      </c>
      <c r="D31" s="806"/>
      <c r="E31" s="3215">
        <v>0.8</v>
      </c>
      <c r="F31" s="3214" t="s">
        <v>2979</v>
      </c>
      <c r="G31" s="807"/>
      <c r="H31" s="801"/>
      <c r="I31" s="801"/>
    </row>
    <row r="32" spans="1:13" s="808" customFormat="1" ht="19.5" customHeight="1">
      <c r="A32" s="3620"/>
      <c r="B32" s="3616"/>
      <c r="C32" s="805" t="s">
        <v>2980</v>
      </c>
      <c r="D32" s="806"/>
      <c r="E32" s="3215">
        <v>0.7</v>
      </c>
      <c r="F32" s="3214" t="s">
        <v>2981</v>
      </c>
      <c r="G32" s="807"/>
      <c r="H32" s="801"/>
      <c r="I32" s="801"/>
    </row>
    <row r="33" spans="1:9" s="808" customFormat="1" ht="19.5" customHeight="1">
      <c r="A33" s="3620"/>
      <c r="B33" s="3616"/>
      <c r="C33" s="805" t="s">
        <v>2982</v>
      </c>
      <c r="D33" s="806"/>
      <c r="E33" s="3215">
        <v>0.8</v>
      </c>
      <c r="F33" s="3214" t="s">
        <v>2983</v>
      </c>
      <c r="G33" s="807"/>
      <c r="H33" s="801"/>
      <c r="I33" s="801"/>
    </row>
    <row r="34" spans="1:9" s="808" customFormat="1" ht="19.5" customHeight="1">
      <c r="A34" s="3620"/>
      <c r="B34" s="3616"/>
      <c r="C34" s="805" t="s">
        <v>2984</v>
      </c>
      <c r="D34" s="806"/>
      <c r="E34" s="3215">
        <v>0.6</v>
      </c>
      <c r="F34" s="3214" t="s">
        <v>2985</v>
      </c>
      <c r="G34" s="807"/>
      <c r="H34" s="801"/>
      <c r="I34" s="801"/>
    </row>
    <row r="35" spans="1:9" s="808" customFormat="1" ht="19.5" customHeight="1">
      <c r="A35" s="3620"/>
      <c r="B35" s="3616"/>
      <c r="C35" s="805" t="s">
        <v>2986</v>
      </c>
      <c r="D35" s="806"/>
      <c r="E35" s="3215">
        <v>0.2</v>
      </c>
      <c r="F35" s="3214" t="s">
        <v>2987</v>
      </c>
      <c r="G35" s="807"/>
      <c r="H35" s="801"/>
      <c r="I35" s="801"/>
    </row>
    <row r="36" spans="1:9" s="808" customFormat="1" ht="19.5" customHeight="1">
      <c r="A36" s="3620"/>
      <c r="B36" s="3616"/>
      <c r="C36" s="805" t="s">
        <v>2988</v>
      </c>
      <c r="D36" s="806"/>
      <c r="E36" s="3215">
        <v>0.2</v>
      </c>
      <c r="F36" s="3214" t="s">
        <v>2989</v>
      </c>
      <c r="G36" s="807"/>
      <c r="H36" s="801"/>
      <c r="I36" s="801"/>
    </row>
    <row r="37" spans="1:9" s="808" customFormat="1" ht="19.5" customHeight="1">
      <c r="A37" s="3620"/>
      <c r="B37" s="3614" t="s">
        <v>2990</v>
      </c>
      <c r="C37" s="805" t="s">
        <v>2991</v>
      </c>
      <c r="D37" s="806"/>
      <c r="E37" s="3215">
        <v>0.6</v>
      </c>
      <c r="F37" s="3214" t="s">
        <v>2992</v>
      </c>
      <c r="G37" s="807"/>
      <c r="H37" s="801"/>
      <c r="I37" s="801"/>
    </row>
    <row r="38" spans="1:9" s="808" customFormat="1" ht="19.5" customHeight="1">
      <c r="A38" s="3620"/>
      <c r="B38" s="3616"/>
      <c r="C38" s="805" t="s">
        <v>2993</v>
      </c>
      <c r="D38" s="806"/>
      <c r="E38" s="3215">
        <v>0.6</v>
      </c>
      <c r="F38" s="3214" t="s">
        <v>2994</v>
      </c>
      <c r="G38" s="807"/>
      <c r="H38" s="801"/>
      <c r="I38" s="801"/>
    </row>
    <row r="39" spans="1:9" s="808" customFormat="1" ht="19.5" customHeight="1" thickBot="1">
      <c r="A39" s="3621"/>
      <c r="B39" s="3618"/>
      <c r="C39" s="3216" t="s">
        <v>2995</v>
      </c>
      <c r="D39" s="3217"/>
      <c r="E39" s="3218">
        <v>0.6</v>
      </c>
      <c r="F39" s="3214" t="s">
        <v>2996</v>
      </c>
      <c r="G39" s="807"/>
      <c r="H39" s="801"/>
      <c r="I39" s="801"/>
    </row>
    <row r="40" spans="1:9" s="808" customFormat="1" ht="19.5" customHeight="1" thickBot="1">
      <c r="A40" s="3219" t="s">
        <v>2997</v>
      </c>
      <c r="B40" s="3220" t="s">
        <v>2997</v>
      </c>
      <c r="C40" s="3221" t="s">
        <v>2998</v>
      </c>
      <c r="D40" s="3222"/>
      <c r="E40" s="3223">
        <v>1</v>
      </c>
      <c r="F40" s="3214" t="s">
        <v>2999</v>
      </c>
      <c r="G40" s="807"/>
      <c r="H40" s="801"/>
      <c r="I40" s="801"/>
    </row>
    <row r="41" spans="1:9" s="808" customFormat="1" ht="19.5" customHeight="1">
      <c r="A41" s="3622" t="s">
        <v>3000</v>
      </c>
      <c r="B41" s="3617" t="s">
        <v>3001</v>
      </c>
      <c r="C41" s="3211" t="s">
        <v>3002</v>
      </c>
      <c r="D41" s="3212"/>
      <c r="E41" s="3213">
        <v>1</v>
      </c>
      <c r="F41" s="3214" t="s">
        <v>3003</v>
      </c>
      <c r="G41" s="807"/>
      <c r="H41" s="801"/>
      <c r="I41" s="801"/>
    </row>
    <row r="42" spans="1:9" s="808" customFormat="1" ht="19.5" customHeight="1">
      <c r="A42" s="3623"/>
      <c r="B42" s="3616"/>
      <c r="C42" s="805" t="s">
        <v>3004</v>
      </c>
      <c r="D42" s="806"/>
      <c r="E42" s="3215">
        <v>1</v>
      </c>
      <c r="F42" s="3214" t="s">
        <v>3005</v>
      </c>
      <c r="G42" s="807"/>
      <c r="H42" s="801"/>
      <c r="I42" s="801"/>
    </row>
    <row r="43" spans="1:9" s="808" customFormat="1" ht="19.5" customHeight="1">
      <c r="A43" s="3623"/>
      <c r="B43" s="3615"/>
      <c r="C43" s="805" t="s">
        <v>3006</v>
      </c>
      <c r="D43" s="806"/>
      <c r="E43" s="3215">
        <v>1.5</v>
      </c>
      <c r="F43" s="3214" t="s">
        <v>3007</v>
      </c>
      <c r="G43" s="807"/>
      <c r="H43" s="801"/>
      <c r="I43" s="801"/>
    </row>
    <row r="44" spans="1:9" s="808" customFormat="1" ht="19.5" customHeight="1">
      <c r="A44" s="3623"/>
      <c r="B44" s="3224" t="s">
        <v>2969</v>
      </c>
      <c r="C44" s="805" t="s">
        <v>3008</v>
      </c>
      <c r="D44" s="806"/>
      <c r="E44" s="3215">
        <v>2</v>
      </c>
      <c r="F44" s="3214" t="s">
        <v>3009</v>
      </c>
      <c r="G44" s="807"/>
      <c r="H44" s="801"/>
      <c r="I44" s="801"/>
    </row>
    <row r="45" spans="1:9" s="808" customFormat="1" ht="19.5" customHeight="1">
      <c r="A45" s="3623"/>
      <c r="B45" s="3614" t="s">
        <v>3010</v>
      </c>
      <c r="C45" s="805" t="s">
        <v>3011</v>
      </c>
      <c r="D45" s="806"/>
      <c r="E45" s="3215">
        <v>1</v>
      </c>
      <c r="F45" s="3214" t="s">
        <v>3012</v>
      </c>
      <c r="G45" s="807"/>
      <c r="H45" s="801"/>
      <c r="I45" s="801"/>
    </row>
    <row r="46" spans="1:9" s="808" customFormat="1" ht="19.5" customHeight="1">
      <c r="A46" s="3623"/>
      <c r="B46" s="3616"/>
      <c r="C46" s="805" t="s">
        <v>3013</v>
      </c>
      <c r="D46" s="806"/>
      <c r="E46" s="3215">
        <v>1</v>
      </c>
      <c r="F46" s="3214" t="s">
        <v>3014</v>
      </c>
      <c r="G46" s="807"/>
      <c r="H46" s="801"/>
      <c r="I46" s="801"/>
    </row>
    <row r="47" spans="1:9" s="808" customFormat="1" ht="19.5" customHeight="1">
      <c r="A47" s="3623"/>
      <c r="B47" s="3616"/>
      <c r="C47" s="805" t="s">
        <v>3015</v>
      </c>
      <c r="D47" s="806"/>
      <c r="E47" s="3215">
        <v>1</v>
      </c>
      <c r="F47" s="3214" t="s">
        <v>3016</v>
      </c>
      <c r="G47" s="807"/>
      <c r="H47" s="801"/>
      <c r="I47" s="801"/>
    </row>
    <row r="48" spans="1:9" s="808" customFormat="1" ht="19.5" customHeight="1">
      <c r="A48" s="3623"/>
      <c r="B48" s="3616"/>
      <c r="C48" s="805" t="s">
        <v>3017</v>
      </c>
      <c r="D48" s="806"/>
      <c r="E48" s="3215">
        <v>1</v>
      </c>
      <c r="F48" s="3214" t="s">
        <v>3018</v>
      </c>
      <c r="G48" s="807"/>
      <c r="H48" s="801"/>
      <c r="I48" s="801"/>
    </row>
    <row r="49" spans="1:9" s="808" customFormat="1" ht="19.5" customHeight="1">
      <c r="A49" s="3623"/>
      <c r="B49" s="3616"/>
      <c r="C49" s="805" t="s">
        <v>3019</v>
      </c>
      <c r="D49" s="806"/>
      <c r="E49" s="3215">
        <v>1</v>
      </c>
      <c r="F49" s="3214" t="s">
        <v>3020</v>
      </c>
      <c r="G49" s="807"/>
      <c r="H49" s="801"/>
      <c r="I49" s="801"/>
    </row>
    <row r="50" spans="1:9" s="808" customFormat="1" ht="19.5" customHeight="1">
      <c r="A50" s="3623"/>
      <c r="B50" s="3616"/>
      <c r="C50" s="805" t="s">
        <v>3021</v>
      </c>
      <c r="D50" s="806"/>
      <c r="E50" s="3215">
        <v>1</v>
      </c>
      <c r="F50" s="3214" t="s">
        <v>3022</v>
      </c>
      <c r="G50" s="807"/>
      <c r="H50" s="801"/>
      <c r="I50" s="801"/>
    </row>
    <row r="51" spans="1:9" s="808" customFormat="1" ht="19.5" customHeight="1" thickBot="1">
      <c r="A51" s="3624"/>
      <c r="B51" s="3618"/>
      <c r="C51" s="3216" t="s">
        <v>3023</v>
      </c>
      <c r="D51" s="3217"/>
      <c r="E51" s="3218">
        <v>1</v>
      </c>
      <c r="F51" s="3214" t="s">
        <v>3024</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3025</v>
      </c>
      <c r="D72" s="859"/>
      <c r="E72" s="816" t="s">
        <v>1</v>
      </c>
      <c r="F72" s="859" t="s">
        <v>1</v>
      </c>
    </row>
    <row r="73" spans="1:7" s="801" customFormat="1" ht="13.5">
      <c r="A73" s="3224">
        <v>1</v>
      </c>
      <c r="B73" s="3614" t="s">
        <v>3026</v>
      </c>
      <c r="C73" s="3204" t="s">
        <v>3027</v>
      </c>
      <c r="D73" s="3204" t="s">
        <v>3028</v>
      </c>
      <c r="E73" s="3225">
        <v>0.2</v>
      </c>
      <c r="F73" s="3224">
        <v>25</v>
      </c>
    </row>
    <row r="74" spans="1:7" s="801" customFormat="1" ht="24">
      <c r="A74" s="3224">
        <v>2</v>
      </c>
      <c r="B74" s="3616"/>
      <c r="C74" s="3204" t="s">
        <v>3029</v>
      </c>
      <c r="D74" s="3204" t="s">
        <v>3030</v>
      </c>
      <c r="E74" s="3225">
        <v>0.2</v>
      </c>
      <c r="F74" s="3224">
        <v>25</v>
      </c>
    </row>
    <row r="75" spans="1:7" s="801" customFormat="1" ht="24">
      <c r="A75" s="3224">
        <v>3</v>
      </c>
      <c r="B75" s="3616"/>
      <c r="C75" s="3204" t="s">
        <v>3031</v>
      </c>
      <c r="D75" s="3204" t="s">
        <v>3032</v>
      </c>
      <c r="E75" s="3225">
        <v>0.2</v>
      </c>
      <c r="F75" s="3224">
        <v>25</v>
      </c>
    </row>
    <row r="76" spans="1:7" s="801" customFormat="1" ht="13.5">
      <c r="A76" s="3224">
        <v>4</v>
      </c>
      <c r="B76" s="3616"/>
      <c r="C76" s="3204" t="s">
        <v>3033</v>
      </c>
      <c r="D76" s="3204" t="s">
        <v>3034</v>
      </c>
      <c r="E76" s="3225">
        <v>0.15</v>
      </c>
      <c r="F76" s="3224">
        <v>20</v>
      </c>
    </row>
    <row r="77" spans="1:7" s="801" customFormat="1" ht="24">
      <c r="A77" s="3224">
        <v>5</v>
      </c>
      <c r="B77" s="3616"/>
      <c r="C77" s="3204" t="s">
        <v>3035</v>
      </c>
      <c r="D77" s="3204" t="s">
        <v>3036</v>
      </c>
      <c r="E77" s="3225">
        <v>0.15</v>
      </c>
      <c r="F77" s="3224">
        <v>20</v>
      </c>
    </row>
    <row r="78" spans="1:7" s="801" customFormat="1" ht="24">
      <c r="A78" s="3224">
        <v>6</v>
      </c>
      <c r="B78" s="3616"/>
      <c r="C78" s="3204" t="s">
        <v>3037</v>
      </c>
      <c r="D78" s="3204" t="s">
        <v>3038</v>
      </c>
      <c r="E78" s="3225">
        <v>0.15</v>
      </c>
      <c r="F78" s="3224">
        <v>20</v>
      </c>
    </row>
    <row r="79" spans="1:7" s="801" customFormat="1" ht="24">
      <c r="A79" s="3224">
        <v>7</v>
      </c>
      <c r="B79" s="3616"/>
      <c r="C79" s="3204" t="s">
        <v>3039</v>
      </c>
      <c r="D79" s="3204" t="s">
        <v>3040</v>
      </c>
      <c r="E79" s="3225">
        <v>0.15</v>
      </c>
      <c r="F79" s="3224">
        <v>20</v>
      </c>
    </row>
    <row r="80" spans="1:7" s="801" customFormat="1" ht="24">
      <c r="A80" s="3224">
        <v>8</v>
      </c>
      <c r="B80" s="3616"/>
      <c r="C80" s="3204" t="s">
        <v>3041</v>
      </c>
      <c r="D80" s="3204" t="s">
        <v>3042</v>
      </c>
      <c r="E80" s="3225">
        <v>0.1</v>
      </c>
      <c r="F80" s="3224">
        <v>15</v>
      </c>
    </row>
    <row r="81" spans="1:6" s="801" customFormat="1" ht="24">
      <c r="A81" s="3224">
        <v>9</v>
      </c>
      <c r="B81" s="3616"/>
      <c r="C81" s="3204" t="s">
        <v>3043</v>
      </c>
      <c r="D81" s="3204" t="s">
        <v>3044</v>
      </c>
      <c r="E81" s="3225">
        <v>0.1</v>
      </c>
      <c r="F81" s="3224">
        <v>15</v>
      </c>
    </row>
    <row r="82" spans="1:6" s="801" customFormat="1" ht="24">
      <c r="A82" s="3224">
        <v>10</v>
      </c>
      <c r="B82" s="3616"/>
      <c r="C82" s="3204" t="s">
        <v>3045</v>
      </c>
      <c r="D82" s="3204" t="s">
        <v>3046</v>
      </c>
      <c r="E82" s="3225">
        <v>0.1</v>
      </c>
      <c r="F82" s="3224">
        <v>15</v>
      </c>
    </row>
    <row r="83" spans="1:6" s="801" customFormat="1" ht="24">
      <c r="A83" s="3224">
        <v>11</v>
      </c>
      <c r="B83" s="3616"/>
      <c r="C83" s="3204" t="s">
        <v>3047</v>
      </c>
      <c r="D83" s="3204" t="s">
        <v>3048</v>
      </c>
      <c r="E83" s="3225">
        <v>0.1</v>
      </c>
      <c r="F83" s="3224">
        <v>15</v>
      </c>
    </row>
    <row r="84" spans="1:6" s="801" customFormat="1" ht="24">
      <c r="A84" s="3224">
        <v>12</v>
      </c>
      <c r="B84" s="3616"/>
      <c r="C84" s="3204" t="s">
        <v>3049</v>
      </c>
      <c r="D84" s="3204" t="s">
        <v>3050</v>
      </c>
      <c r="E84" s="3225">
        <v>0.1</v>
      </c>
      <c r="F84" s="3224">
        <v>15</v>
      </c>
    </row>
    <row r="85" spans="1:6" s="801" customFormat="1" ht="13.5">
      <c r="A85" s="3224">
        <v>13</v>
      </c>
      <c r="B85" s="3616"/>
      <c r="C85" s="3204" t="s">
        <v>3051</v>
      </c>
      <c r="D85" s="3204" t="s">
        <v>3052</v>
      </c>
      <c r="E85" s="3225">
        <v>0.1</v>
      </c>
      <c r="F85" s="3224">
        <v>15</v>
      </c>
    </row>
    <row r="86" spans="1:6" s="801" customFormat="1" ht="13.5">
      <c r="A86" s="3224">
        <v>14</v>
      </c>
      <c r="B86" s="3616"/>
      <c r="C86" s="3204" t="s">
        <v>3053</v>
      </c>
      <c r="D86" s="3204" t="s">
        <v>3054</v>
      </c>
      <c r="E86" s="3225">
        <v>0.1</v>
      </c>
      <c r="F86" s="3224">
        <v>15</v>
      </c>
    </row>
    <row r="87" spans="1:6" s="801" customFormat="1" ht="13.5">
      <c r="A87" s="3224">
        <v>15</v>
      </c>
      <c r="B87" s="3616"/>
      <c r="C87" s="3204" t="s">
        <v>3055</v>
      </c>
      <c r="D87" s="3204" t="s">
        <v>3056</v>
      </c>
      <c r="E87" s="3225">
        <v>0.1</v>
      </c>
      <c r="F87" s="3224">
        <v>15</v>
      </c>
    </row>
    <row r="88" spans="1:6" s="801" customFormat="1" ht="24">
      <c r="A88" s="3224">
        <v>16</v>
      </c>
      <c r="B88" s="3616"/>
      <c r="C88" s="3204" t="s">
        <v>3057</v>
      </c>
      <c r="D88" s="3204" t="s">
        <v>3058</v>
      </c>
      <c r="E88" s="3225">
        <v>0.1</v>
      </c>
      <c r="F88" s="3224">
        <v>15</v>
      </c>
    </row>
    <row r="89" spans="1:6" s="801" customFormat="1" ht="24">
      <c r="A89" s="3224">
        <v>17</v>
      </c>
      <c r="B89" s="3615"/>
      <c r="C89" s="3204" t="s">
        <v>3059</v>
      </c>
      <c r="D89" s="3204" t="s">
        <v>3060</v>
      </c>
      <c r="E89" s="3225">
        <v>0.1</v>
      </c>
      <c r="F89" s="3224">
        <v>15</v>
      </c>
    </row>
    <row r="90" spans="1:6" s="801" customFormat="1" ht="13.5">
      <c r="A90" s="3224">
        <v>18</v>
      </c>
      <c r="B90" s="3614" t="s">
        <v>3061</v>
      </c>
      <c r="C90" s="3204" t="s">
        <v>3062</v>
      </c>
      <c r="D90" s="3204" t="s">
        <v>3063</v>
      </c>
      <c r="E90" s="3225">
        <v>0.2</v>
      </c>
      <c r="F90" s="3224">
        <v>25</v>
      </c>
    </row>
    <row r="91" spans="1:6" s="801" customFormat="1" ht="24">
      <c r="A91" s="3224">
        <v>19</v>
      </c>
      <c r="B91" s="3616"/>
      <c r="C91" s="3204" t="s">
        <v>3064</v>
      </c>
      <c r="D91" s="3204" t="s">
        <v>3065</v>
      </c>
      <c r="E91" s="3225">
        <v>0.2</v>
      </c>
      <c r="F91" s="3224">
        <v>25</v>
      </c>
    </row>
    <row r="92" spans="1:6" s="801" customFormat="1" ht="13.5">
      <c r="A92" s="3224">
        <v>20</v>
      </c>
      <c r="B92" s="3616"/>
      <c r="C92" s="3204" t="s">
        <v>3066</v>
      </c>
      <c r="D92" s="3204" t="s">
        <v>3067</v>
      </c>
      <c r="E92" s="3225">
        <v>0.15</v>
      </c>
      <c r="F92" s="3224">
        <v>20</v>
      </c>
    </row>
    <row r="93" spans="1:6" s="801" customFormat="1" ht="24">
      <c r="A93" s="3224">
        <v>21</v>
      </c>
      <c r="B93" s="3616"/>
      <c r="C93" s="3204" t="s">
        <v>3068</v>
      </c>
      <c r="D93" s="3204" t="s">
        <v>3069</v>
      </c>
      <c r="E93" s="3225">
        <v>0.15</v>
      </c>
      <c r="F93" s="3224">
        <v>20</v>
      </c>
    </row>
    <row r="94" spans="1:6" s="801" customFormat="1" ht="24">
      <c r="A94" s="3224">
        <v>22</v>
      </c>
      <c r="B94" s="3616"/>
      <c r="C94" s="3204" t="s">
        <v>3070</v>
      </c>
      <c r="D94" s="3204" t="s">
        <v>3071</v>
      </c>
      <c r="E94" s="3225">
        <v>0.15</v>
      </c>
      <c r="F94" s="3224">
        <v>20</v>
      </c>
    </row>
    <row r="95" spans="1:6" s="801" customFormat="1" ht="36">
      <c r="A95" s="3224">
        <v>23</v>
      </c>
      <c r="B95" s="3616"/>
      <c r="C95" s="3204" t="s">
        <v>3072</v>
      </c>
      <c r="D95" s="3204" t="s">
        <v>3073</v>
      </c>
      <c r="E95" s="3225">
        <v>0.15</v>
      </c>
      <c r="F95" s="3224">
        <v>20</v>
      </c>
    </row>
    <row r="96" spans="1:6" s="801" customFormat="1" ht="13.5">
      <c r="A96" s="3224">
        <v>24</v>
      </c>
      <c r="B96" s="3616"/>
      <c r="C96" s="3204" t="s">
        <v>3074</v>
      </c>
      <c r="D96" s="3204" t="s">
        <v>3075</v>
      </c>
      <c r="E96" s="3225">
        <v>0.1</v>
      </c>
      <c r="F96" s="3224">
        <v>15</v>
      </c>
    </row>
    <row r="97" spans="1:6" s="801" customFormat="1" ht="24">
      <c r="A97" s="3224">
        <v>25</v>
      </c>
      <c r="B97" s="3616"/>
      <c r="C97" s="3204" t="s">
        <v>3076</v>
      </c>
      <c r="D97" s="3204" t="s">
        <v>3077</v>
      </c>
      <c r="E97" s="3225">
        <v>0.1</v>
      </c>
      <c r="F97" s="3224">
        <v>15</v>
      </c>
    </row>
    <row r="98" spans="1:6" s="801" customFormat="1" ht="24">
      <c r="A98" s="3224">
        <v>26</v>
      </c>
      <c r="B98" s="3616"/>
      <c r="C98" s="3204" t="s">
        <v>3078</v>
      </c>
      <c r="D98" s="3204" t="s">
        <v>3079</v>
      </c>
      <c r="E98" s="3225">
        <v>0.1</v>
      </c>
      <c r="F98" s="3224">
        <v>15</v>
      </c>
    </row>
    <row r="99" spans="1:6" s="801" customFormat="1" ht="24">
      <c r="A99" s="3224">
        <v>27</v>
      </c>
      <c r="B99" s="3616"/>
      <c r="C99" s="3204" t="s">
        <v>3080</v>
      </c>
      <c r="D99" s="3204" t="s">
        <v>3081</v>
      </c>
      <c r="E99" s="3225">
        <v>0.1</v>
      </c>
      <c r="F99" s="3224">
        <v>15</v>
      </c>
    </row>
    <row r="100" spans="1:6" s="801" customFormat="1" ht="24">
      <c r="A100" s="3224">
        <v>28</v>
      </c>
      <c r="B100" s="3616"/>
      <c r="C100" s="3204" t="s">
        <v>3082</v>
      </c>
      <c r="D100" s="3204" t="s">
        <v>3083</v>
      </c>
      <c r="E100" s="3225">
        <v>0.1</v>
      </c>
      <c r="F100" s="3224">
        <v>15</v>
      </c>
    </row>
    <row r="101" spans="1:6" s="801" customFormat="1" ht="24">
      <c r="A101" s="3224">
        <v>29</v>
      </c>
      <c r="B101" s="3616"/>
      <c r="C101" s="3204" t="s">
        <v>3084</v>
      </c>
      <c r="D101" s="3204" t="s">
        <v>3085</v>
      </c>
      <c r="E101" s="3225">
        <v>0.1</v>
      </c>
      <c r="F101" s="3224">
        <v>15</v>
      </c>
    </row>
    <row r="102" spans="1:6" s="801" customFormat="1" ht="24">
      <c r="A102" s="3224">
        <v>30</v>
      </c>
      <c r="B102" s="3616"/>
      <c r="C102" s="3204" t="s">
        <v>3086</v>
      </c>
      <c r="D102" s="3204" t="s">
        <v>3087</v>
      </c>
      <c r="E102" s="3225">
        <v>0.1</v>
      </c>
      <c r="F102" s="3224">
        <v>15</v>
      </c>
    </row>
    <row r="103" spans="1:6" s="801" customFormat="1" ht="24">
      <c r="A103" s="3224">
        <v>31</v>
      </c>
      <c r="B103" s="3616"/>
      <c r="C103" s="3204" t="s">
        <v>3088</v>
      </c>
      <c r="D103" s="3204" t="s">
        <v>3089</v>
      </c>
      <c r="E103" s="3225">
        <v>0.1</v>
      </c>
      <c r="F103" s="3224">
        <v>15</v>
      </c>
    </row>
    <row r="104" spans="1:6" s="801" customFormat="1" ht="24">
      <c r="A104" s="3224">
        <v>32</v>
      </c>
      <c r="B104" s="3616"/>
      <c r="C104" s="3204" t="s">
        <v>3090</v>
      </c>
      <c r="D104" s="3204" t="s">
        <v>3091</v>
      </c>
      <c r="E104" s="3225">
        <v>0.1</v>
      </c>
      <c r="F104" s="3224">
        <v>15</v>
      </c>
    </row>
    <row r="105" spans="1:6" s="801" customFormat="1" ht="24">
      <c r="A105" s="3224">
        <v>33</v>
      </c>
      <c r="B105" s="3616"/>
      <c r="C105" s="3204" t="s">
        <v>3092</v>
      </c>
      <c r="D105" s="3204" t="s">
        <v>3093</v>
      </c>
      <c r="E105" s="3225">
        <v>0.1</v>
      </c>
      <c r="F105" s="3224">
        <v>15</v>
      </c>
    </row>
    <row r="106" spans="1:6" s="801" customFormat="1" ht="24">
      <c r="A106" s="3224">
        <v>34</v>
      </c>
      <c r="B106" s="3615"/>
      <c r="C106" s="3204" t="s">
        <v>3094</v>
      </c>
      <c r="D106" s="3204" t="s">
        <v>3095</v>
      </c>
      <c r="E106" s="3225">
        <v>0.1</v>
      </c>
      <c r="F106" s="3224">
        <v>15</v>
      </c>
    </row>
    <row r="107" spans="1:6" s="801" customFormat="1" ht="24">
      <c r="A107" s="3224">
        <v>35</v>
      </c>
      <c r="B107" s="3614" t="s">
        <v>3096</v>
      </c>
      <c r="C107" s="3224" t="s">
        <v>3097</v>
      </c>
      <c r="D107" s="3204" t="s">
        <v>3098</v>
      </c>
      <c r="E107" s="3225">
        <v>0.15</v>
      </c>
      <c r="F107" s="3224">
        <v>20</v>
      </c>
    </row>
    <row r="108" spans="1:6" s="801" customFormat="1" ht="24">
      <c r="A108" s="3224">
        <v>36</v>
      </c>
      <c r="B108" s="3616"/>
      <c r="C108" s="3224" t="s">
        <v>3099</v>
      </c>
      <c r="D108" s="3204" t="s">
        <v>3100</v>
      </c>
      <c r="E108" s="3225">
        <v>0.15</v>
      </c>
      <c r="F108" s="3224">
        <v>20</v>
      </c>
    </row>
    <row r="109" spans="1:6" s="801" customFormat="1" ht="24">
      <c r="A109" s="3224">
        <v>37</v>
      </c>
      <c r="B109" s="3616"/>
      <c r="C109" s="3224" t="s">
        <v>3101</v>
      </c>
      <c r="D109" s="3204" t="s">
        <v>3102</v>
      </c>
      <c r="E109" s="3225">
        <v>0.15</v>
      </c>
      <c r="F109" s="3224">
        <v>20</v>
      </c>
    </row>
    <row r="110" spans="1:6" s="801" customFormat="1" ht="13.5">
      <c r="A110" s="3224">
        <v>38</v>
      </c>
      <c r="B110" s="3616"/>
      <c r="C110" s="3224" t="s">
        <v>3103</v>
      </c>
      <c r="D110" s="3204" t="s">
        <v>3104</v>
      </c>
      <c r="E110" s="3225">
        <v>0.1</v>
      </c>
      <c r="F110" s="3224">
        <v>15</v>
      </c>
    </row>
    <row r="111" spans="1:6" s="801" customFormat="1" ht="24">
      <c r="A111" s="3224">
        <v>39</v>
      </c>
      <c r="B111" s="3616"/>
      <c r="C111" s="3224" t="s">
        <v>3105</v>
      </c>
      <c r="D111" s="3204" t="s">
        <v>3106</v>
      </c>
      <c r="E111" s="3225">
        <v>0.1</v>
      </c>
      <c r="F111" s="3224">
        <v>15</v>
      </c>
    </row>
    <row r="112" spans="1:6" s="801" customFormat="1" ht="24">
      <c r="A112" s="3224">
        <v>40</v>
      </c>
      <c r="B112" s="3615"/>
      <c r="C112" s="3224" t="s">
        <v>3107</v>
      </c>
      <c r="D112" s="3204" t="s">
        <v>3108</v>
      </c>
      <c r="E112" s="3225">
        <v>0.1</v>
      </c>
      <c r="F112" s="3224">
        <v>15</v>
      </c>
    </row>
    <row r="113" spans="1:6" s="801" customFormat="1" ht="24">
      <c r="A113" s="3224">
        <v>41</v>
      </c>
      <c r="B113" s="3613" t="s">
        <v>3109</v>
      </c>
      <c r="C113" s="3224" t="s">
        <v>3110</v>
      </c>
      <c r="D113" s="3204" t="s">
        <v>3111</v>
      </c>
      <c r="E113" s="3225">
        <v>0.1</v>
      </c>
      <c r="F113" s="3224">
        <v>15</v>
      </c>
    </row>
    <row r="114" spans="1:6" s="801" customFormat="1" ht="13.5">
      <c r="A114" s="3224">
        <v>42</v>
      </c>
      <c r="B114" s="3613"/>
      <c r="C114" s="3224" t="s">
        <v>3112</v>
      </c>
      <c r="D114" s="3204" t="s">
        <v>3113</v>
      </c>
      <c r="E114" s="3225">
        <v>0.1</v>
      </c>
      <c r="F114" s="3224">
        <v>15</v>
      </c>
    </row>
    <row r="115" spans="1:6" s="801" customFormat="1" ht="24">
      <c r="A115" s="3224">
        <v>43</v>
      </c>
      <c r="B115" s="3613"/>
      <c r="C115" s="3224" t="s">
        <v>3114</v>
      </c>
      <c r="D115" s="3204" t="s">
        <v>3115</v>
      </c>
      <c r="E115" s="3225">
        <v>0.1</v>
      </c>
      <c r="F115" s="3224">
        <v>15</v>
      </c>
    </row>
    <row r="116" spans="1:6" s="801" customFormat="1" ht="24">
      <c r="A116" s="3224">
        <v>44</v>
      </c>
      <c r="B116" s="3614" t="s">
        <v>3116</v>
      </c>
      <c r="C116" s="3224" t="s">
        <v>3117</v>
      </c>
      <c r="D116" s="3204" t="s">
        <v>3118</v>
      </c>
      <c r="E116" s="3225">
        <v>0.1</v>
      </c>
      <c r="F116" s="3224">
        <v>15</v>
      </c>
    </row>
    <row r="117" spans="1:6" s="801" customFormat="1" ht="24">
      <c r="A117" s="3224">
        <v>45</v>
      </c>
      <c r="B117" s="3615"/>
      <c r="C117" s="3204" t="s">
        <v>3119</v>
      </c>
      <c r="D117" s="3204" t="s">
        <v>3120</v>
      </c>
      <c r="E117" s="3225">
        <v>0.1</v>
      </c>
      <c r="F117" s="3224">
        <v>15</v>
      </c>
    </row>
    <row r="118" spans="1:6" s="801" customFormat="1" ht="24">
      <c r="A118" s="3224">
        <v>46</v>
      </c>
      <c r="B118" s="3614" t="s">
        <v>3121</v>
      </c>
      <c r="C118" s="3224" t="s">
        <v>3122</v>
      </c>
      <c r="D118" s="3204" t="s">
        <v>3123</v>
      </c>
      <c r="E118" s="3225">
        <v>0.1</v>
      </c>
      <c r="F118" s="3224">
        <v>15</v>
      </c>
    </row>
    <row r="119" spans="1:6" s="801" customFormat="1" ht="24">
      <c r="A119" s="3224">
        <v>47</v>
      </c>
      <c r="B119" s="3615"/>
      <c r="C119" s="3224" t="s">
        <v>3124</v>
      </c>
      <c r="D119" s="3204" t="s">
        <v>3125</v>
      </c>
      <c r="E119" s="3225">
        <v>0.1</v>
      </c>
      <c r="F119" s="3224">
        <v>15</v>
      </c>
    </row>
    <row r="120" spans="1:6" s="801" customFormat="1" ht="24">
      <c r="A120" s="3224">
        <v>48</v>
      </c>
      <c r="B120" s="3614" t="s">
        <v>3126</v>
      </c>
      <c r="C120" s="3224" t="s">
        <v>3127</v>
      </c>
      <c r="D120" s="3204" t="s">
        <v>3128</v>
      </c>
      <c r="E120" s="3225">
        <v>0.1</v>
      </c>
      <c r="F120" s="3224">
        <v>15</v>
      </c>
    </row>
    <row r="121" spans="1:6" s="801" customFormat="1" ht="13.5">
      <c r="A121" s="3224">
        <v>49</v>
      </c>
      <c r="B121" s="3615"/>
      <c r="C121" s="3224" t="s">
        <v>3129</v>
      </c>
      <c r="D121" s="3204" t="s">
        <v>3130</v>
      </c>
      <c r="E121" s="3225">
        <v>0.1</v>
      </c>
      <c r="F121" s="3224">
        <v>15</v>
      </c>
    </row>
    <row r="122" spans="1:6" s="801" customFormat="1" ht="24">
      <c r="A122" s="3224">
        <v>50</v>
      </c>
      <c r="B122" s="3613" t="s">
        <v>3131</v>
      </c>
      <c r="C122" s="3224" t="s">
        <v>3132</v>
      </c>
      <c r="D122" s="3204" t="s">
        <v>3133</v>
      </c>
      <c r="E122" s="3225">
        <v>0.1</v>
      </c>
      <c r="F122" s="3224">
        <v>15</v>
      </c>
    </row>
    <row r="123" spans="1:6" s="801" customFormat="1" ht="24">
      <c r="A123" s="3224">
        <v>51</v>
      </c>
      <c r="B123" s="3613"/>
      <c r="C123" s="3224" t="s">
        <v>3134</v>
      </c>
      <c r="D123" s="3204" t="s">
        <v>3135</v>
      </c>
      <c r="E123" s="3225">
        <v>0.1</v>
      </c>
      <c r="F123" s="3224">
        <v>15</v>
      </c>
    </row>
    <row r="124" spans="1:6" s="801" customFormat="1" ht="24">
      <c r="A124" s="3224">
        <v>52</v>
      </c>
      <c r="B124" s="3613" t="s">
        <v>3136</v>
      </c>
      <c r="C124" s="3224" t="s">
        <v>3137</v>
      </c>
      <c r="D124" s="3204" t="s">
        <v>3138</v>
      </c>
      <c r="E124" s="3225">
        <v>0.1</v>
      </c>
      <c r="F124" s="3224">
        <v>15</v>
      </c>
    </row>
    <row r="125" spans="1:6" s="801" customFormat="1" ht="24">
      <c r="A125" s="3224">
        <v>53</v>
      </c>
      <c r="B125" s="3613"/>
      <c r="C125" s="3224" t="s">
        <v>3139</v>
      </c>
      <c r="D125" s="3204" t="s">
        <v>3140</v>
      </c>
      <c r="E125" s="3225">
        <v>0.1</v>
      </c>
      <c r="F125" s="3224">
        <v>15</v>
      </c>
    </row>
    <row r="126" spans="1:6" ht="24">
      <c r="A126" s="3224">
        <v>54</v>
      </c>
      <c r="B126" s="3224" t="s">
        <v>3141</v>
      </c>
      <c r="C126" s="3224" t="s">
        <v>3142</v>
      </c>
      <c r="D126" s="3204" t="s">
        <v>3143</v>
      </c>
      <c r="E126" s="3225">
        <v>0.1</v>
      </c>
      <c r="F126" s="3224">
        <v>15</v>
      </c>
    </row>
    <row r="127" spans="1:6" ht="13.5">
      <c r="A127" s="3224">
        <v>55</v>
      </c>
      <c r="B127" s="3613" t="s">
        <v>3144</v>
      </c>
      <c r="C127" s="3224" t="s">
        <v>3145</v>
      </c>
      <c r="D127" s="3204" t="s">
        <v>3146</v>
      </c>
      <c r="E127" s="3225">
        <v>0.1</v>
      </c>
      <c r="F127" s="3224">
        <v>15</v>
      </c>
    </row>
    <row r="128" spans="1:6" ht="13.5">
      <c r="A128" s="3224">
        <v>56</v>
      </c>
      <c r="B128" s="3613"/>
      <c r="C128" s="3224" t="s">
        <v>3147</v>
      </c>
      <c r="D128" s="3204" t="s">
        <v>3148</v>
      </c>
      <c r="E128" s="3225">
        <v>0.1</v>
      </c>
      <c r="F128" s="3224">
        <v>15</v>
      </c>
    </row>
    <row r="129" spans="1:6" ht="24">
      <c r="A129" s="3224">
        <v>57</v>
      </c>
      <c r="B129" s="3613"/>
      <c r="C129" s="3224" t="s">
        <v>3149</v>
      </c>
      <c r="D129" s="3204" t="s">
        <v>3150</v>
      </c>
      <c r="E129" s="3225">
        <v>0.1</v>
      </c>
      <c r="F129" s="3224">
        <v>15</v>
      </c>
    </row>
    <row r="130" spans="1:6" ht="24">
      <c r="A130" s="3224">
        <v>58</v>
      </c>
      <c r="B130" s="3613" t="s">
        <v>3151</v>
      </c>
      <c r="C130" s="3224" t="s">
        <v>3152</v>
      </c>
      <c r="D130" s="3204" t="s">
        <v>3153</v>
      </c>
      <c r="E130" s="3225">
        <v>0.1</v>
      </c>
      <c r="F130" s="3224">
        <v>15</v>
      </c>
    </row>
    <row r="131" spans="1:6" ht="24">
      <c r="A131" s="3224">
        <v>59</v>
      </c>
      <c r="B131" s="3613"/>
      <c r="C131" s="3224" t="s">
        <v>3154</v>
      </c>
      <c r="D131" s="3204" t="s">
        <v>3155</v>
      </c>
      <c r="E131" s="3225">
        <v>0.1</v>
      </c>
      <c r="F131" s="3224">
        <v>15</v>
      </c>
    </row>
    <row r="132" spans="1:6" ht="24">
      <c r="A132" s="3224">
        <v>60</v>
      </c>
      <c r="B132" s="3614" t="s">
        <v>3156</v>
      </c>
      <c r="C132" s="3224" t="s">
        <v>3157</v>
      </c>
      <c r="D132" s="3204" t="s">
        <v>3158</v>
      </c>
      <c r="E132" s="3225">
        <v>0.1</v>
      </c>
      <c r="F132" s="3224">
        <v>15</v>
      </c>
    </row>
    <row r="133" spans="1:6" ht="24">
      <c r="A133" s="3224">
        <v>61</v>
      </c>
      <c r="B133" s="3615"/>
      <c r="C133" s="3224" t="s">
        <v>3159</v>
      </c>
      <c r="D133" s="3204" t="s">
        <v>3160</v>
      </c>
      <c r="E133" s="3225">
        <v>0.1</v>
      </c>
      <c r="F133" s="3224">
        <v>15</v>
      </c>
    </row>
    <row r="134" spans="1:6" ht="24">
      <c r="A134" s="3224">
        <v>62</v>
      </c>
      <c r="B134" s="3224" t="s">
        <v>3161</v>
      </c>
      <c r="C134" s="3224" t="s">
        <v>3162</v>
      </c>
      <c r="D134" s="3204" t="s">
        <v>3163</v>
      </c>
      <c r="E134" s="3225">
        <v>0.1</v>
      </c>
      <c r="F134" s="3224">
        <v>15</v>
      </c>
    </row>
    <row r="135" spans="1:6" ht="24">
      <c r="A135" s="3224">
        <v>63</v>
      </c>
      <c r="B135" s="3613" t="s">
        <v>3164</v>
      </c>
      <c r="C135" s="3224" t="s">
        <v>3165</v>
      </c>
      <c r="D135" s="3204" t="s">
        <v>3166</v>
      </c>
      <c r="E135" s="3225">
        <v>0.1</v>
      </c>
      <c r="F135" s="3224">
        <v>15</v>
      </c>
    </row>
    <row r="136" spans="1:6" ht="13.5">
      <c r="A136" s="3224">
        <v>64</v>
      </c>
      <c r="B136" s="3613"/>
      <c r="C136" s="3224" t="s">
        <v>3167</v>
      </c>
      <c r="D136" s="3204" t="s">
        <v>3168</v>
      </c>
      <c r="E136" s="3225">
        <v>0.1</v>
      </c>
      <c r="F136" s="3224">
        <v>15</v>
      </c>
    </row>
    <row r="137" spans="1:6" ht="24">
      <c r="A137" s="3224">
        <v>65</v>
      </c>
      <c r="B137" s="3224" t="s">
        <v>3169</v>
      </c>
      <c r="C137" s="3224" t="s">
        <v>3170</v>
      </c>
      <c r="D137" s="3204" t="s">
        <v>3171</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1.1200000000000001</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6"/>
      <c r="C2" s="3296"/>
      <c r="D2" s="3296"/>
      <c r="E2" s="3296"/>
    </row>
    <row r="3" spans="1:5" ht="18">
      <c r="A3" s="3297" t="str">
        <f>IF(项目基本情况!B9="房地产市场价值","估价结果一览表（市场价值不需“结果表-1”）","估价结果一览表")</f>
        <v>估价结果一览表</v>
      </c>
      <c r="B3" s="3297"/>
      <c r="C3" s="3297"/>
      <c r="D3" s="3297"/>
      <c r="E3" s="3297"/>
    </row>
    <row r="4" spans="1:5" ht="19.5" thickBot="1">
      <c r="A4" s="1628"/>
      <c r="B4" s="3295" t="s">
        <v>1354</v>
      </c>
      <c r="C4" s="3295"/>
      <c r="D4" s="3295"/>
      <c r="E4" s="1628"/>
    </row>
    <row r="5" spans="1:5" ht="16.5" thickTop="1">
      <c r="A5" s="1626"/>
      <c r="B5" s="3293" t="s">
        <v>1346</v>
      </c>
      <c r="C5" s="1629" t="s">
        <v>1347</v>
      </c>
      <c r="D5" s="940">
        <f ca="1">结果表!H101</f>
        <v>167234</v>
      </c>
      <c r="E5" s="1626"/>
    </row>
    <row r="6" spans="1:5" ht="15.75">
      <c r="A6" s="1626"/>
      <c r="B6" s="3293"/>
      <c r="C6" s="1629" t="s">
        <v>1348</v>
      </c>
      <c r="D6" s="940" t="str">
        <f ca="1">NUMBERSTRING(INT(D5*10000),2)&amp;"元整"</f>
        <v>壹拾陆亿柒仟贰佰叁拾肆万元整</v>
      </c>
      <c r="E6" s="1626"/>
    </row>
    <row r="7" spans="1:5" ht="15.75">
      <c r="A7" s="1626"/>
      <c r="B7" s="3298"/>
      <c r="C7" s="1630" t="s">
        <v>1349</v>
      </c>
      <c r="D7" s="941">
        <f ca="1">结果表!H102</f>
        <v>6895</v>
      </c>
      <c r="E7" s="1626"/>
    </row>
    <row r="8" spans="1:5" ht="15.75">
      <c r="A8" s="1626"/>
      <c r="B8" s="3299" t="str">
        <f>结果表!E103</f>
        <v>2.估价师知悉的法定优先受偿款</v>
      </c>
      <c r="C8" s="1631" t="s">
        <v>1350</v>
      </c>
      <c r="D8" s="941">
        <f>结果表!H103</f>
        <v>0</v>
      </c>
      <c r="E8" s="1626"/>
    </row>
    <row r="9" spans="1:5" ht="15.75">
      <c r="A9" s="1626"/>
      <c r="B9" s="3301"/>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292" t="str">
        <f>结果表!E107</f>
        <v>3.房地产抵押价值</v>
      </c>
      <c r="C13" s="1634" t="s">
        <v>1347</v>
      </c>
      <c r="D13" s="943">
        <f ca="1">结果表!H107</f>
        <v>167234</v>
      </c>
      <c r="E13" s="1626"/>
    </row>
    <row r="14" spans="1:5" ht="15.75">
      <c r="A14" s="1626"/>
      <c r="B14" s="3293"/>
      <c r="C14" s="1629" t="s">
        <v>1348</v>
      </c>
      <c r="D14" s="940" t="str">
        <f ca="1">NUMBERSTRING(INT(D13*10000),2)&amp;"元整"</f>
        <v>壹拾陆亿柒仟贰佰叁拾肆万元整</v>
      </c>
      <c r="E14" s="1626"/>
    </row>
    <row r="15" spans="1:5" ht="15">
      <c r="A15" s="1626"/>
      <c r="B15" s="3298"/>
      <c r="C15" s="1630" t="s">
        <v>1358</v>
      </c>
      <c r="D15" s="949">
        <f ca="1">结果表!H108</f>
        <v>6895</v>
      </c>
      <c r="E15" s="1626"/>
    </row>
    <row r="16" spans="1:5" ht="15">
      <c r="A16" s="1626"/>
      <c r="B16" s="3299" t="str">
        <f>结果表!E109</f>
        <v>——</v>
      </c>
      <c r="C16" s="1634" t="s">
        <v>1359</v>
      </c>
      <c r="D16" s="1635" t="str">
        <f>结果表!H109</f>
        <v>——</v>
      </c>
      <c r="E16" s="1626"/>
    </row>
    <row r="17" spans="1:5" ht="15.75">
      <c r="A17" s="1626"/>
      <c r="B17" s="3300"/>
      <c r="C17" s="1629" t="s">
        <v>1360</v>
      </c>
      <c r="D17" s="940" t="e">
        <f>NUMBERSTRING(INT(D16*10000),2)&amp;"元整"</f>
        <v>#VALUE!</v>
      </c>
      <c r="E17" s="1626"/>
    </row>
    <row r="18" spans="1:5" ht="15">
      <c r="A18" s="1626"/>
      <c r="B18" s="3301"/>
      <c r="C18" s="1630" t="s">
        <v>1349</v>
      </c>
      <c r="D18" s="949" t="str">
        <f>结果表!H110</f>
        <v>——</v>
      </c>
      <c r="E18" s="1626"/>
    </row>
    <row r="19" spans="1:5" ht="15.75">
      <c r="A19" s="1626"/>
      <c r="B19" s="3292" t="str">
        <f>结果表!E111</f>
        <v>——</v>
      </c>
      <c r="C19" s="1634" t="s">
        <v>1347</v>
      </c>
      <c r="D19" s="941" t="str">
        <f>结果表!H111</f>
        <v>——</v>
      </c>
      <c r="E19" s="1626"/>
    </row>
    <row r="20" spans="1:5" ht="15.75">
      <c r="A20" s="1626"/>
      <c r="B20" s="3293"/>
      <c r="C20" s="1629" t="s">
        <v>1360</v>
      </c>
      <c r="D20" s="940" t="e">
        <f>NUMBERSTRING(INT(D19*10000),2)&amp;"元整"</f>
        <v>#VALUE!</v>
      </c>
      <c r="E20" s="1626"/>
    </row>
    <row r="21" spans="1:5" ht="15.75" thickBot="1">
      <c r="A21" s="1626"/>
      <c r="B21" s="3294"/>
      <c r="C21" s="1636" t="s">
        <v>1358</v>
      </c>
      <c r="D21" s="950"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2" t="s">
        <v>2578</v>
      </c>
      <c r="B1" s="2312"/>
      <c r="C1" s="2312"/>
      <c r="D1" s="2312"/>
      <c r="E1" s="2312"/>
      <c r="F1" s="2972"/>
      <c r="G1" s="2972"/>
      <c r="H1" s="2972"/>
      <c r="I1" s="2972"/>
      <c r="J1" s="2972"/>
      <c r="K1" s="2972"/>
      <c r="L1" s="2972"/>
      <c r="M1" s="2972"/>
      <c r="N1" s="2972"/>
      <c r="O1" s="2972"/>
      <c r="P1" s="2972"/>
    </row>
    <row r="2" spans="1:16" ht="15.75">
      <c r="A2" s="2310" t="s">
        <v>2570</v>
      </c>
      <c r="B2" s="2776" t="e">
        <f ca="1">SUMIF(B6:B13,"&lt;&gt;#ref!",B6:B13)</f>
        <v>#DIV/0!</v>
      </c>
      <c r="C2" s="2310" t="s">
        <v>2571</v>
      </c>
      <c r="D2" s="2310" t="s">
        <v>2572</v>
      </c>
      <c r="E2" s="2786">
        <f ca="1">SUMIF(E6:E13,"&lt;&gt;#ref!",E6:E13)</f>
        <v>0</v>
      </c>
      <c r="F2" s="2972"/>
      <c r="G2" s="2972"/>
      <c r="H2" s="2972"/>
      <c r="I2" s="2972"/>
      <c r="J2" s="2972"/>
      <c r="K2" s="2972"/>
      <c r="L2" s="2972"/>
      <c r="M2" s="2972"/>
      <c r="N2" s="2972"/>
      <c r="O2" s="2972"/>
      <c r="P2" s="2972"/>
    </row>
    <row r="3" spans="1:16" ht="15.75">
      <c r="A3" s="2310" t="s">
        <v>2573</v>
      </c>
      <c r="B3" s="2776" t="e">
        <f ca="1">ROUND(B2*10000/E2,0)</f>
        <v>#DIV/0!</v>
      </c>
      <c r="C3" s="2310" t="s">
        <v>2579</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2574</v>
      </c>
      <c r="B5" s="2784" t="s">
        <v>2575</v>
      </c>
      <c r="C5" s="2311"/>
      <c r="D5" s="2972"/>
      <c r="E5" s="2785" t="s">
        <v>2576</v>
      </c>
      <c r="F5" s="2972"/>
      <c r="G5" s="2972"/>
      <c r="H5" s="2972"/>
      <c r="I5" s="2972"/>
      <c r="J5" s="2972"/>
      <c r="K5" s="2972"/>
      <c r="L5" s="2972"/>
      <c r="M5" s="2972"/>
      <c r="N5" s="2972"/>
      <c r="O5" s="2972"/>
      <c r="P5" s="2972"/>
    </row>
    <row r="6" spans="1:16" ht="15.75">
      <c r="A6" s="2783" t="s">
        <v>2577</v>
      </c>
      <c r="B6" s="2776" t="e">
        <f ca="1">SUMIF(INDIRECT("'"&amp;A6&amp;"'"&amp;"!A:A"),"总价",INDIRECT("'"&amp;A6&amp;"'"&amp;"!B:B"))</f>
        <v>#DIV/0!</v>
      </c>
      <c r="C6" s="2310" t="s">
        <v>2571</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0" t="s">
        <v>2571</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0" t="s">
        <v>2571</v>
      </c>
      <c r="D8" s="2972"/>
      <c r="E8" s="2786" t="e">
        <f t="shared" ca="1" si="0"/>
        <v>#REF!</v>
      </c>
      <c r="F8" s="2972"/>
      <c r="G8" s="2972"/>
      <c r="H8" s="2972"/>
      <c r="I8" s="2972"/>
      <c r="J8" s="2972"/>
      <c r="K8" s="2972"/>
      <c r="L8" s="2972"/>
      <c r="M8" s="2972"/>
      <c r="N8" s="2972"/>
      <c r="O8" s="2972"/>
      <c r="P8" s="2972"/>
    </row>
    <row r="9" spans="1:16" ht="15.75">
      <c r="A9" s="2783"/>
      <c r="B9" s="2776" t="e">
        <f t="shared" ca="1" si="1"/>
        <v>#REF!</v>
      </c>
      <c r="C9" s="2310" t="s">
        <v>2571</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0" t="s">
        <v>2571</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0" t="s">
        <v>2571</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0" t="s">
        <v>2571</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0" t="s">
        <v>2571</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H14"/>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630" t="s">
        <v>877</v>
      </c>
      <c r="C1" s="3630"/>
      <c r="D1" s="3630"/>
      <c r="E1" s="3630"/>
      <c r="F1" s="3630"/>
      <c r="G1" s="3629" t="s">
        <v>878</v>
      </c>
      <c r="H1" s="3629"/>
      <c r="I1" s="3629"/>
      <c r="J1" s="3629"/>
      <c r="K1" s="3629"/>
      <c r="L1" s="3629"/>
      <c r="N1" s="3629" t="s">
        <v>879</v>
      </c>
      <c r="O1" s="3629"/>
      <c r="P1" s="3629"/>
      <c r="Q1" s="3629"/>
      <c r="S1" s="3629" t="s">
        <v>880</v>
      </c>
      <c r="T1" s="3629"/>
      <c r="U1" s="3629"/>
      <c r="V1" s="3629"/>
      <c r="X1" s="3628" t="s">
        <v>881</v>
      </c>
      <c r="Y1" s="3629"/>
      <c r="Z1" s="3629"/>
      <c r="AA1" s="3629"/>
      <c r="AB1" s="3629"/>
      <c r="AD1" s="3628" t="s">
        <v>882</v>
      </c>
      <c r="AE1" s="3629"/>
      <c r="AF1" s="3629"/>
      <c r="AG1" s="3629"/>
      <c r="AH1" s="3629"/>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2611</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2939</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4">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2612</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2938</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4">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2815</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9">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2814</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8">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2813</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92">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2811</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91">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2810</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8">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2628</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2626</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2625</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2624</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2622</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2620</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2623</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626">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2618</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626"/>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2617</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626"/>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2610</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635"/>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2608</v>
      </c>
      <c r="B22" s="2387">
        <v>439</v>
      </c>
      <c r="C22" s="2387">
        <v>327</v>
      </c>
      <c r="D22" s="2387">
        <f>C22</f>
        <v>327</v>
      </c>
      <c r="E22" s="2387">
        <v>627</v>
      </c>
      <c r="F22" s="2388">
        <v>283</v>
      </c>
      <c r="G22" s="3631">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2609</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626"/>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626"/>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635"/>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631">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626"/>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626"/>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627"/>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625">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626"/>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626"/>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627"/>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625">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626"/>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626"/>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627"/>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632">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633"/>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633"/>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634"/>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625">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626"/>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626"/>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627"/>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625">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626">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626">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627">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625">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626">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626">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627">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625">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626">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626">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627">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625">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626">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626">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627">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625">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626">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626">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627">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625">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626">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626">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627">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625">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626">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626">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627">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625">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626">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626">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627">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625">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626">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626">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627">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625">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626">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626">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627">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14" sqref="C14:H14"/>
      <selection pane="bottomLeft" activeCell="C14" sqref="C14:H1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2580</v>
      </c>
      <c r="C1" s="3639" t="s">
        <v>2581</v>
      </c>
      <c r="D1" s="3640"/>
      <c r="E1" s="3640"/>
      <c r="F1" s="3640"/>
      <c r="G1" s="3640"/>
      <c r="H1" s="3640"/>
      <c r="I1" s="3640"/>
      <c r="J1" s="3640"/>
      <c r="K1" s="3640"/>
      <c r="L1" s="3640"/>
      <c r="M1" s="3640"/>
      <c r="N1" s="3640"/>
      <c r="O1" s="3640"/>
      <c r="P1" s="3640"/>
      <c r="Q1" s="3640"/>
      <c r="R1" s="3640"/>
      <c r="S1" s="3641"/>
      <c r="T1" s="1095" t="s">
        <v>2582</v>
      </c>
    </row>
    <row r="2" spans="1:45" s="663" customFormat="1">
      <c r="A2" s="1096"/>
      <c r="B2" s="659" t="s">
        <v>2583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6" t="s">
        <v>2584</v>
      </c>
      <c r="C5" s="1107"/>
      <c r="D5" s="1108"/>
      <c r="E5" s="1108"/>
      <c r="F5" s="1432"/>
      <c r="G5" s="1432"/>
      <c r="H5" s="1432"/>
      <c r="I5" s="1432"/>
      <c r="J5" s="1432"/>
      <c r="K5" s="1432"/>
      <c r="L5" s="1433"/>
      <c r="M5" s="1434"/>
      <c r="N5" s="1434"/>
      <c r="O5" s="1432"/>
      <c r="P5" s="1432"/>
      <c r="Q5" s="1432"/>
      <c r="R5" s="1432"/>
      <c r="S5" s="1435"/>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2585</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2586</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2587</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2588</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2589</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3" t="s">
        <v>2590</v>
      </c>
      <c r="B17" s="2314" t="s">
        <v>2591</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5" t="s">
        <v>2592</v>
      </c>
      <c r="E19" s="1474"/>
      <c r="F19" s="1474"/>
      <c r="G19" s="1474"/>
      <c r="H19" s="1171"/>
      <c r="I19" s="164"/>
      <c r="J19" s="164"/>
      <c r="K19" s="164"/>
      <c r="L19" s="164"/>
      <c r="M19" s="164"/>
      <c r="N19" s="164"/>
      <c r="O19" s="164"/>
      <c r="P19" s="164"/>
      <c r="Q19" s="164"/>
      <c r="R19" s="727"/>
      <c r="S19" s="134"/>
    </row>
    <row r="20" spans="1:45" ht="16.5" thickBot="1">
      <c r="A20" s="671" t="s">
        <v>2593</v>
      </c>
      <c r="B20" s="300" t="e">
        <f ca="1">IF(D20="——",S22,S22-F20)</f>
        <v>#REF!</v>
      </c>
      <c r="C20" s="164"/>
      <c r="D20" s="2316"/>
      <c r="E20" s="1475"/>
      <c r="F20" s="1095" t="e">
        <f ca="1">SUMIF(INDIRECT("'"&amp;H20&amp;"'"&amp;"!A:A"),"承租人权益价值",INDIRECT("'"&amp;H20&amp;"'"&amp;"!c:c"))</f>
        <v>#REF!</v>
      </c>
      <c r="G20" s="1095" t="s">
        <v>2594</v>
      </c>
      <c r="H20" s="2317"/>
      <c r="I20" s="164"/>
      <c r="J20" s="164"/>
      <c r="K20" s="164"/>
      <c r="L20" s="164"/>
      <c r="M20" s="164"/>
      <c r="N20" s="164"/>
      <c r="O20" s="164"/>
      <c r="P20" s="164"/>
      <c r="Q20" s="164"/>
      <c r="R20" s="727"/>
      <c r="S20" s="134"/>
    </row>
    <row r="21" spans="1:45" ht="15.75">
      <c r="A21" s="671" t="s">
        <v>2595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2596</v>
      </c>
      <c r="B22" s="24">
        <f>SUM(B24:B10000)</f>
        <v>100</v>
      </c>
      <c r="C22" s="3636" t="s">
        <v>33</v>
      </c>
      <c r="D22" s="3637"/>
      <c r="E22" s="3637"/>
      <c r="F22" s="3637"/>
      <c r="G22" s="3637"/>
      <c r="H22" s="3637"/>
      <c r="I22" s="3637"/>
      <c r="J22" s="3637"/>
      <c r="K22" s="3637"/>
      <c r="L22" s="3637"/>
      <c r="M22" s="3637"/>
      <c r="N22" s="3637"/>
      <c r="O22" s="3637"/>
      <c r="P22" s="3637"/>
      <c r="Q22" s="3638"/>
      <c r="R22" s="672">
        <f>ROUND(S22*10000/B22,0)</f>
        <v>10000</v>
      </c>
      <c r="S22" s="24">
        <f>SUM(S24:S10000)</f>
        <v>100</v>
      </c>
    </row>
    <row r="23" spans="1:45" s="12" customFormat="1" ht="24">
      <c r="A23" s="11" t="s">
        <v>2597</v>
      </c>
      <c r="B23" s="11" t="s">
        <v>2598</v>
      </c>
      <c r="C23" s="11" t="s">
        <v>2599</v>
      </c>
      <c r="D23" s="11" t="str">
        <f>B5</f>
        <v>修正项2</v>
      </c>
      <c r="E23" s="11" t="s">
        <v>2599</v>
      </c>
      <c r="F23" s="11" t="str">
        <f>B7</f>
        <v>修正项3</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3" t="s">
        <v>2600</v>
      </c>
      <c r="S23" s="11" t="s">
        <v>2601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2602</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151523</v>
      </c>
      <c r="C2" s="2" t="s">
        <v>133</v>
      </c>
      <c r="D2" s="205"/>
      <c r="E2" s="205"/>
      <c r="F2" s="205"/>
      <c r="G2" s="205"/>
    </row>
    <row r="3" spans="1:7" s="206" customFormat="1" ht="18" customHeight="1" thickBot="1">
      <c r="A3" s="209" t="s">
        <v>85</v>
      </c>
      <c r="B3" s="210">
        <f ca="1">ROUND(B2*10000/'数据-汇总表'!E3,0)</f>
        <v>6248</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4608</v>
      </c>
      <c r="D10" s="935">
        <f>'数据-汇总表'!E6</f>
        <v>242531.24000000002</v>
      </c>
      <c r="E10" s="231">
        <f>'数据-取费表'!B28</f>
        <v>190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3638</v>
      </c>
      <c r="D19" s="939">
        <f>'数据-汇总表'!E3</f>
        <v>242531.24000000002</v>
      </c>
      <c r="E19" s="217">
        <f>'数据-取费表'!B31</f>
        <v>150</v>
      </c>
      <c r="F19" s="237"/>
      <c r="G19" s="1" t="s">
        <v>861</v>
      </c>
    </row>
    <row r="20" spans="1:7" s="220" customFormat="1" ht="13.5" customHeight="1">
      <c r="A20" s="866" t="s">
        <v>844</v>
      </c>
      <c r="B20" s="216" t="s">
        <v>104</v>
      </c>
      <c r="C20" s="238">
        <f>ROUND((C5+C19)*F20,0)</f>
        <v>485</v>
      </c>
      <c r="D20" s="238"/>
      <c r="E20" s="238"/>
      <c r="F20" s="239">
        <f>'数据-取费表'!B37</f>
        <v>0.02</v>
      </c>
      <c r="G20" s="1180" t="s">
        <v>855</v>
      </c>
    </row>
    <row r="21" spans="1:7" s="220" customFormat="1" ht="13.5" customHeight="1">
      <c r="A21" s="866" t="s">
        <v>846</v>
      </c>
      <c r="B21" s="216" t="s">
        <v>105</v>
      </c>
      <c r="C21" s="241">
        <f>F21</f>
        <v>0.01</v>
      </c>
      <c r="D21" s="242" t="s">
        <v>126</v>
      </c>
      <c r="E21" s="238"/>
      <c r="F21" s="239">
        <f>'数据-取费表'!B38</f>
        <v>0.01</v>
      </c>
      <c r="G21" s="240" t="s">
        <v>106</v>
      </c>
    </row>
    <row r="22" spans="1:7" s="220" customFormat="1" ht="13.5" customHeight="1">
      <c r="A22" s="866" t="s">
        <v>605</v>
      </c>
      <c r="B22" s="216" t="s">
        <v>107</v>
      </c>
      <c r="C22" s="1217">
        <f ca="1">ROUND(SUM(C23:C25),0)</f>
        <v>3216</v>
      </c>
      <c r="D22" s="241">
        <f ca="1">C26</f>
        <v>5.9999999999999995E-4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2707</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478</v>
      </c>
      <c r="D24" s="244"/>
      <c r="E24" s="244"/>
      <c r="F24" s="245"/>
      <c r="G24" s="246" t="s">
        <v>109</v>
      </c>
    </row>
    <row r="25" spans="1:7" s="220" customFormat="1" ht="24">
      <c r="A25" s="869" t="s">
        <v>612</v>
      </c>
      <c r="B25" s="221" t="s">
        <v>845</v>
      </c>
      <c r="C25" s="1218">
        <f ca="1">ROUND(IF('数据-取费表'!B22&lt;=1,C20*F22*'数据-取费表'!B23/2,C20*(POWER((1+F22),'数据-取费表'!B23/2)-1)),0)</f>
        <v>31</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3215</v>
      </c>
      <c r="D27" s="241">
        <f>C29</f>
        <v>1.2999999999999999E-3</v>
      </c>
      <c r="E27" s="242" t="s">
        <v>126</v>
      </c>
      <c r="F27" s="252">
        <f>'数据-取费表'!Q16</f>
        <v>0.13</v>
      </c>
      <c r="G27" s="253" t="s">
        <v>856</v>
      </c>
    </row>
    <row r="28" spans="1:7" s="220" customFormat="1" ht="13.5" customHeight="1">
      <c r="A28" s="869" t="s">
        <v>613</v>
      </c>
      <c r="B28" s="254" t="s">
        <v>849</v>
      </c>
      <c r="C28" s="255">
        <f>ROUND((C5+C19+C20)*F27*'数据-取费表'!B21/'数据-取费表'!B20,0)</f>
        <v>3215</v>
      </c>
      <c r="D28" s="241"/>
      <c r="E28" s="242"/>
      <c r="F28" s="252"/>
      <c r="G28" s="253"/>
    </row>
    <row r="29" spans="1:7" s="220" customFormat="1" ht="13.5" customHeight="1">
      <c r="A29" s="869" t="s">
        <v>611</v>
      </c>
      <c r="B29" s="254" t="s">
        <v>850</v>
      </c>
      <c r="C29" s="244">
        <f>ROUND(C21*F27*'数据-取费表'!B21/'数据-取费表'!B20,4)</f>
        <v>1.2999999999999999E-3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33305</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93666</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87312</v>
      </c>
      <c r="D34" s="223"/>
      <c r="E34" s="226"/>
      <c r="F34" s="263">
        <f>IF('数据-取费表'!B24=0,1,'数据-取费表'!N16)</f>
        <v>1</v>
      </c>
      <c r="G34" s="225" t="s">
        <v>116</v>
      </c>
    </row>
    <row r="35" spans="1:7" ht="13.5" customHeight="1">
      <c r="A35" s="869" t="s">
        <v>615</v>
      </c>
      <c r="B35" s="221" t="s">
        <v>60</v>
      </c>
      <c r="C35" s="226">
        <f>ROUND(C34*F35,0)</f>
        <v>2619</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2425</v>
      </c>
      <c r="D37" s="223">
        <f>'数据-汇总表'!E3</f>
        <v>242531.24000000002</v>
      </c>
      <c r="E37" s="255">
        <f>'数据-取费表'!B35</f>
        <v>100</v>
      </c>
      <c r="F37" s="265"/>
      <c r="G37" s="267" t="s">
        <v>119</v>
      </c>
    </row>
    <row r="38" spans="1:7" ht="13.5" customHeight="1">
      <c r="A38" s="869" t="s">
        <v>618</v>
      </c>
      <c r="B38" s="221" t="s">
        <v>63</v>
      </c>
      <c r="C38" s="226">
        <f>ROUND(C34*F38,0)</f>
        <v>1310</v>
      </c>
      <c r="D38" s="226"/>
      <c r="E38" s="226"/>
      <c r="F38" s="265">
        <f>'数据-取费表'!B36</f>
        <v>1.4999999999999999E-2</v>
      </c>
      <c r="G38" s="225" t="s">
        <v>117</v>
      </c>
    </row>
    <row r="39" spans="1:7" s="220" customFormat="1" ht="13.5" customHeight="1">
      <c r="A39" s="866" t="s">
        <v>602</v>
      </c>
      <c r="B39" s="216" t="s">
        <v>104</v>
      </c>
      <c r="C39" s="238">
        <f>ROUND(C33*F20,0)</f>
        <v>1873</v>
      </c>
      <c r="D39" s="238"/>
      <c r="E39" s="238"/>
      <c r="F39" s="239"/>
      <c r="G39" s="1180" t="s">
        <v>858</v>
      </c>
    </row>
    <row r="40" spans="1:7" s="220" customFormat="1" ht="13.5" customHeight="1">
      <c r="A40" s="866" t="s">
        <v>603</v>
      </c>
      <c r="B40" s="216" t="s">
        <v>105</v>
      </c>
      <c r="C40" s="268">
        <f>F21</f>
        <v>0.01</v>
      </c>
      <c r="D40" s="242" t="s">
        <v>129</v>
      </c>
      <c r="E40" s="238"/>
      <c r="F40" s="239"/>
      <c r="G40" s="240" t="s">
        <v>120</v>
      </c>
    </row>
    <row r="41" spans="1:7" s="220" customFormat="1" ht="13.5" customHeight="1">
      <c r="A41" s="866" t="s">
        <v>604</v>
      </c>
      <c r="B41" s="216" t="s">
        <v>107</v>
      </c>
      <c r="C41" s="238">
        <f ca="1">ROUND(SUM(C42:C43),0)</f>
        <v>6081</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5962</v>
      </c>
      <c r="D42" s="244"/>
      <c r="E42" s="244"/>
      <c r="F42" s="245"/>
      <c r="G42" s="3488" t="s">
        <v>121</v>
      </c>
    </row>
    <row r="43" spans="1:7" ht="13.5" customHeight="1">
      <c r="A43" s="869" t="s">
        <v>611</v>
      </c>
      <c r="B43" s="221" t="s">
        <v>851</v>
      </c>
      <c r="C43" s="244">
        <f ca="1">ROUND(IF('数据-取费表'!B22&lt;=1,C39*F22*'数据-取费表'!B21/2,C39*(POWER((1+F22),'数据-取费表'!B21/2)-1)),0)</f>
        <v>119</v>
      </c>
      <c r="D43" s="244"/>
      <c r="E43" s="244"/>
      <c r="F43" s="245"/>
      <c r="G43" s="3489"/>
    </row>
    <row r="44" spans="1:7" ht="13.5" customHeight="1">
      <c r="A44" s="869" t="s">
        <v>612</v>
      </c>
      <c r="B44" s="221" t="s">
        <v>853</v>
      </c>
      <c r="C44" s="244">
        <f ca="1">ROUND(IF('数据-取费表'!B22&lt;=1,C40*F22*'数据-取费表'!B21/2,C40*(POWER((1+F22),'数据-取费表'!B21/2)-1)),4)</f>
        <v>5.9999999999999995E-4</v>
      </c>
      <c r="D44" s="244"/>
      <c r="E44" s="244"/>
      <c r="F44" s="245"/>
      <c r="G44" s="3490"/>
    </row>
    <row r="45" spans="1:7" s="220" customFormat="1" ht="13.5" customHeight="1">
      <c r="A45" s="866" t="s">
        <v>605</v>
      </c>
      <c r="B45" s="250" t="s">
        <v>112</v>
      </c>
      <c r="C45" s="251">
        <f>C46</f>
        <v>12420</v>
      </c>
      <c r="D45" s="241">
        <f>C47</f>
        <v>1.2999999999999999E-3</v>
      </c>
      <c r="E45" s="242" t="s">
        <v>129</v>
      </c>
      <c r="F45" s="252"/>
      <c r="G45" s="253" t="s">
        <v>859</v>
      </c>
    </row>
    <row r="46" spans="1:7" s="220" customFormat="1" ht="13.5" customHeight="1">
      <c r="A46" s="869" t="s">
        <v>613</v>
      </c>
      <c r="B46" s="254" t="s">
        <v>852</v>
      </c>
      <c r="C46" s="255">
        <f>ROUND((C33+C39)*F27,0)</f>
        <v>12420</v>
      </c>
      <c r="D46" s="269"/>
      <c r="E46" s="242"/>
      <c r="F46" s="252"/>
      <c r="G46" s="253"/>
    </row>
    <row r="47" spans="1:7" s="220" customFormat="1" ht="13.5" customHeight="1">
      <c r="A47" s="869" t="s">
        <v>611</v>
      </c>
      <c r="B47" s="254" t="s">
        <v>854</v>
      </c>
      <c r="C47" s="244">
        <f>ROUND(C40*F27,4)</f>
        <v>1.2999999999999999E-3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121874</v>
      </c>
      <c r="D49" s="238"/>
      <c r="E49" s="238"/>
      <c r="F49" s="270"/>
      <c r="G49" s="240" t="s">
        <v>860</v>
      </c>
    </row>
    <row r="50" spans="1:7" s="264" customFormat="1" ht="24">
      <c r="A50" s="866" t="s">
        <v>608</v>
      </c>
      <c r="B50" s="216" t="s">
        <v>124</v>
      </c>
      <c r="C50" s="238"/>
      <c r="D50" s="238"/>
      <c r="E50" s="238"/>
      <c r="F50" s="270">
        <f>IF('数据-取费表'!B24=0,'数据-取费表'!N16,1)</f>
        <v>0.97</v>
      </c>
      <c r="G50" s="253" t="s">
        <v>125</v>
      </c>
    </row>
    <row r="51" spans="1:7" ht="16.5" customHeight="1">
      <c r="A51" s="866" t="s">
        <v>609</v>
      </c>
      <c r="B51" s="216" t="s">
        <v>132</v>
      </c>
      <c r="C51" s="238">
        <f ca="1">ROUND(C49*F50,0)</f>
        <v>118218</v>
      </c>
      <c r="D51" s="238"/>
      <c r="E51" s="238"/>
      <c r="F51" s="270"/>
      <c r="G51" s="240" t="s">
        <v>64</v>
      </c>
    </row>
    <row r="52" spans="1:7" s="214" customFormat="1" ht="16.5" thickBot="1">
      <c r="A52" s="271" t="s">
        <v>65</v>
      </c>
      <c r="B52" s="272"/>
      <c r="C52" s="273">
        <f ca="1">C31+C51</f>
        <v>151523</v>
      </c>
      <c r="D52" s="272"/>
      <c r="E52" s="272"/>
      <c r="F52" s="272"/>
      <c r="G52" s="274"/>
    </row>
    <row r="55" spans="1:7" ht="15">
      <c r="B55" s="276" t="s">
        <v>66</v>
      </c>
      <c r="C55" s="277"/>
    </row>
    <row r="56" spans="1:7">
      <c r="B56" s="279" t="s">
        <v>67</v>
      </c>
      <c r="C56" s="280">
        <f ca="1">ROUND(C51/C52,3)</f>
        <v>0.78</v>
      </c>
    </row>
    <row r="57" spans="1:7">
      <c r="B57" s="279" t="s">
        <v>68</v>
      </c>
      <c r="C57" s="281">
        <f ca="1">1-C56</f>
        <v>0.21999999999999997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42" t="s">
        <v>156</v>
      </c>
      <c r="B1" s="3642"/>
      <c r="C1" s="3642"/>
      <c r="D1" s="3642"/>
      <c r="E1" s="3642"/>
      <c r="F1" s="364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43" t="s">
        <v>169</v>
      </c>
      <c r="B2" s="3643"/>
      <c r="C2" s="3643"/>
      <c r="D2" s="3643"/>
      <c r="E2" s="3643"/>
      <c r="F2" s="364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44"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45"/>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42" t="s">
        <v>658</v>
      </c>
      <c r="B1" s="3642"/>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44769</v>
      </c>
      <c r="D1" s="1422" t="s">
        <v>1028</v>
      </c>
      <c r="E1" s="1417">
        <f>'数据-取费表'!B22</f>
        <v>3</v>
      </c>
      <c r="F1" s="1422" t="s">
        <v>1029</v>
      </c>
      <c r="G1" s="1418">
        <f ca="1">INDIRECT("d"&amp;$K$1)/100</f>
        <v>3.7000000000000005E-2</v>
      </c>
      <c r="H1" s="1422" t="s">
        <v>1059</v>
      </c>
      <c r="I1" s="1418">
        <f ca="1">F4/100</f>
        <v>1.4999999999999999E-2</v>
      </c>
      <c r="J1" s="1423">
        <f>IF(C1&gt;C13,0,MATCH(C1,C$13:C$108,-1))+IF(SUMIF(C13:C108,C1,D13:D108)=0,13,12)</f>
        <v>13</v>
      </c>
      <c r="K1" s="1423">
        <f ca="1">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4.45</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0">
        <v>44701</v>
      </c>
      <c r="D13" s="3001">
        <v>3.7</v>
      </c>
      <c r="E13" s="3001">
        <f>D13</f>
        <v>3.7</v>
      </c>
      <c r="F13" s="3001">
        <f>D13</f>
        <v>3.7</v>
      </c>
      <c r="G13" s="3001">
        <f>D13</f>
        <v>3.7</v>
      </c>
      <c r="H13" s="3001">
        <v>4.45</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5"/>
      <c r="C14" s="2997">
        <v>44581</v>
      </c>
      <c r="D14" s="2996">
        <v>3.7</v>
      </c>
      <c r="E14" s="2996">
        <f>D14</f>
        <v>3.7</v>
      </c>
      <c r="F14" s="2996">
        <f>D14</f>
        <v>3.7</v>
      </c>
      <c r="G14" s="2996">
        <f>D14</f>
        <v>3.7</v>
      </c>
      <c r="H14" s="2996">
        <v>4.5999999999999996</v>
      </c>
      <c r="I14" s="3001"/>
      <c r="J14" s="3001"/>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6"/>
      <c r="C15" s="2997">
        <v>44550</v>
      </c>
      <c r="D15" s="2996">
        <v>3.8</v>
      </c>
      <c r="E15" s="2996">
        <f>D15</f>
        <v>3.8</v>
      </c>
      <c r="F15" s="2996">
        <f>D15</f>
        <v>3.8</v>
      </c>
      <c r="G15" s="2996">
        <f>D15</f>
        <v>3.8</v>
      </c>
      <c r="H15" s="2996">
        <v>4.6500000000000004</v>
      </c>
      <c r="I15" s="2996"/>
      <c r="J15" s="3001"/>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6"/>
      <c r="C16" s="2997">
        <v>43941</v>
      </c>
      <c r="D16" s="2996">
        <v>3.85</v>
      </c>
      <c r="E16" s="2996">
        <v>3.85</v>
      </c>
      <c r="F16" s="2996">
        <v>3.85</v>
      </c>
      <c r="G16" s="2996">
        <v>3.85</v>
      </c>
      <c r="H16" s="2996">
        <v>4.6500000000000004</v>
      </c>
      <c r="I16" s="2996"/>
      <c r="J16" s="2996"/>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6"/>
      <c r="C17" s="2997">
        <v>43881</v>
      </c>
      <c r="D17" s="2996">
        <v>4.05</v>
      </c>
      <c r="E17" s="2996">
        <v>4.05</v>
      </c>
      <c r="F17" s="2996">
        <v>4.05</v>
      </c>
      <c r="G17" s="2996">
        <v>4.05</v>
      </c>
      <c r="H17" s="2996">
        <v>4.75</v>
      </c>
      <c r="I17" s="2996"/>
      <c r="J17" s="2996"/>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6"/>
      <c r="C18" s="2997">
        <v>43789</v>
      </c>
      <c r="D18" s="2996">
        <v>4.1500000000000004</v>
      </c>
      <c r="E18" s="2996">
        <v>4.1500000000000004</v>
      </c>
      <c r="F18" s="2996">
        <v>4.1500000000000004</v>
      </c>
      <c r="G18" s="2996">
        <v>4.1500000000000004</v>
      </c>
      <c r="H18" s="2996">
        <v>4.8</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4"/>
      <c r="B19" s="2996"/>
      <c r="C19" s="2997">
        <v>43728</v>
      </c>
      <c r="D19" s="2996">
        <v>4.2</v>
      </c>
      <c r="E19" s="2996">
        <v>4.2</v>
      </c>
      <c r="F19" s="2996">
        <v>4.2</v>
      </c>
      <c r="G19" s="2996">
        <v>4.2</v>
      </c>
      <c r="H19" s="2996">
        <v>4.8499999999999996</v>
      </c>
      <c r="I19" s="2996"/>
      <c r="J19" s="2996"/>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5" t="s">
        <v>2812</v>
      </c>
      <c r="C20" s="2998">
        <v>43697</v>
      </c>
      <c r="D20" s="2999">
        <v>4.25</v>
      </c>
      <c r="E20" s="2999">
        <v>4.25</v>
      </c>
      <c r="F20" s="2999">
        <v>4.25</v>
      </c>
      <c r="G20" s="2999">
        <v>4.25</v>
      </c>
      <c r="H20" s="2999">
        <v>4.8499999999999996</v>
      </c>
      <c r="I20" s="2999"/>
      <c r="J20" s="2999"/>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3002"/>
      <c r="B21" s="3003"/>
      <c r="C21" s="3004">
        <v>42301</v>
      </c>
      <c r="D21" s="3005">
        <v>4.3499999999999996</v>
      </c>
      <c r="E21" s="3005">
        <v>4.3499999999999996</v>
      </c>
      <c r="F21" s="3005">
        <v>4.75</v>
      </c>
      <c r="G21" s="3005">
        <v>4.75</v>
      </c>
      <c r="H21" s="3005">
        <v>4.9000000000000004</v>
      </c>
      <c r="I21" s="3005"/>
      <c r="J21" s="3005"/>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42242</v>
      </c>
      <c r="D22" s="1410">
        <v>4.5999999999999996</v>
      </c>
      <c r="E22" s="1410">
        <v>4.5999999999999996</v>
      </c>
      <c r="F22" s="1410">
        <v>5</v>
      </c>
      <c r="G22" s="1410">
        <v>5</v>
      </c>
      <c r="H22" s="1410">
        <v>5.15</v>
      </c>
      <c r="I22" s="1410">
        <v>2.75</v>
      </c>
      <c r="J22" s="1410">
        <v>3.25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42183</v>
      </c>
      <c r="D23" s="1410">
        <v>4.8499999999999996</v>
      </c>
      <c r="E23" s="1410">
        <v>4.8499999999999996</v>
      </c>
      <c r="F23" s="1410">
        <v>5.25</v>
      </c>
      <c r="G23" s="1410">
        <v>5.25</v>
      </c>
      <c r="H23" s="1410">
        <v>5.4</v>
      </c>
      <c r="I23" s="1410">
        <v>3</v>
      </c>
      <c r="J23" s="1410">
        <v>3.5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42135</v>
      </c>
      <c r="D24" s="1410">
        <v>5.0999999999999996</v>
      </c>
      <c r="E24" s="1410">
        <v>5.0999999999999996</v>
      </c>
      <c r="F24" s="1410">
        <v>5.5</v>
      </c>
      <c r="G24" s="1410">
        <v>5.5</v>
      </c>
      <c r="H24" s="1410">
        <v>5.65</v>
      </c>
      <c r="I24" s="1410">
        <v>3.25</v>
      </c>
      <c r="J24" s="1410">
        <v>3.75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42064</v>
      </c>
      <c r="D25" s="1410">
        <v>5.35</v>
      </c>
      <c r="E25" s="1410">
        <v>5.35</v>
      </c>
      <c r="F25" s="1410">
        <v>5.75</v>
      </c>
      <c r="G25" s="1410">
        <v>5.75</v>
      </c>
      <c r="H25" s="1410">
        <v>5.9</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41965</v>
      </c>
      <c r="D26" s="1410">
        <v>5.6</v>
      </c>
      <c r="E26" s="1410">
        <v>5.6</v>
      </c>
      <c r="F26" s="1410">
        <v>6</v>
      </c>
      <c r="G26" s="1410">
        <v>6</v>
      </c>
      <c r="H26" s="1410">
        <v>6.15</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41096</v>
      </c>
      <c r="D27" s="1410">
        <v>5.6</v>
      </c>
      <c r="E27" s="1410">
        <v>6</v>
      </c>
      <c r="F27" s="1410">
        <v>6.15</v>
      </c>
      <c r="G27" s="1410">
        <v>6.4</v>
      </c>
      <c r="H27" s="1410">
        <v>6.55</v>
      </c>
      <c r="I27" s="1410">
        <v>4</v>
      </c>
      <c r="J27" s="1410">
        <v>4.5</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41068</v>
      </c>
      <c r="D28" s="1410">
        <v>5.85</v>
      </c>
      <c r="E28" s="1410">
        <v>6.31</v>
      </c>
      <c r="F28" s="1410">
        <v>6.4</v>
      </c>
      <c r="G28" s="1410">
        <v>6.65</v>
      </c>
      <c r="H28" s="1410">
        <v>6.8</v>
      </c>
      <c r="I28" s="1410">
        <v>4.2</v>
      </c>
      <c r="J28" s="1410">
        <v>4.7</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40731</v>
      </c>
      <c r="D29" s="1410">
        <v>6.1</v>
      </c>
      <c r="E29" s="1410">
        <v>6.56</v>
      </c>
      <c r="F29" s="1410">
        <v>6.65</v>
      </c>
      <c r="G29" s="1410">
        <v>6.9</v>
      </c>
      <c r="H29" s="1410">
        <v>7.05</v>
      </c>
      <c r="I29" s="1410">
        <v>4.45</v>
      </c>
      <c r="J29" s="1410">
        <v>4.9000000000000004</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40639</v>
      </c>
      <c r="D30" s="1410">
        <v>5.85</v>
      </c>
      <c r="E30" s="1410">
        <v>6.31</v>
      </c>
      <c r="F30" s="1410">
        <v>6.4</v>
      </c>
      <c r="G30" s="1410">
        <v>6.65</v>
      </c>
      <c r="H30" s="1410">
        <v>6.8</v>
      </c>
      <c r="I30" s="1410">
        <v>4.2</v>
      </c>
      <c r="J30" s="1410">
        <v>4.7</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40583</v>
      </c>
      <c r="D31" s="1410">
        <v>5.6</v>
      </c>
      <c r="E31" s="1410">
        <v>6.06</v>
      </c>
      <c r="F31" s="1410">
        <v>6.1</v>
      </c>
      <c r="G31" s="1410">
        <v>6.45</v>
      </c>
      <c r="H31" s="1410">
        <v>6.6</v>
      </c>
      <c r="I31" s="1410">
        <v>4</v>
      </c>
      <c r="J31" s="1410">
        <v>4.5</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40538</v>
      </c>
      <c r="D32" s="1410">
        <v>5.35</v>
      </c>
      <c r="E32" s="1410">
        <v>5.81</v>
      </c>
      <c r="F32" s="1410">
        <v>5.85</v>
      </c>
      <c r="G32" s="1410">
        <v>6.22</v>
      </c>
      <c r="H32" s="1410">
        <v>6.4</v>
      </c>
      <c r="I32" s="1410">
        <v>3.75</v>
      </c>
      <c r="J32" s="1410">
        <v>4.3</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40471</v>
      </c>
      <c r="D33" s="1410">
        <v>5.0999999999999996</v>
      </c>
      <c r="E33" s="1410">
        <v>5.56</v>
      </c>
      <c r="F33" s="1410">
        <v>5.6</v>
      </c>
      <c r="G33" s="1410">
        <v>5.96</v>
      </c>
      <c r="H33" s="1410">
        <v>6.14</v>
      </c>
      <c r="I33" s="1410">
        <v>3.5</v>
      </c>
      <c r="J33" s="1410">
        <v>4.05</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39805</v>
      </c>
      <c r="D34" s="1410">
        <v>4.8600000000000003</v>
      </c>
      <c r="E34" s="1410">
        <v>5.31</v>
      </c>
      <c r="F34" s="1410">
        <v>5.4</v>
      </c>
      <c r="G34" s="1410">
        <v>5.76</v>
      </c>
      <c r="H34" s="1410">
        <v>5.94</v>
      </c>
      <c r="I34" s="1410">
        <v>3.33</v>
      </c>
      <c r="J34" s="1410">
        <v>3.87</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39779</v>
      </c>
      <c r="D35" s="1410">
        <v>5.04</v>
      </c>
      <c r="E35" s="1410">
        <v>5.58</v>
      </c>
      <c r="F35" s="1410">
        <v>5.67</v>
      </c>
      <c r="G35" s="1410">
        <v>5.94</v>
      </c>
      <c r="H35" s="1410">
        <v>6.12</v>
      </c>
      <c r="I35" s="1410">
        <v>3.51</v>
      </c>
      <c r="J35" s="1410">
        <v>4.05</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39751</v>
      </c>
      <c r="D36" s="1410">
        <v>6.03</v>
      </c>
      <c r="E36" s="1410">
        <v>6.66</v>
      </c>
      <c r="F36" s="1410">
        <v>6.75</v>
      </c>
      <c r="G36" s="1410">
        <v>7.02</v>
      </c>
      <c r="H36" s="1410">
        <v>7.2</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2">
        <v>39748</v>
      </c>
      <c r="D37" s="1410">
        <v>6.12</v>
      </c>
      <c r="E37" s="1410">
        <v>6.93</v>
      </c>
      <c r="F37" s="1410">
        <v>7.02</v>
      </c>
      <c r="G37" s="1410">
        <v>7.29</v>
      </c>
      <c r="H37" s="1410">
        <v>7.47</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39730</v>
      </c>
      <c r="D38" s="1410">
        <v>6.12</v>
      </c>
      <c r="E38" s="1410">
        <v>6.93</v>
      </c>
      <c r="F38" s="1410">
        <v>7.02</v>
      </c>
      <c r="G38" s="1410">
        <v>7.29</v>
      </c>
      <c r="H38" s="1410">
        <v>7.47</v>
      </c>
      <c r="I38" s="1410">
        <v>4.32</v>
      </c>
      <c r="J38" s="1410">
        <v>4.8600000000000003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39707</v>
      </c>
      <c r="D39" s="1410">
        <v>6.21</v>
      </c>
      <c r="E39" s="1410">
        <v>7.2</v>
      </c>
      <c r="F39" s="1410">
        <v>7.29</v>
      </c>
      <c r="G39" s="1410">
        <v>7.56</v>
      </c>
      <c r="H39" s="1410">
        <v>7.74</v>
      </c>
      <c r="I39" s="1410">
        <v>4.59</v>
      </c>
      <c r="J39" s="1410">
        <v>5.13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39437</v>
      </c>
      <c r="D40" s="1410">
        <v>6.57</v>
      </c>
      <c r="E40" s="1410">
        <v>7.47</v>
      </c>
      <c r="F40" s="1410">
        <v>7.56</v>
      </c>
      <c r="G40" s="1410">
        <v>7.74</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39340</v>
      </c>
      <c r="D41" s="1410">
        <v>6.48</v>
      </c>
      <c r="E41" s="1410">
        <v>7.29</v>
      </c>
      <c r="F41" s="1410">
        <v>7.47</v>
      </c>
      <c r="G41" s="1410">
        <v>7.65</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39316</v>
      </c>
      <c r="D42" s="1410">
        <v>6.21</v>
      </c>
      <c r="E42" s="1410">
        <v>7.02</v>
      </c>
      <c r="F42" s="1410">
        <v>7.2</v>
      </c>
      <c r="G42" s="1410">
        <v>7.38</v>
      </c>
      <c r="H42" s="1410">
        <v>7.56</v>
      </c>
      <c r="I42" s="1410">
        <v>4.59</v>
      </c>
      <c r="J42" s="1410">
        <v>5.04</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39284</v>
      </c>
      <c r="D43" s="1410">
        <v>6.03</v>
      </c>
      <c r="E43" s="1410">
        <v>6.84</v>
      </c>
      <c r="F43" s="1410">
        <v>7.02</v>
      </c>
      <c r="G43" s="1410">
        <v>7.2</v>
      </c>
      <c r="H43" s="1410">
        <v>7.38</v>
      </c>
      <c r="I43" s="1410">
        <v>4.5</v>
      </c>
      <c r="J43" s="1410">
        <v>4.95</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39221</v>
      </c>
      <c r="D44" s="1410">
        <v>5.85</v>
      </c>
      <c r="E44" s="1410">
        <v>6.57</v>
      </c>
      <c r="F44" s="1410">
        <v>6.75</v>
      </c>
      <c r="G44" s="1410">
        <v>6.93</v>
      </c>
      <c r="H44" s="1410">
        <v>7.2</v>
      </c>
      <c r="I44" s="1410">
        <v>4.41</v>
      </c>
      <c r="J44" s="1410">
        <v>4.8600000000000003</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39159</v>
      </c>
      <c r="D45" s="1410">
        <v>5.67</v>
      </c>
      <c r="E45" s="1410">
        <v>6.39</v>
      </c>
      <c r="F45" s="1410">
        <v>6.57</v>
      </c>
      <c r="G45" s="1410">
        <v>6.75</v>
      </c>
      <c r="H45" s="1410">
        <v>7.11</v>
      </c>
      <c r="I45" s="1410">
        <v>4.32</v>
      </c>
      <c r="J45" s="1410">
        <v>4.7699999999999996</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38948</v>
      </c>
      <c r="D46" s="1410">
        <v>5.58</v>
      </c>
      <c r="E46" s="1410">
        <v>6.12</v>
      </c>
      <c r="F46" s="1410">
        <v>6.3</v>
      </c>
      <c r="G46" s="1410">
        <v>6.48</v>
      </c>
      <c r="H46" s="1410">
        <v>6.84</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38835</v>
      </c>
      <c r="D47" s="1410">
        <v>5.4</v>
      </c>
      <c r="E47" s="1410">
        <v>5.85</v>
      </c>
      <c r="F47" s="1410">
        <v>6.03</v>
      </c>
      <c r="G47" s="1410">
        <v>6.12</v>
      </c>
      <c r="H47" s="1410">
        <v>6.39</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38428</v>
      </c>
      <c r="D48" s="1410">
        <v>5.22</v>
      </c>
      <c r="E48" s="1410">
        <v>5.58</v>
      </c>
      <c r="F48" s="1410">
        <v>5.76</v>
      </c>
      <c r="G48" s="1410">
        <v>5.85</v>
      </c>
      <c r="H48" s="1410">
        <v>6.12</v>
      </c>
      <c r="I48" s="1410">
        <v>3.96</v>
      </c>
      <c r="J48" s="1410">
        <v>4.41</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38289</v>
      </c>
      <c r="D49" s="1410">
        <v>5.22</v>
      </c>
      <c r="E49" s="1410">
        <v>5.58</v>
      </c>
      <c r="F49" s="1410">
        <v>5.76</v>
      </c>
      <c r="G49" s="1410">
        <v>5.85</v>
      </c>
      <c r="H49" s="1410">
        <v>6.12</v>
      </c>
      <c r="I49" s="1410">
        <v>3.78</v>
      </c>
      <c r="J49" s="1410">
        <v>4.2300000000000004</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37308</v>
      </c>
      <c r="D50" s="1410">
        <v>5.04</v>
      </c>
      <c r="E50" s="1410">
        <v>5.31</v>
      </c>
      <c r="F50" s="1410">
        <v>5.49</v>
      </c>
      <c r="G50" s="1410">
        <v>5.58</v>
      </c>
      <c r="H50" s="1410">
        <v>5.76</v>
      </c>
      <c r="I50" s="1410">
        <v>3.6</v>
      </c>
      <c r="J50" s="1410">
        <v>4.05</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36321</v>
      </c>
      <c r="D51" s="1410">
        <v>5.58</v>
      </c>
      <c r="E51" s="1410">
        <v>5.85</v>
      </c>
      <c r="F51" s="1410">
        <v>5.94</v>
      </c>
      <c r="G51" s="1410">
        <v>6.03</v>
      </c>
      <c r="H51" s="1410">
        <v>6.21</v>
      </c>
      <c r="I51" s="1410">
        <v>4.1399999999999997</v>
      </c>
      <c r="J51" s="1410">
        <v>4.59</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36136</v>
      </c>
      <c r="D52" s="1410">
        <v>6.12</v>
      </c>
      <c r="E52" s="1410">
        <v>6.39</v>
      </c>
      <c r="F52" s="1410">
        <v>6.66</v>
      </c>
      <c r="G52" s="1410">
        <v>7.2</v>
      </c>
      <c r="H52" s="1410">
        <v>7.56</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35977</v>
      </c>
      <c r="D53" s="1410">
        <v>6.57</v>
      </c>
      <c r="E53" s="1410">
        <v>6.93</v>
      </c>
      <c r="F53" s="1410">
        <v>7.11</v>
      </c>
      <c r="G53" s="1410">
        <v>7.65</v>
      </c>
      <c r="H53" s="1410">
        <v>8.01</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35879</v>
      </c>
      <c r="D54" s="1410">
        <v>7.02</v>
      </c>
      <c r="E54" s="1410">
        <v>7.92</v>
      </c>
      <c r="F54" s="1410">
        <v>9</v>
      </c>
      <c r="G54" s="1410">
        <v>9.7200000000000006</v>
      </c>
      <c r="H54" s="1410">
        <v>10.35</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35726</v>
      </c>
      <c r="D55" s="1410">
        <v>7.65</v>
      </c>
      <c r="E55" s="1410">
        <v>8.64</v>
      </c>
      <c r="F55" s="1410">
        <v>9.36</v>
      </c>
      <c r="G55" s="1410">
        <v>9.9</v>
      </c>
      <c r="H55" s="1410">
        <v>10.53</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35300</v>
      </c>
      <c r="D56" s="1410">
        <v>9.18</v>
      </c>
      <c r="E56" s="1410">
        <v>10.08</v>
      </c>
      <c r="F56" s="1410">
        <v>10.98</v>
      </c>
      <c r="G56" s="1410">
        <v>11.7</v>
      </c>
      <c r="H56" s="1410">
        <v>12.42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35186</v>
      </c>
      <c r="D57" s="1410">
        <v>9.7200000000000006</v>
      </c>
      <c r="E57" s="1410">
        <v>10.98</v>
      </c>
      <c r="F57" s="1410">
        <v>13.14</v>
      </c>
      <c r="G57" s="1410">
        <v>14.94</v>
      </c>
      <c r="H57" s="1410">
        <v>15.12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34881</v>
      </c>
      <c r="D58" s="1410">
        <v>10.08</v>
      </c>
      <c r="E58" s="1410">
        <v>12.06</v>
      </c>
      <c r="F58" s="1410">
        <v>13.5</v>
      </c>
      <c r="G58" s="1410">
        <v>15.12</v>
      </c>
      <c r="H58" s="1410">
        <v>15.3</v>
      </c>
      <c r="I58" s="1410">
        <v>0</v>
      </c>
      <c r="J58" s="1410">
        <v>0</v>
      </c>
    </row>
    <row r="59" spans="2:26">
      <c r="B59" s="1410"/>
      <c r="C59" s="1411">
        <v>34700</v>
      </c>
      <c r="D59" s="1410">
        <v>9</v>
      </c>
      <c r="E59" s="1410">
        <v>10.98</v>
      </c>
      <c r="F59" s="1410">
        <v>12.96</v>
      </c>
      <c r="G59" s="1410">
        <v>14.58</v>
      </c>
      <c r="H59" s="1410">
        <v>14.76</v>
      </c>
      <c r="I59" s="1410">
        <v>0</v>
      </c>
      <c r="J59" s="1410">
        <v>0</v>
      </c>
    </row>
    <row r="60" spans="2:26">
      <c r="B60" s="1410"/>
      <c r="C60" s="1411">
        <v>34161</v>
      </c>
      <c r="D60" s="1410">
        <v>9</v>
      </c>
      <c r="E60" s="1410">
        <v>10.98</v>
      </c>
      <c r="F60" s="1410">
        <v>12.24</v>
      </c>
      <c r="G60" s="1410">
        <v>13.86</v>
      </c>
      <c r="H60" s="1410">
        <v>14.04</v>
      </c>
      <c r="I60" s="1410">
        <v>0</v>
      </c>
      <c r="J60" s="1410">
        <v>0</v>
      </c>
    </row>
    <row r="61" spans="2:26">
      <c r="B61" s="1410"/>
      <c r="C61" s="1411">
        <v>34104</v>
      </c>
      <c r="D61" s="1410">
        <v>8.82</v>
      </c>
      <c r="E61" s="1410">
        <v>9.36</v>
      </c>
      <c r="F61" s="1410">
        <v>10.8</v>
      </c>
      <c r="G61" s="1410">
        <v>12.06</v>
      </c>
      <c r="H61" s="1410">
        <v>12.24</v>
      </c>
      <c r="I61" s="1410">
        <v>0</v>
      </c>
      <c r="J61" s="1410">
        <v>0</v>
      </c>
    </row>
    <row r="62" spans="2:26">
      <c r="B62" s="1410"/>
      <c r="C62" s="1411">
        <v>33349</v>
      </c>
      <c r="D62" s="1410">
        <v>8.1</v>
      </c>
      <c r="E62" s="1410">
        <v>8.64</v>
      </c>
      <c r="F62" s="1410">
        <v>9</v>
      </c>
      <c r="G62" s="1410">
        <v>9.5399999999999991</v>
      </c>
      <c r="H62" s="1410">
        <v>9.7200000000000006</v>
      </c>
      <c r="I62" s="1410">
        <v>0</v>
      </c>
      <c r="J62" s="1410">
        <v>0</v>
      </c>
    </row>
    <row r="63" spans="2:26">
      <c r="B63" s="1410"/>
      <c r="C63" s="1411">
        <v>33318</v>
      </c>
      <c r="D63" s="1410">
        <v>9</v>
      </c>
      <c r="E63" s="1410">
        <v>10.08</v>
      </c>
      <c r="F63" s="1410">
        <v>10.8</v>
      </c>
      <c r="G63" s="1410">
        <v>11.52</v>
      </c>
      <c r="H63" s="1410">
        <v>11.88</v>
      </c>
      <c r="I63" s="1410" t="s">
        <v>1058</v>
      </c>
      <c r="J63" s="1410" t="s">
        <v>1058</v>
      </c>
    </row>
    <row r="64" spans="2:26">
      <c r="B64" s="1410"/>
      <c r="C64" s="1411">
        <v>33106</v>
      </c>
      <c r="D64" s="1410">
        <v>8.64</v>
      </c>
      <c r="E64" s="1410">
        <v>9.36</v>
      </c>
      <c r="F64" s="1410">
        <v>10.08</v>
      </c>
      <c r="G64" s="1410">
        <v>10.8</v>
      </c>
      <c r="H64" s="1410">
        <v>11.16</v>
      </c>
      <c r="I64" s="1410">
        <v>0</v>
      </c>
      <c r="J64" s="1410">
        <v>0</v>
      </c>
    </row>
    <row r="65" spans="2:10">
      <c r="B65" s="1410"/>
      <c r="C65" s="1411">
        <v>32540</v>
      </c>
      <c r="D65" s="1410">
        <v>11.34</v>
      </c>
      <c r="E65" s="1410">
        <v>11.34</v>
      </c>
      <c r="F65" s="1410">
        <v>12.78</v>
      </c>
      <c r="G65" s="1410">
        <v>14.4</v>
      </c>
      <c r="H65" s="1410">
        <v>19.260000000000002</v>
      </c>
      <c r="I65" s="1410">
        <v>0</v>
      </c>
      <c r="J65" s="1410">
        <v>0</v>
      </c>
    </row>
    <row r="66" spans="2:10">
      <c r="B66" s="1410"/>
      <c r="C66" s="1411"/>
      <c r="D66" s="1410"/>
      <c r="E66" s="1410"/>
      <c r="F66" s="1410"/>
      <c r="G66" s="1410"/>
      <c r="H66" s="1410"/>
      <c r="I66" s="1410"/>
      <c r="J66" s="1410"/>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362"/>
      <c r="C70" s="1362"/>
      <c r="D70" s="1362"/>
      <c r="E70" s="1362"/>
      <c r="F70" s="1362"/>
      <c r="G70" s="1362"/>
      <c r="H70" s="1362"/>
      <c r="I70" s="1362"/>
      <c r="J70" s="1362"/>
    </row>
    <row r="71" spans="2:10">
      <c r="B71" s="1362"/>
      <c r="C71" s="1362"/>
      <c r="D71" s="1362"/>
      <c r="E71" s="1362"/>
      <c r="F71" s="1362"/>
      <c r="G71" s="1362"/>
      <c r="H71" s="1362"/>
      <c r="I71" s="1362"/>
      <c r="J71" s="1362"/>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1"/>
  <sheetViews>
    <sheetView topLeftCell="E1" workbookViewId="0">
      <selection activeCell="AD10" sqref="AD10"/>
    </sheetView>
  </sheetViews>
  <sheetFormatPr defaultColWidth="9" defaultRowHeight="12"/>
  <cols>
    <col min="1" max="1" width="20" style="3243" customWidth="1"/>
    <col min="2" max="2" width="13.75" style="3243" hidden="1" customWidth="1"/>
    <col min="3" max="4" width="20" style="3243" hidden="1" customWidth="1"/>
    <col min="5" max="5" width="20" style="3243" customWidth="1"/>
    <col min="6" max="6" width="20" style="3243" hidden="1" customWidth="1"/>
    <col min="7" max="7" width="13.375" style="3243" customWidth="1"/>
    <col min="8" max="8" width="12.375" style="3243" customWidth="1"/>
    <col min="9" max="9" width="6.75" style="3243" customWidth="1"/>
    <col min="10" max="10" width="20" style="3243" customWidth="1"/>
    <col min="11" max="11" width="13.375" style="3243" customWidth="1"/>
    <col min="12" max="13" width="20" style="3243" hidden="1" customWidth="1"/>
    <col min="14" max="14" width="20" style="3243" customWidth="1"/>
    <col min="15" max="15" width="12.125" style="3243" customWidth="1"/>
    <col min="16" max="16" width="12.125" style="3243" hidden="1" customWidth="1"/>
    <col min="17" max="17" width="12.125" style="3243" customWidth="1"/>
    <col min="18" max="18" width="12.125" style="3243" hidden="1" customWidth="1"/>
    <col min="19" max="19" width="14.5" style="3243" customWidth="1"/>
    <col min="20" max="21" width="20" style="3243" hidden="1" customWidth="1"/>
    <col min="22" max="22" width="10.125" style="3243" customWidth="1"/>
    <col min="23" max="23" width="12.25" style="3243" customWidth="1"/>
    <col min="24" max="28" width="20" style="3243" hidden="1" customWidth="1"/>
    <col min="29" max="29" width="20" style="3243" customWidth="1"/>
    <col min="30" max="16384" width="9" style="3243"/>
  </cols>
  <sheetData>
    <row r="1" spans="1:30" ht="13.5">
      <c r="A1" s="3243" t="s">
        <v>3260</v>
      </c>
      <c r="B1" s="3243" t="s">
        <v>3261</v>
      </c>
      <c r="C1" s="3243" t="s">
        <v>3262</v>
      </c>
      <c r="D1" s="3243" t="s">
        <v>3263</v>
      </c>
      <c r="E1" s="3243" t="s">
        <v>3264</v>
      </c>
      <c r="F1" s="3243" t="s">
        <v>3265</v>
      </c>
      <c r="G1" s="3243" t="s">
        <v>3266</v>
      </c>
      <c r="H1" s="3243" t="s">
        <v>3267</v>
      </c>
      <c r="I1" s="3243" t="s">
        <v>3268</v>
      </c>
      <c r="J1" s="3243" t="s">
        <v>3269</v>
      </c>
      <c r="K1" s="3243" t="s">
        <v>3270</v>
      </c>
      <c r="L1" s="3243" t="s">
        <v>3271</v>
      </c>
      <c r="M1" s="3243" t="s">
        <v>3272</v>
      </c>
      <c r="N1" s="3243" t="s">
        <v>3273</v>
      </c>
      <c r="O1" s="3243" t="s">
        <v>3274</v>
      </c>
      <c r="P1" s="3243" t="s">
        <v>3275</v>
      </c>
      <c r="Q1" s="3243" t="s">
        <v>3276</v>
      </c>
      <c r="R1" s="3243" t="s">
        <v>3277</v>
      </c>
      <c r="S1" s="3243" t="s">
        <v>3278</v>
      </c>
      <c r="T1" s="3243" t="s">
        <v>3279</v>
      </c>
      <c r="U1" s="3243" t="s">
        <v>3280</v>
      </c>
      <c r="V1" s="3243" t="s">
        <v>3281</v>
      </c>
      <c r="W1" s="3243" t="s">
        <v>3282</v>
      </c>
      <c r="X1" s="3243" t="s">
        <v>3283</v>
      </c>
      <c r="Y1" s="3243" t="s">
        <v>3284</v>
      </c>
      <c r="Z1" s="3243" t="s">
        <v>3285</v>
      </c>
      <c r="AA1" s="3243" t="s">
        <v>3286</v>
      </c>
      <c r="AB1" s="3243" t="s">
        <v>3287</v>
      </c>
      <c r="AC1" s="3247" t="s">
        <v>3476</v>
      </c>
      <c r="AD1" s="3243" t="s">
        <v>3477</v>
      </c>
    </row>
    <row r="2" spans="1:30" s="3250" customFormat="1" ht="13.5">
      <c r="A2" s="3250" t="s">
        <v>3288</v>
      </c>
      <c r="B2" s="3250" t="s">
        <v>3289</v>
      </c>
      <c r="C2" s="3250" t="s">
        <v>3290</v>
      </c>
      <c r="D2" s="3250" t="s">
        <v>3291</v>
      </c>
      <c r="E2" s="3250" t="s">
        <v>3292</v>
      </c>
      <c r="F2" s="3250" t="s">
        <v>3293</v>
      </c>
      <c r="G2" s="3250">
        <v>60631.73</v>
      </c>
      <c r="H2" s="3250">
        <v>60631</v>
      </c>
      <c r="I2" s="3250" t="s">
        <v>3294</v>
      </c>
      <c r="J2" s="3250" t="s">
        <v>3295</v>
      </c>
      <c r="K2" s="3251">
        <v>44433.000497685185</v>
      </c>
      <c r="L2" s="3250" t="s">
        <v>3289</v>
      </c>
      <c r="M2" s="3250" t="s">
        <v>3298</v>
      </c>
      <c r="N2" s="3250" t="s">
        <v>3299</v>
      </c>
      <c r="O2" s="3250">
        <v>9621.02</v>
      </c>
      <c r="P2" s="3250">
        <v>105.79</v>
      </c>
      <c r="Q2" s="3250">
        <v>105.79</v>
      </c>
      <c r="R2" s="3250">
        <v>1587</v>
      </c>
      <c r="S2" s="3250">
        <v>1587</v>
      </c>
      <c r="T2" s="3250" t="s">
        <v>3297</v>
      </c>
      <c r="U2" s="3250" t="s">
        <v>3297</v>
      </c>
      <c r="V2" s="3250">
        <v>0</v>
      </c>
      <c r="W2" s="3250" t="s">
        <v>3300</v>
      </c>
      <c r="X2" s="3250" t="s">
        <v>3296</v>
      </c>
      <c r="Y2" s="3250" t="s">
        <v>3296</v>
      </c>
      <c r="Z2" s="3250" t="s">
        <v>3297</v>
      </c>
      <c r="AA2" s="3250" t="s">
        <v>3297</v>
      </c>
      <c r="AB2" s="3250" t="s">
        <v>3297</v>
      </c>
      <c r="AC2" s="3277">
        <v>1.5192000000000001</v>
      </c>
      <c r="AD2" s="3250">
        <f>ROUND(S2*$AC$2,0)</f>
        <v>2411</v>
      </c>
    </row>
    <row r="3" spans="1:30" s="3245" customFormat="1">
      <c r="A3" s="3245" t="s">
        <v>3301</v>
      </c>
      <c r="B3" s="3245" t="s">
        <v>3302</v>
      </c>
      <c r="C3" s="3245" t="s">
        <v>3290</v>
      </c>
      <c r="D3" s="3245" t="s">
        <v>3297</v>
      </c>
      <c r="E3" s="3245" t="s">
        <v>3303</v>
      </c>
      <c r="F3" s="3245" t="s">
        <v>3293</v>
      </c>
      <c r="G3" s="3245">
        <v>63922.57</v>
      </c>
      <c r="H3" s="3245">
        <v>102276</v>
      </c>
      <c r="I3" s="3245" t="s">
        <v>3304</v>
      </c>
      <c r="J3" s="3245" t="s">
        <v>3305</v>
      </c>
      <c r="K3" s="3246">
        <v>44189.000497685185</v>
      </c>
      <c r="L3" s="3245" t="s">
        <v>3302</v>
      </c>
      <c r="M3" s="3245" t="s">
        <v>3298</v>
      </c>
      <c r="N3" s="3245" t="s">
        <v>3306</v>
      </c>
      <c r="O3" s="3245">
        <v>13766.35</v>
      </c>
      <c r="P3" s="3245">
        <v>143.57</v>
      </c>
      <c r="Q3" s="3245">
        <v>143.57</v>
      </c>
      <c r="R3" s="3245">
        <v>1346</v>
      </c>
      <c r="S3" s="3245">
        <v>1346</v>
      </c>
      <c r="T3" s="3245" t="s">
        <v>3297</v>
      </c>
      <c r="U3" s="3245" t="s">
        <v>3297</v>
      </c>
      <c r="V3" s="3245">
        <v>0</v>
      </c>
      <c r="W3" s="3245" t="s">
        <v>3300</v>
      </c>
      <c r="X3" s="3245" t="s">
        <v>3296</v>
      </c>
      <c r="Y3" s="3245" t="s">
        <v>3296</v>
      </c>
      <c r="Z3" s="3245" t="s">
        <v>3297</v>
      </c>
      <c r="AA3" s="3245" t="s">
        <v>3297</v>
      </c>
      <c r="AB3" s="3245" t="s">
        <v>3297</v>
      </c>
      <c r="AD3" s="3245">
        <f>ROUND(S3*$AC$2,0)</f>
        <v>2045</v>
      </c>
    </row>
    <row r="4" spans="1:30" s="3250" customFormat="1">
      <c r="A4" s="3250" t="s">
        <v>3307</v>
      </c>
      <c r="B4" s="3250" t="s">
        <v>3308</v>
      </c>
      <c r="C4" s="3250" t="s">
        <v>3290</v>
      </c>
      <c r="D4" s="3250" t="s">
        <v>3297</v>
      </c>
      <c r="E4" s="3250" t="s">
        <v>3309</v>
      </c>
      <c r="F4" s="3250" t="s">
        <v>3293</v>
      </c>
      <c r="G4" s="3250">
        <v>47600.14</v>
      </c>
      <c r="H4" s="3250">
        <v>57120.17</v>
      </c>
      <c r="I4" s="3250" t="s">
        <v>3310</v>
      </c>
      <c r="J4" s="3250" t="s">
        <v>3295</v>
      </c>
      <c r="K4" s="3251">
        <v>44172.000497685185</v>
      </c>
      <c r="L4" s="3250" t="s">
        <v>3308</v>
      </c>
      <c r="M4" s="3250" t="s">
        <v>3298</v>
      </c>
      <c r="N4" s="3250" t="s">
        <v>3311</v>
      </c>
      <c r="O4" s="3250">
        <v>11020.35</v>
      </c>
      <c r="P4" s="3250">
        <v>154.35</v>
      </c>
      <c r="Q4" s="3250">
        <v>154.35</v>
      </c>
      <c r="R4" s="3250">
        <v>1929</v>
      </c>
      <c r="S4" s="3250">
        <v>1929</v>
      </c>
      <c r="T4" s="3250" t="s">
        <v>3297</v>
      </c>
      <c r="U4" s="3250" t="s">
        <v>3297</v>
      </c>
      <c r="V4" s="3250">
        <v>0</v>
      </c>
      <c r="W4" s="3250" t="s">
        <v>3300</v>
      </c>
      <c r="X4" s="3250" t="s">
        <v>3296</v>
      </c>
      <c r="Y4" s="3250" t="s">
        <v>3296</v>
      </c>
      <c r="Z4" s="3250" t="s">
        <v>3297</v>
      </c>
      <c r="AA4" s="3250" t="s">
        <v>3297</v>
      </c>
      <c r="AB4" s="3250" t="s">
        <v>3297</v>
      </c>
      <c r="AD4" s="3250">
        <f t="shared" ref="AD4:AD6" si="0">ROUND(S4*$AC$2,0)</f>
        <v>2931</v>
      </c>
    </row>
    <row r="5" spans="1:30" s="3245" customFormat="1">
      <c r="A5" s="3245" t="s">
        <v>3312</v>
      </c>
      <c r="B5" s="3245" t="s">
        <v>3313</v>
      </c>
      <c r="C5" s="3245" t="s">
        <v>3290</v>
      </c>
      <c r="D5" s="3245" t="s">
        <v>3297</v>
      </c>
      <c r="E5" s="3245" t="s">
        <v>3314</v>
      </c>
      <c r="F5" s="3245" t="s">
        <v>3293</v>
      </c>
      <c r="G5" s="3245">
        <v>65233.04</v>
      </c>
      <c r="H5" s="3245">
        <v>96104</v>
      </c>
      <c r="I5" s="3245" t="s">
        <v>3304</v>
      </c>
      <c r="J5" s="3245" t="s">
        <v>3315</v>
      </c>
      <c r="K5" s="3246">
        <v>43664.000497685185</v>
      </c>
      <c r="L5" s="3245" t="s">
        <v>3313</v>
      </c>
      <c r="M5" s="3245" t="s">
        <v>3298</v>
      </c>
      <c r="N5" s="3245" t="s">
        <v>3306</v>
      </c>
      <c r="O5" s="3245">
        <v>12877.94</v>
      </c>
      <c r="P5" s="3245">
        <v>131.61000000000001</v>
      </c>
      <c r="Q5" s="3245">
        <v>131.61000000000001</v>
      </c>
      <c r="R5" s="3245">
        <v>1340</v>
      </c>
      <c r="S5" s="3245">
        <v>1340</v>
      </c>
      <c r="T5" s="3245" t="s">
        <v>3297</v>
      </c>
      <c r="U5" s="3245" t="s">
        <v>3297</v>
      </c>
      <c r="V5" s="3245">
        <v>0</v>
      </c>
      <c r="W5" s="3245" t="s">
        <v>3300</v>
      </c>
      <c r="X5" s="3245" t="s">
        <v>3296</v>
      </c>
      <c r="Y5" s="3245" t="s">
        <v>3296</v>
      </c>
      <c r="Z5" s="3245" t="s">
        <v>3297</v>
      </c>
      <c r="AA5" s="3245" t="s">
        <v>3297</v>
      </c>
      <c r="AB5" s="3245" t="s">
        <v>3297</v>
      </c>
      <c r="AD5" s="3245">
        <f t="shared" si="0"/>
        <v>2036</v>
      </c>
    </row>
    <row r="6" spans="1:30" s="3245" customFormat="1">
      <c r="A6" s="3245" t="s">
        <v>3316</v>
      </c>
      <c r="B6" s="3245" t="s">
        <v>3317</v>
      </c>
      <c r="C6" s="3245" t="s">
        <v>3290</v>
      </c>
      <c r="D6" s="3245" t="s">
        <v>3297</v>
      </c>
      <c r="E6" s="3245" t="s">
        <v>3318</v>
      </c>
      <c r="F6" s="3245" t="s">
        <v>3293</v>
      </c>
      <c r="G6" s="3245">
        <v>20000</v>
      </c>
      <c r="H6" s="3245">
        <v>24000</v>
      </c>
      <c r="I6" s="3245" t="s">
        <v>3319</v>
      </c>
      <c r="J6" s="3245" t="s">
        <v>3320</v>
      </c>
      <c r="K6" s="3246">
        <v>43476.000497685185</v>
      </c>
      <c r="L6" s="3245" t="s">
        <v>3317</v>
      </c>
      <c r="M6" s="3245" t="s">
        <v>3298</v>
      </c>
      <c r="N6" s="3245" t="s">
        <v>3321</v>
      </c>
      <c r="O6" s="3245">
        <v>3271.5</v>
      </c>
      <c r="P6" s="3245">
        <v>109.05</v>
      </c>
      <c r="Q6" s="3245">
        <v>109.05</v>
      </c>
      <c r="R6" s="3245">
        <v>1363</v>
      </c>
      <c r="S6" s="3245">
        <v>1363</v>
      </c>
      <c r="T6" s="3245" t="s">
        <v>3297</v>
      </c>
      <c r="U6" s="3245" t="s">
        <v>3297</v>
      </c>
      <c r="V6" s="3245">
        <v>0</v>
      </c>
      <c r="W6" s="3245" t="s">
        <v>3300</v>
      </c>
      <c r="X6" s="3245" t="s">
        <v>3296</v>
      </c>
      <c r="Y6" s="3245" t="s">
        <v>3296</v>
      </c>
      <c r="Z6" s="3245" t="s">
        <v>3297</v>
      </c>
      <c r="AA6" s="3245" t="s">
        <v>3297</v>
      </c>
      <c r="AB6" s="3245" t="s">
        <v>3297</v>
      </c>
      <c r="AD6" s="3245">
        <f t="shared" si="0"/>
        <v>2071</v>
      </c>
    </row>
    <row r="7" spans="1:30">
      <c r="A7" s="3243" t="s">
        <v>3322</v>
      </c>
      <c r="B7" s="3243" t="s">
        <v>3323</v>
      </c>
      <c r="C7" s="3243" t="s">
        <v>3290</v>
      </c>
      <c r="D7" s="3243" t="s">
        <v>3297</v>
      </c>
      <c r="E7" s="3243" t="s">
        <v>3318</v>
      </c>
      <c r="F7" s="3243" t="s">
        <v>3293</v>
      </c>
      <c r="G7" s="3243">
        <v>38375</v>
      </c>
      <c r="H7" s="3243">
        <v>46050</v>
      </c>
      <c r="I7" s="3243" t="s">
        <v>3319</v>
      </c>
      <c r="J7" s="3243" t="s">
        <v>3320</v>
      </c>
      <c r="K7" s="3244">
        <v>43469.000497685185</v>
      </c>
      <c r="L7" s="3243" t="s">
        <v>3323</v>
      </c>
      <c r="M7" s="3243" t="s">
        <v>3298</v>
      </c>
      <c r="N7" s="3243" t="s">
        <v>3324</v>
      </c>
      <c r="O7" s="3243">
        <v>10703.66</v>
      </c>
      <c r="P7" s="3243">
        <v>185.95</v>
      </c>
      <c r="Q7" s="3243">
        <v>185.95</v>
      </c>
      <c r="R7" s="3243">
        <v>2324</v>
      </c>
      <c r="S7" s="3243">
        <v>2324</v>
      </c>
      <c r="T7" s="3243" t="s">
        <v>3297</v>
      </c>
      <c r="U7" s="3243" t="s">
        <v>3297</v>
      </c>
      <c r="V7" s="3243">
        <v>0</v>
      </c>
      <c r="W7" s="3243" t="s">
        <v>3300</v>
      </c>
      <c r="X7" s="3243" t="s">
        <v>3296</v>
      </c>
      <c r="Y7" s="3243" t="s">
        <v>3296</v>
      </c>
      <c r="Z7" s="3243" t="s">
        <v>3297</v>
      </c>
      <c r="AA7" s="3243" t="s">
        <v>3297</v>
      </c>
      <c r="AB7" s="3243" t="s">
        <v>3297</v>
      </c>
    </row>
    <row r="8" spans="1:30">
      <c r="A8" s="3243" t="s">
        <v>3325</v>
      </c>
      <c r="B8" s="3243" t="s">
        <v>3326</v>
      </c>
      <c r="C8" s="3243" t="s">
        <v>3290</v>
      </c>
      <c r="D8" s="3243" t="s">
        <v>3297</v>
      </c>
      <c r="E8" s="3243" t="s">
        <v>3309</v>
      </c>
      <c r="F8" s="3243" t="s">
        <v>3293</v>
      </c>
      <c r="G8" s="3243">
        <v>55333.599999999999</v>
      </c>
      <c r="H8" s="3243">
        <v>66400</v>
      </c>
      <c r="I8" s="3243" t="s">
        <v>3310</v>
      </c>
      <c r="J8" s="3243" t="s">
        <v>3320</v>
      </c>
      <c r="K8" s="3244">
        <v>42817.000497685185</v>
      </c>
      <c r="L8" s="3243" t="s">
        <v>3326</v>
      </c>
      <c r="M8" s="3243" t="s">
        <v>3298</v>
      </c>
      <c r="N8" s="3243" t="s">
        <v>3327</v>
      </c>
      <c r="O8" s="3243">
        <v>9634</v>
      </c>
      <c r="P8" s="3243">
        <v>116.07</v>
      </c>
      <c r="Q8" s="3243">
        <v>116.07</v>
      </c>
      <c r="R8" s="3243">
        <v>1451</v>
      </c>
      <c r="S8" s="3243">
        <v>1451</v>
      </c>
      <c r="T8" s="3243" t="s">
        <v>3297</v>
      </c>
      <c r="U8" s="3243" t="s">
        <v>3297</v>
      </c>
      <c r="V8" s="3243">
        <v>0</v>
      </c>
      <c r="W8" s="3243" t="s">
        <v>3328</v>
      </c>
      <c r="X8" s="3243" t="s">
        <v>3296</v>
      </c>
      <c r="Y8" s="3243" t="s">
        <v>3296</v>
      </c>
      <c r="Z8" s="3243" t="s">
        <v>3297</v>
      </c>
      <c r="AA8" s="3243" t="s">
        <v>3297</v>
      </c>
      <c r="AB8" s="3243" t="s">
        <v>3297</v>
      </c>
    </row>
    <row r="9" spans="1:30">
      <c r="A9" s="3243" t="s">
        <v>3329</v>
      </c>
      <c r="B9" s="3243" t="s">
        <v>3330</v>
      </c>
      <c r="C9" s="3243" t="s">
        <v>3290</v>
      </c>
      <c r="D9" s="3243" t="s">
        <v>3297</v>
      </c>
      <c r="E9" s="3243" t="s">
        <v>3331</v>
      </c>
      <c r="F9" s="3243" t="s">
        <v>3293</v>
      </c>
      <c r="G9" s="3243">
        <v>57769</v>
      </c>
      <c r="H9" s="3243">
        <v>57769</v>
      </c>
      <c r="I9" s="3243" t="s">
        <v>3294</v>
      </c>
      <c r="J9" s="3243" t="s">
        <v>3295</v>
      </c>
      <c r="K9" s="3244">
        <v>42698.000497685185</v>
      </c>
      <c r="L9" s="3243" t="s">
        <v>3330</v>
      </c>
      <c r="M9" s="3243" t="s">
        <v>3298</v>
      </c>
      <c r="N9" s="3243" t="s">
        <v>3332</v>
      </c>
      <c r="O9" s="3243">
        <v>7505</v>
      </c>
      <c r="P9" s="3243">
        <v>86.61</v>
      </c>
      <c r="Q9" s="3243">
        <v>86.61</v>
      </c>
      <c r="R9" s="3243">
        <v>1299</v>
      </c>
      <c r="S9" s="3243">
        <v>1299</v>
      </c>
      <c r="T9" s="3243" t="s">
        <v>3297</v>
      </c>
      <c r="U9" s="3243" t="s">
        <v>3297</v>
      </c>
      <c r="V9" s="3243">
        <v>0</v>
      </c>
      <c r="W9" s="3243" t="s">
        <v>3328</v>
      </c>
      <c r="X9" s="3243" t="s">
        <v>3296</v>
      </c>
      <c r="Y9" s="3243" t="s">
        <v>3296</v>
      </c>
      <c r="Z9" s="3243" t="s">
        <v>3297</v>
      </c>
      <c r="AA9" s="3243" t="s">
        <v>3297</v>
      </c>
      <c r="AB9" s="3243" t="s">
        <v>3297</v>
      </c>
    </row>
    <row r="10" spans="1:30">
      <c r="A10" s="3243" t="s">
        <v>3333</v>
      </c>
      <c r="B10" s="3243" t="s">
        <v>3334</v>
      </c>
      <c r="C10" s="3243" t="s">
        <v>3290</v>
      </c>
      <c r="D10" s="3243" t="s">
        <v>3297</v>
      </c>
      <c r="E10" s="3243" t="s">
        <v>3335</v>
      </c>
      <c r="F10" s="3243" t="s">
        <v>3293</v>
      </c>
      <c r="G10" s="3243">
        <v>32779.72</v>
      </c>
      <c r="H10" s="3243">
        <v>39335.660000000003</v>
      </c>
      <c r="I10" s="3243" t="s">
        <v>3310</v>
      </c>
      <c r="J10" s="3243" t="s">
        <v>3295</v>
      </c>
      <c r="K10" s="3244">
        <v>42698.000497685185</v>
      </c>
      <c r="L10" s="3243" t="s">
        <v>3334</v>
      </c>
      <c r="M10" s="3243" t="s">
        <v>3298</v>
      </c>
      <c r="N10" s="3243" t="s">
        <v>3336</v>
      </c>
      <c r="O10" s="3243">
        <v>4456</v>
      </c>
      <c r="P10" s="3243">
        <v>90.63</v>
      </c>
      <c r="Q10" s="3243">
        <v>90.63</v>
      </c>
      <c r="R10" s="3243">
        <v>1133</v>
      </c>
      <c r="S10" s="3243">
        <v>1133</v>
      </c>
      <c r="T10" s="3243" t="s">
        <v>3297</v>
      </c>
      <c r="U10" s="3243" t="s">
        <v>3297</v>
      </c>
      <c r="V10" s="3243">
        <v>0</v>
      </c>
      <c r="W10" s="3243" t="s">
        <v>3328</v>
      </c>
      <c r="X10" s="3243" t="s">
        <v>3296</v>
      </c>
      <c r="Y10" s="3243" t="s">
        <v>3296</v>
      </c>
      <c r="Z10" s="3243" t="s">
        <v>3297</v>
      </c>
      <c r="AA10" s="3243" t="s">
        <v>3297</v>
      </c>
      <c r="AB10" s="3243" t="s">
        <v>3297</v>
      </c>
    </row>
    <row r="11" spans="1:30">
      <c r="A11" s="3243" t="s">
        <v>3337</v>
      </c>
      <c r="B11" s="3243" t="s">
        <v>3338</v>
      </c>
      <c r="C11" s="3243" t="s">
        <v>3290</v>
      </c>
      <c r="D11" s="3243" t="s">
        <v>3297</v>
      </c>
      <c r="E11" s="3243" t="s">
        <v>3309</v>
      </c>
      <c r="F11" s="3243" t="s">
        <v>3293</v>
      </c>
      <c r="G11" s="3243">
        <v>32326.54</v>
      </c>
      <c r="H11" s="3243">
        <v>38791.85</v>
      </c>
      <c r="I11" s="3243" t="s">
        <v>3310</v>
      </c>
      <c r="J11" s="3243" t="s">
        <v>3320</v>
      </c>
      <c r="K11" s="3244">
        <v>42401.000497685185</v>
      </c>
      <c r="L11" s="3243" t="s">
        <v>3338</v>
      </c>
      <c r="M11" s="3243" t="s">
        <v>3298</v>
      </c>
      <c r="N11" s="3243" t="s">
        <v>3339</v>
      </c>
      <c r="O11" s="3243">
        <v>4194</v>
      </c>
      <c r="P11" s="3243">
        <v>86.49</v>
      </c>
      <c r="Q11" s="3243">
        <v>86.49</v>
      </c>
      <c r="R11" s="3243">
        <v>1081</v>
      </c>
      <c r="S11" s="3243">
        <v>1081</v>
      </c>
      <c r="T11" s="3243" t="s">
        <v>3297</v>
      </c>
      <c r="U11" s="3243" t="s">
        <v>3297</v>
      </c>
      <c r="V11" s="3243">
        <v>0</v>
      </c>
      <c r="W11" s="3243" t="s">
        <v>3328</v>
      </c>
      <c r="X11" s="3243" t="s">
        <v>3296</v>
      </c>
      <c r="Y11" s="3243" t="s">
        <v>3296</v>
      </c>
      <c r="Z11" s="3243" t="s">
        <v>3297</v>
      </c>
      <c r="AA11" s="3243" t="s">
        <v>3297</v>
      </c>
      <c r="AB11" s="3243" t="s">
        <v>3297</v>
      </c>
    </row>
    <row r="12" spans="1:30">
      <c r="A12" s="3243" t="s">
        <v>3340</v>
      </c>
      <c r="B12" s="3243" t="s">
        <v>3341</v>
      </c>
      <c r="C12" s="3243" t="s">
        <v>3290</v>
      </c>
      <c r="D12" s="3243" t="s">
        <v>3297</v>
      </c>
      <c r="E12" s="3243" t="s">
        <v>3309</v>
      </c>
      <c r="F12" s="3243" t="s">
        <v>3293</v>
      </c>
      <c r="G12" s="3243">
        <v>31995.71</v>
      </c>
      <c r="H12" s="3243">
        <v>38394.85</v>
      </c>
      <c r="I12" s="3243" t="s">
        <v>3310</v>
      </c>
      <c r="J12" s="3243" t="s">
        <v>3320</v>
      </c>
      <c r="K12" s="3244">
        <v>42397.000497685185</v>
      </c>
      <c r="L12" s="3243" t="s">
        <v>3341</v>
      </c>
      <c r="M12" s="3243" t="s">
        <v>3298</v>
      </c>
      <c r="N12" s="3243" t="s">
        <v>3342</v>
      </c>
      <c r="O12" s="3243">
        <v>4151</v>
      </c>
      <c r="P12" s="3243">
        <v>86.49</v>
      </c>
      <c r="Q12" s="3243">
        <v>86.49</v>
      </c>
      <c r="R12" s="3243">
        <v>1081</v>
      </c>
      <c r="S12" s="3243">
        <v>1081</v>
      </c>
      <c r="T12" s="3243" t="s">
        <v>3297</v>
      </c>
      <c r="U12" s="3243" t="s">
        <v>3297</v>
      </c>
      <c r="V12" s="3243">
        <v>0</v>
      </c>
      <c r="W12" s="3243" t="s">
        <v>3328</v>
      </c>
      <c r="X12" s="3243" t="s">
        <v>3296</v>
      </c>
      <c r="Y12" s="3243" t="s">
        <v>3296</v>
      </c>
      <c r="Z12" s="3243" t="s">
        <v>3297</v>
      </c>
      <c r="AA12" s="3243" t="s">
        <v>3297</v>
      </c>
      <c r="AB12" s="3243" t="s">
        <v>3297</v>
      </c>
    </row>
    <row r="13" spans="1:30">
      <c r="A13" s="3243" t="s">
        <v>3343</v>
      </c>
      <c r="B13" s="3243" t="s">
        <v>3344</v>
      </c>
      <c r="C13" s="3243" t="s">
        <v>3290</v>
      </c>
      <c r="D13" s="3243" t="s">
        <v>3297</v>
      </c>
      <c r="E13" s="3243" t="s">
        <v>3345</v>
      </c>
      <c r="F13" s="3243" t="s">
        <v>3293</v>
      </c>
      <c r="G13" s="3243">
        <v>49749.07</v>
      </c>
      <c r="H13" s="3243">
        <v>49749.07</v>
      </c>
      <c r="I13" s="3243" t="s">
        <v>3294</v>
      </c>
      <c r="J13" s="3243" t="s">
        <v>3320</v>
      </c>
      <c r="K13" s="3244">
        <v>42394.000497685185</v>
      </c>
      <c r="L13" s="3243" t="s">
        <v>3344</v>
      </c>
      <c r="M13" s="3243" t="s">
        <v>3298</v>
      </c>
      <c r="N13" s="3243" t="s">
        <v>3346</v>
      </c>
      <c r="O13" s="3243">
        <v>6156</v>
      </c>
      <c r="P13" s="3243">
        <v>82.49</v>
      </c>
      <c r="Q13" s="3243">
        <v>82.49</v>
      </c>
      <c r="R13" s="3243">
        <v>1237</v>
      </c>
      <c r="S13" s="3243">
        <v>1237</v>
      </c>
      <c r="T13" s="3243" t="s">
        <v>3297</v>
      </c>
      <c r="U13" s="3243" t="s">
        <v>3297</v>
      </c>
      <c r="V13" s="3243">
        <v>0</v>
      </c>
      <c r="W13" s="3243" t="s">
        <v>3328</v>
      </c>
      <c r="X13" s="3243" t="s">
        <v>3296</v>
      </c>
      <c r="Y13" s="3243" t="s">
        <v>3296</v>
      </c>
      <c r="Z13" s="3243" t="s">
        <v>3297</v>
      </c>
      <c r="AA13" s="3243" t="s">
        <v>3297</v>
      </c>
      <c r="AB13" s="3243" t="s">
        <v>3297</v>
      </c>
    </row>
    <row r="14" spans="1:30">
      <c r="A14" s="3243" t="s">
        <v>3347</v>
      </c>
      <c r="B14" s="3243" t="s">
        <v>3348</v>
      </c>
      <c r="C14" s="3243" t="s">
        <v>3290</v>
      </c>
      <c r="D14" s="3243" t="s">
        <v>3297</v>
      </c>
      <c r="E14" s="3243" t="s">
        <v>3349</v>
      </c>
      <c r="F14" s="3243" t="s">
        <v>3293</v>
      </c>
      <c r="G14" s="3243">
        <v>10121</v>
      </c>
      <c r="H14" s="3243">
        <v>10121</v>
      </c>
      <c r="I14" s="3243" t="s">
        <v>3350</v>
      </c>
      <c r="J14" s="3243" t="s">
        <v>3320</v>
      </c>
      <c r="K14" s="3244">
        <v>42362.000497685185</v>
      </c>
      <c r="L14" s="3243" t="s">
        <v>3348</v>
      </c>
      <c r="M14" s="3243" t="s">
        <v>3298</v>
      </c>
      <c r="N14" s="3243" t="s">
        <v>3351</v>
      </c>
      <c r="O14" s="3243">
        <v>926</v>
      </c>
      <c r="P14" s="3243">
        <v>61</v>
      </c>
      <c r="Q14" s="3243">
        <v>61</v>
      </c>
      <c r="R14" s="3243">
        <v>915</v>
      </c>
      <c r="S14" s="3243">
        <v>915</v>
      </c>
      <c r="T14" s="3243" t="s">
        <v>3297</v>
      </c>
      <c r="U14" s="3243" t="s">
        <v>3297</v>
      </c>
      <c r="V14" s="3243">
        <v>0</v>
      </c>
      <c r="W14" s="3243" t="s">
        <v>3328</v>
      </c>
      <c r="X14" s="3243" t="s">
        <v>3296</v>
      </c>
      <c r="Y14" s="3243" t="s">
        <v>3296</v>
      </c>
      <c r="Z14" s="3243" t="s">
        <v>3297</v>
      </c>
      <c r="AA14" s="3243" t="s">
        <v>3297</v>
      </c>
      <c r="AB14" s="3243" t="s">
        <v>3297</v>
      </c>
    </row>
    <row r="15" spans="1:30">
      <c r="A15" s="3243" t="s">
        <v>3352</v>
      </c>
      <c r="B15" s="3243" t="s">
        <v>3353</v>
      </c>
      <c r="C15" s="3243" t="s">
        <v>3290</v>
      </c>
      <c r="D15" s="3243" t="s">
        <v>3297</v>
      </c>
      <c r="E15" s="3243" t="s">
        <v>3292</v>
      </c>
      <c r="F15" s="3243" t="s">
        <v>3293</v>
      </c>
      <c r="G15" s="3243">
        <v>25137.72</v>
      </c>
      <c r="H15" s="3243">
        <v>25137.72</v>
      </c>
      <c r="I15" s="3243" t="s">
        <v>3354</v>
      </c>
      <c r="J15" s="3243" t="s">
        <v>3320</v>
      </c>
      <c r="K15" s="3244">
        <v>42263.000497685185</v>
      </c>
      <c r="L15" s="3243" t="s">
        <v>3353</v>
      </c>
      <c r="M15" s="3243" t="s">
        <v>3298</v>
      </c>
      <c r="N15" s="3243" t="s">
        <v>3355</v>
      </c>
      <c r="O15" s="3243">
        <v>2984</v>
      </c>
      <c r="P15" s="3243">
        <v>79.14</v>
      </c>
      <c r="Q15" s="3243">
        <v>79.14</v>
      </c>
      <c r="R15" s="3243">
        <v>1187</v>
      </c>
      <c r="S15" s="3243">
        <v>1187</v>
      </c>
      <c r="T15" s="3243" t="s">
        <v>3297</v>
      </c>
      <c r="U15" s="3243" t="s">
        <v>3297</v>
      </c>
      <c r="V15" s="3243">
        <v>0</v>
      </c>
      <c r="W15" s="3243" t="s">
        <v>3328</v>
      </c>
      <c r="X15" s="3243" t="s">
        <v>3296</v>
      </c>
      <c r="Y15" s="3243" t="s">
        <v>3296</v>
      </c>
      <c r="Z15" s="3243" t="s">
        <v>3297</v>
      </c>
      <c r="AA15" s="3243" t="s">
        <v>3297</v>
      </c>
      <c r="AB15" s="3243" t="s">
        <v>3297</v>
      </c>
    </row>
    <row r="16" spans="1:30">
      <c r="A16" s="3243" t="s">
        <v>3356</v>
      </c>
      <c r="B16" s="3243" t="s">
        <v>3357</v>
      </c>
      <c r="C16" s="3243" t="s">
        <v>3290</v>
      </c>
      <c r="D16" s="3243" t="s">
        <v>3297</v>
      </c>
      <c r="E16" s="3243" t="s">
        <v>3292</v>
      </c>
      <c r="F16" s="3243" t="s">
        <v>3293</v>
      </c>
      <c r="G16" s="3243">
        <v>12530</v>
      </c>
      <c r="H16" s="3243">
        <v>12530</v>
      </c>
      <c r="I16" s="3243" t="s">
        <v>3354</v>
      </c>
      <c r="J16" s="3243" t="s">
        <v>3320</v>
      </c>
      <c r="K16" s="3244">
        <v>42263.000497685185</v>
      </c>
      <c r="L16" s="3243" t="s">
        <v>3357</v>
      </c>
      <c r="M16" s="3243" t="s">
        <v>3298</v>
      </c>
      <c r="N16" s="3243" t="s">
        <v>3355</v>
      </c>
      <c r="O16" s="3243">
        <v>1488</v>
      </c>
      <c r="P16" s="3243">
        <v>79.17</v>
      </c>
      <c r="Q16" s="3243">
        <v>79.17</v>
      </c>
      <c r="R16" s="3243">
        <v>1188</v>
      </c>
      <c r="S16" s="3243">
        <v>1188</v>
      </c>
      <c r="T16" s="3243" t="s">
        <v>3297</v>
      </c>
      <c r="U16" s="3243" t="s">
        <v>3297</v>
      </c>
      <c r="V16" s="3243">
        <v>0</v>
      </c>
      <c r="W16" s="3243" t="s">
        <v>3328</v>
      </c>
      <c r="X16" s="3243" t="s">
        <v>3296</v>
      </c>
      <c r="Y16" s="3243" t="s">
        <v>3296</v>
      </c>
      <c r="Z16" s="3243" t="s">
        <v>3297</v>
      </c>
      <c r="AA16" s="3243" t="s">
        <v>3297</v>
      </c>
      <c r="AB16" s="3243" t="s">
        <v>3297</v>
      </c>
    </row>
    <row r="17" spans="1:28">
      <c r="A17" s="3243" t="s">
        <v>3358</v>
      </c>
      <c r="B17" s="3243" t="s">
        <v>3359</v>
      </c>
      <c r="C17" s="3243" t="s">
        <v>3290</v>
      </c>
      <c r="D17" s="3243" t="s">
        <v>3297</v>
      </c>
      <c r="E17" s="3243" t="s">
        <v>3309</v>
      </c>
      <c r="F17" s="3243" t="s">
        <v>3293</v>
      </c>
      <c r="G17" s="3243">
        <v>69999.3</v>
      </c>
      <c r="H17" s="3243">
        <v>83999.16</v>
      </c>
      <c r="I17" s="3243" t="s">
        <v>3319</v>
      </c>
      <c r="J17" s="3243" t="s">
        <v>3320</v>
      </c>
      <c r="K17" s="3244">
        <v>41745.000497685185</v>
      </c>
      <c r="L17" s="3243" t="s">
        <v>3359</v>
      </c>
      <c r="M17" s="3243" t="s">
        <v>3298</v>
      </c>
      <c r="N17" s="3243" t="s">
        <v>3360</v>
      </c>
      <c r="O17" s="3243">
        <v>11315</v>
      </c>
      <c r="P17" s="3243">
        <v>107.76</v>
      </c>
      <c r="Q17" s="3243">
        <v>107.76</v>
      </c>
      <c r="R17" s="3243">
        <v>1347</v>
      </c>
      <c r="S17" s="3243">
        <v>1347</v>
      </c>
      <c r="T17" s="3243" t="s">
        <v>3297</v>
      </c>
      <c r="U17" s="3243" t="s">
        <v>3297</v>
      </c>
      <c r="V17" s="3243">
        <v>0</v>
      </c>
      <c r="W17" s="3243" t="s">
        <v>3328</v>
      </c>
      <c r="X17" s="3243" t="s">
        <v>3296</v>
      </c>
      <c r="Y17" s="3243" t="s">
        <v>3296</v>
      </c>
      <c r="Z17" s="3243" t="s">
        <v>3297</v>
      </c>
      <c r="AA17" s="3243" t="s">
        <v>3297</v>
      </c>
      <c r="AB17" s="3243" t="s">
        <v>3297</v>
      </c>
    </row>
    <row r="18" spans="1:28">
      <c r="A18" s="3243" t="s">
        <v>3361</v>
      </c>
      <c r="B18" s="3243" t="s">
        <v>3362</v>
      </c>
      <c r="C18" s="3243" t="s">
        <v>3290</v>
      </c>
      <c r="D18" s="3243" t="s">
        <v>3297</v>
      </c>
      <c r="E18" s="3243" t="s">
        <v>3363</v>
      </c>
      <c r="F18" s="3243" t="s">
        <v>3293</v>
      </c>
      <c r="G18" s="3243">
        <v>60631</v>
      </c>
      <c r="H18" s="3243">
        <v>60631</v>
      </c>
      <c r="I18" s="3243" t="s">
        <v>3364</v>
      </c>
      <c r="J18" s="3243" t="s">
        <v>3320</v>
      </c>
      <c r="K18" s="3244">
        <v>41740.000497685185</v>
      </c>
      <c r="L18" s="3243" t="s">
        <v>3362</v>
      </c>
      <c r="M18" s="3243" t="s">
        <v>3298</v>
      </c>
      <c r="N18" s="3243" t="s">
        <v>3365</v>
      </c>
      <c r="O18" s="3243">
        <v>6579</v>
      </c>
      <c r="P18" s="3243">
        <v>72.34</v>
      </c>
      <c r="Q18" s="3243">
        <v>72.34</v>
      </c>
      <c r="R18" s="3243">
        <v>1085</v>
      </c>
      <c r="S18" s="3243">
        <v>1085</v>
      </c>
      <c r="T18" s="3243" t="s">
        <v>3297</v>
      </c>
      <c r="U18" s="3243" t="s">
        <v>3297</v>
      </c>
      <c r="V18" s="3243">
        <v>0</v>
      </c>
      <c r="W18" s="3243" t="s">
        <v>3328</v>
      </c>
      <c r="X18" s="3243" t="s">
        <v>3296</v>
      </c>
      <c r="Y18" s="3243" t="s">
        <v>3296</v>
      </c>
      <c r="Z18" s="3243" t="s">
        <v>3297</v>
      </c>
      <c r="AA18" s="3243" t="s">
        <v>3297</v>
      </c>
      <c r="AB18" s="3243" t="s">
        <v>3297</v>
      </c>
    </row>
    <row r="19" spans="1:28">
      <c r="A19" s="3243" t="s">
        <v>3366</v>
      </c>
      <c r="B19" s="3243" t="s">
        <v>3367</v>
      </c>
      <c r="C19" s="3243" t="s">
        <v>3290</v>
      </c>
      <c r="D19" s="3243" t="s">
        <v>3297</v>
      </c>
      <c r="E19" s="3243" t="s">
        <v>3309</v>
      </c>
      <c r="F19" s="3243" t="s">
        <v>3293</v>
      </c>
      <c r="G19" s="3243">
        <v>16666.78</v>
      </c>
      <c r="H19" s="3243">
        <v>20000.14</v>
      </c>
      <c r="I19" s="3243" t="s">
        <v>3319</v>
      </c>
      <c r="J19" s="3243" t="s">
        <v>3320</v>
      </c>
      <c r="K19" s="3244">
        <v>41738.000497685185</v>
      </c>
      <c r="L19" s="3243" t="s">
        <v>3367</v>
      </c>
      <c r="M19" s="3243" t="s">
        <v>3298</v>
      </c>
      <c r="N19" s="3243" t="s">
        <v>3368</v>
      </c>
      <c r="O19" s="3243">
        <v>2695</v>
      </c>
      <c r="P19" s="3243">
        <v>107.8</v>
      </c>
      <c r="Q19" s="3243">
        <v>107.8</v>
      </c>
      <c r="R19" s="3243">
        <v>1347</v>
      </c>
      <c r="S19" s="3243">
        <v>1347</v>
      </c>
      <c r="T19" s="3243" t="s">
        <v>3297</v>
      </c>
      <c r="U19" s="3243" t="s">
        <v>3297</v>
      </c>
      <c r="V19" s="3243">
        <v>0</v>
      </c>
      <c r="W19" s="3243" t="s">
        <v>3328</v>
      </c>
      <c r="X19" s="3243" t="s">
        <v>3296</v>
      </c>
      <c r="Y19" s="3243" t="s">
        <v>3296</v>
      </c>
      <c r="Z19" s="3243" t="s">
        <v>3297</v>
      </c>
      <c r="AA19" s="3243" t="s">
        <v>3297</v>
      </c>
      <c r="AB19" s="3243" t="s">
        <v>3297</v>
      </c>
    </row>
    <row r="20" spans="1:28">
      <c r="A20" s="3243" t="s">
        <v>3369</v>
      </c>
      <c r="B20" s="3243" t="s">
        <v>3370</v>
      </c>
      <c r="C20" s="3243" t="s">
        <v>3290</v>
      </c>
      <c r="D20" s="3243" t="s">
        <v>3297</v>
      </c>
      <c r="E20" s="3243" t="s">
        <v>3363</v>
      </c>
      <c r="F20" s="3243" t="s">
        <v>3293</v>
      </c>
      <c r="G20" s="3243">
        <v>41557</v>
      </c>
      <c r="H20" s="3243">
        <v>41557</v>
      </c>
      <c r="I20" s="3243" t="s">
        <v>3364</v>
      </c>
      <c r="J20" s="3243" t="s">
        <v>3320</v>
      </c>
      <c r="K20" s="3244">
        <v>41737.000497685185</v>
      </c>
      <c r="L20" s="3243" t="s">
        <v>3370</v>
      </c>
      <c r="M20" s="3243" t="s">
        <v>3298</v>
      </c>
      <c r="N20" s="3243" t="s">
        <v>3371</v>
      </c>
      <c r="O20" s="3243">
        <v>4509</v>
      </c>
      <c r="P20" s="3243">
        <v>72.33</v>
      </c>
      <c r="Q20" s="3243">
        <v>72.33</v>
      </c>
      <c r="R20" s="3243">
        <v>1085</v>
      </c>
      <c r="S20" s="3243">
        <v>1085</v>
      </c>
      <c r="T20" s="3243" t="s">
        <v>3297</v>
      </c>
      <c r="U20" s="3243" t="s">
        <v>3297</v>
      </c>
      <c r="V20" s="3243">
        <v>0</v>
      </c>
      <c r="W20" s="3243" t="s">
        <v>3328</v>
      </c>
      <c r="X20" s="3243" t="s">
        <v>3296</v>
      </c>
      <c r="Y20" s="3243" t="s">
        <v>3296</v>
      </c>
      <c r="Z20" s="3243" t="s">
        <v>3297</v>
      </c>
      <c r="AA20" s="3243" t="s">
        <v>3297</v>
      </c>
      <c r="AB20" s="3243" t="s">
        <v>3297</v>
      </c>
    </row>
    <row r="21" spans="1:28">
      <c r="A21" s="3243" t="s">
        <v>3372</v>
      </c>
      <c r="B21" s="3243" t="s">
        <v>3373</v>
      </c>
      <c r="C21" s="3243" t="s">
        <v>3290</v>
      </c>
      <c r="D21" s="3243" t="s">
        <v>3297</v>
      </c>
      <c r="E21" s="3243" t="s">
        <v>3309</v>
      </c>
      <c r="F21" s="3243" t="s">
        <v>3293</v>
      </c>
      <c r="G21" s="3243">
        <v>24075.919999999998</v>
      </c>
      <c r="H21" s="3243">
        <v>20063.27</v>
      </c>
      <c r="I21" s="3243" t="s">
        <v>3374</v>
      </c>
      <c r="J21" s="3243" t="s">
        <v>3320</v>
      </c>
      <c r="K21" s="3244">
        <v>41737.000497685185</v>
      </c>
      <c r="L21" s="3243" t="s">
        <v>3373</v>
      </c>
      <c r="M21" s="3243" t="s">
        <v>3298</v>
      </c>
      <c r="N21" s="3243" t="s">
        <v>3375</v>
      </c>
      <c r="O21" s="3243">
        <v>3244</v>
      </c>
      <c r="P21" s="3243">
        <v>89.83</v>
      </c>
      <c r="Q21" s="3243">
        <v>89.83</v>
      </c>
      <c r="R21" s="3243">
        <v>1617</v>
      </c>
      <c r="S21" s="3243">
        <v>1617</v>
      </c>
      <c r="T21" s="3243" t="s">
        <v>3297</v>
      </c>
      <c r="U21" s="3243" t="s">
        <v>3297</v>
      </c>
      <c r="V21" s="3243">
        <v>0</v>
      </c>
      <c r="W21" s="3243" t="s">
        <v>3328</v>
      </c>
      <c r="X21" s="3243" t="s">
        <v>3296</v>
      </c>
      <c r="Y21" s="3243" t="s">
        <v>3296</v>
      </c>
      <c r="Z21" s="3243" t="s">
        <v>3297</v>
      </c>
      <c r="AA21" s="3243" t="s">
        <v>3297</v>
      </c>
      <c r="AB21" s="3243" t="s">
        <v>3297</v>
      </c>
    </row>
    <row r="22" spans="1:28">
      <c r="A22" s="3243" t="s">
        <v>3376</v>
      </c>
      <c r="B22" s="3243" t="s">
        <v>3377</v>
      </c>
      <c r="C22" s="3243" t="s">
        <v>3290</v>
      </c>
      <c r="D22" s="3243" t="s">
        <v>3297</v>
      </c>
      <c r="E22" s="3243" t="s">
        <v>3309</v>
      </c>
      <c r="F22" s="3243" t="s">
        <v>3293</v>
      </c>
      <c r="G22" s="3243">
        <v>23332.67</v>
      </c>
      <c r="H22" s="3243">
        <v>27999.200000000001</v>
      </c>
      <c r="I22" s="3243" t="s">
        <v>3319</v>
      </c>
      <c r="J22" s="3243" t="s">
        <v>3320</v>
      </c>
      <c r="K22" s="3244">
        <v>41732.000497685185</v>
      </c>
      <c r="L22" s="3243" t="s">
        <v>3377</v>
      </c>
      <c r="M22" s="3243" t="s">
        <v>3298</v>
      </c>
      <c r="N22" s="3243" t="s">
        <v>3378</v>
      </c>
      <c r="O22" s="3243">
        <v>3772</v>
      </c>
      <c r="P22" s="3243">
        <v>107.77</v>
      </c>
      <c r="Q22" s="3243">
        <v>107.77</v>
      </c>
      <c r="R22" s="3243">
        <v>1347</v>
      </c>
      <c r="S22" s="3243">
        <v>1347</v>
      </c>
      <c r="T22" s="3243" t="s">
        <v>3297</v>
      </c>
      <c r="U22" s="3243" t="s">
        <v>3297</v>
      </c>
      <c r="V22" s="3243">
        <v>0</v>
      </c>
      <c r="W22" s="3243" t="s">
        <v>3328</v>
      </c>
      <c r="X22" s="3243" t="s">
        <v>3296</v>
      </c>
      <c r="Y22" s="3243" t="s">
        <v>3296</v>
      </c>
      <c r="Z22" s="3243" t="s">
        <v>3297</v>
      </c>
      <c r="AA22" s="3243" t="s">
        <v>3297</v>
      </c>
      <c r="AB22" s="3243" t="s">
        <v>3297</v>
      </c>
    </row>
    <row r="23" spans="1:28">
      <c r="A23" s="3243" t="s">
        <v>3379</v>
      </c>
      <c r="B23" s="3243" t="s">
        <v>3380</v>
      </c>
      <c r="C23" s="3243" t="s">
        <v>3290</v>
      </c>
      <c r="D23" s="3243" t="s">
        <v>3297</v>
      </c>
      <c r="E23" s="3243" t="s">
        <v>3363</v>
      </c>
      <c r="F23" s="3243" t="s">
        <v>3293</v>
      </c>
      <c r="G23" s="3243">
        <v>40289</v>
      </c>
      <c r="H23" s="3243">
        <v>40289</v>
      </c>
      <c r="I23" s="3243" t="s">
        <v>3364</v>
      </c>
      <c r="J23" s="3243" t="s">
        <v>3320</v>
      </c>
      <c r="K23" s="3244">
        <v>41732.000497685185</v>
      </c>
      <c r="L23" s="3243" t="s">
        <v>3380</v>
      </c>
      <c r="M23" s="3243" t="s">
        <v>3298</v>
      </c>
      <c r="N23" s="3243" t="s">
        <v>3381</v>
      </c>
      <c r="O23" s="3243">
        <v>4372</v>
      </c>
      <c r="P23" s="3243">
        <v>72.34</v>
      </c>
      <c r="Q23" s="3243">
        <v>72.34</v>
      </c>
      <c r="R23" s="3243">
        <v>1085</v>
      </c>
      <c r="S23" s="3243">
        <v>1085</v>
      </c>
      <c r="T23" s="3243" t="s">
        <v>3297</v>
      </c>
      <c r="U23" s="3243" t="s">
        <v>3297</v>
      </c>
      <c r="V23" s="3243">
        <v>0</v>
      </c>
      <c r="W23" s="3243" t="s">
        <v>3328</v>
      </c>
      <c r="X23" s="3243" t="s">
        <v>3296</v>
      </c>
      <c r="Y23" s="3243" t="s">
        <v>3296</v>
      </c>
      <c r="Z23" s="3243" t="s">
        <v>3297</v>
      </c>
      <c r="AA23" s="3243" t="s">
        <v>3297</v>
      </c>
      <c r="AB23" s="3243" t="s">
        <v>3297</v>
      </c>
    </row>
    <row r="24" spans="1:28">
      <c r="A24" s="3243" t="s">
        <v>3382</v>
      </c>
      <c r="B24" s="3243" t="s">
        <v>3383</v>
      </c>
      <c r="C24" s="3243" t="s">
        <v>3290</v>
      </c>
      <c r="D24" s="3243" t="s">
        <v>3297</v>
      </c>
      <c r="E24" s="3243" t="s">
        <v>3309</v>
      </c>
      <c r="F24" s="3243" t="s">
        <v>3293</v>
      </c>
      <c r="G24" s="3243">
        <v>13526.61</v>
      </c>
      <c r="H24" s="3243">
        <v>13526.61</v>
      </c>
      <c r="I24" s="3243" t="s">
        <v>3364</v>
      </c>
      <c r="J24" s="3243" t="s">
        <v>3320</v>
      </c>
      <c r="K24" s="3244">
        <v>41732.000497685185</v>
      </c>
      <c r="L24" s="3243" t="s">
        <v>3383</v>
      </c>
      <c r="M24" s="3243" t="s">
        <v>3298</v>
      </c>
      <c r="N24" s="3243" t="s">
        <v>3384</v>
      </c>
      <c r="O24" s="3243">
        <v>1746</v>
      </c>
      <c r="P24" s="3243">
        <v>86.05</v>
      </c>
      <c r="Q24" s="3243">
        <v>86.05</v>
      </c>
      <c r="R24" s="3243">
        <v>1291</v>
      </c>
      <c r="S24" s="3243">
        <v>1291</v>
      </c>
      <c r="T24" s="3243" t="s">
        <v>3297</v>
      </c>
      <c r="U24" s="3243" t="s">
        <v>3297</v>
      </c>
      <c r="V24" s="3243">
        <v>0</v>
      </c>
      <c r="W24" s="3243" t="s">
        <v>3328</v>
      </c>
      <c r="X24" s="3243" t="s">
        <v>3296</v>
      </c>
      <c r="Y24" s="3243" t="s">
        <v>3296</v>
      </c>
      <c r="Z24" s="3243" t="s">
        <v>3297</v>
      </c>
      <c r="AA24" s="3243" t="s">
        <v>3297</v>
      </c>
      <c r="AB24" s="3243" t="s">
        <v>3297</v>
      </c>
    </row>
    <row r="25" spans="1:28">
      <c r="A25" s="3243" t="s">
        <v>3385</v>
      </c>
      <c r="B25" s="3243" t="s">
        <v>3386</v>
      </c>
      <c r="C25" s="3243" t="s">
        <v>3290</v>
      </c>
      <c r="D25" s="3243" t="s">
        <v>3297</v>
      </c>
      <c r="E25" s="3243" t="s">
        <v>3309</v>
      </c>
      <c r="F25" s="3243" t="s">
        <v>3293</v>
      </c>
      <c r="G25" s="3243">
        <v>23887.03</v>
      </c>
      <c r="H25" s="3243">
        <v>28664.44</v>
      </c>
      <c r="I25" s="3243" t="s">
        <v>3319</v>
      </c>
      <c r="J25" s="3243" t="s">
        <v>3320</v>
      </c>
      <c r="K25" s="3244">
        <v>41732.000497685185</v>
      </c>
      <c r="L25" s="3243" t="s">
        <v>3386</v>
      </c>
      <c r="M25" s="3243" t="s">
        <v>3298</v>
      </c>
      <c r="N25" s="3243" t="s">
        <v>3387</v>
      </c>
      <c r="O25" s="3243">
        <v>3862</v>
      </c>
      <c r="P25" s="3243">
        <v>107.79</v>
      </c>
      <c r="Q25" s="3243">
        <v>107.79</v>
      </c>
      <c r="R25" s="3243">
        <v>1347</v>
      </c>
      <c r="S25" s="3243">
        <v>1347</v>
      </c>
      <c r="T25" s="3243" t="s">
        <v>3297</v>
      </c>
      <c r="U25" s="3243" t="s">
        <v>3297</v>
      </c>
      <c r="V25" s="3243">
        <v>0</v>
      </c>
      <c r="W25" s="3243" t="s">
        <v>3328</v>
      </c>
      <c r="X25" s="3243" t="s">
        <v>3296</v>
      </c>
      <c r="Y25" s="3243" t="s">
        <v>3296</v>
      </c>
      <c r="Z25" s="3243" t="s">
        <v>3297</v>
      </c>
      <c r="AA25" s="3243" t="s">
        <v>3297</v>
      </c>
      <c r="AB25" s="3243" t="s">
        <v>3297</v>
      </c>
    </row>
    <row r="26" spans="1:28">
      <c r="A26" s="3243" t="s">
        <v>3388</v>
      </c>
      <c r="B26" s="3243" t="s">
        <v>3389</v>
      </c>
      <c r="C26" s="3243" t="s">
        <v>3290</v>
      </c>
      <c r="D26" s="3243" t="s">
        <v>3297</v>
      </c>
      <c r="E26" s="3243" t="s">
        <v>3363</v>
      </c>
      <c r="F26" s="3243" t="s">
        <v>3293</v>
      </c>
      <c r="G26" s="3243">
        <v>233216</v>
      </c>
      <c r="H26" s="3243">
        <v>233216</v>
      </c>
      <c r="I26" s="3243" t="s">
        <v>3364</v>
      </c>
      <c r="J26" s="3243" t="s">
        <v>3320</v>
      </c>
      <c r="K26" s="3244">
        <v>41732.000497685185</v>
      </c>
      <c r="L26" s="3243" t="s">
        <v>3389</v>
      </c>
      <c r="M26" s="3243" t="s">
        <v>3298</v>
      </c>
      <c r="N26" s="3243" t="s">
        <v>3390</v>
      </c>
      <c r="O26" s="3243">
        <v>25304</v>
      </c>
      <c r="P26" s="3243">
        <v>72.33</v>
      </c>
      <c r="Q26" s="3243">
        <v>72.33</v>
      </c>
      <c r="R26" s="3243">
        <v>1085</v>
      </c>
      <c r="S26" s="3243">
        <v>1085</v>
      </c>
      <c r="T26" s="3243" t="s">
        <v>3297</v>
      </c>
      <c r="U26" s="3243" t="s">
        <v>3297</v>
      </c>
      <c r="V26" s="3243">
        <v>0</v>
      </c>
      <c r="W26" s="3243" t="s">
        <v>3328</v>
      </c>
      <c r="X26" s="3243" t="s">
        <v>3296</v>
      </c>
      <c r="Y26" s="3243" t="s">
        <v>3296</v>
      </c>
      <c r="Z26" s="3243" t="s">
        <v>3297</v>
      </c>
      <c r="AA26" s="3243" t="s">
        <v>3297</v>
      </c>
      <c r="AB26" s="3243" t="s">
        <v>3297</v>
      </c>
    </row>
    <row r="27" spans="1:28">
      <c r="A27" s="3243" t="s">
        <v>3391</v>
      </c>
      <c r="B27" s="3243" t="s">
        <v>3392</v>
      </c>
      <c r="C27" s="3243" t="s">
        <v>3290</v>
      </c>
      <c r="D27" s="3243" t="s">
        <v>3297</v>
      </c>
      <c r="E27" s="3243" t="s">
        <v>3393</v>
      </c>
      <c r="F27" s="3243" t="s">
        <v>3293</v>
      </c>
      <c r="G27" s="3243">
        <v>30608</v>
      </c>
      <c r="H27" s="3243">
        <v>61216</v>
      </c>
      <c r="I27" s="3243" t="s">
        <v>3394</v>
      </c>
      <c r="J27" s="3243" t="s">
        <v>3320</v>
      </c>
      <c r="K27" s="3244">
        <v>41701.000497685185</v>
      </c>
      <c r="L27" s="3243" t="s">
        <v>3392</v>
      </c>
      <c r="M27" s="3243" t="s">
        <v>3298</v>
      </c>
      <c r="N27" s="3243" t="s">
        <v>3395</v>
      </c>
      <c r="O27" s="3243">
        <v>3252</v>
      </c>
      <c r="P27" s="3243">
        <v>70.83</v>
      </c>
      <c r="Q27" s="3243">
        <v>70.83</v>
      </c>
      <c r="R27" s="3243">
        <v>531</v>
      </c>
      <c r="S27" s="3243">
        <v>531</v>
      </c>
      <c r="T27" s="3243" t="s">
        <v>3297</v>
      </c>
      <c r="U27" s="3243" t="s">
        <v>3297</v>
      </c>
      <c r="V27" s="3243">
        <v>0</v>
      </c>
      <c r="W27" s="3243" t="s">
        <v>3328</v>
      </c>
      <c r="X27" s="3243" t="s">
        <v>3296</v>
      </c>
      <c r="Y27" s="3243" t="s">
        <v>3296</v>
      </c>
      <c r="Z27" s="3243" t="s">
        <v>3297</v>
      </c>
      <c r="AA27" s="3243" t="s">
        <v>3297</v>
      </c>
      <c r="AB27" s="3243" t="s">
        <v>3297</v>
      </c>
    </row>
    <row r="28" spans="1:28">
      <c r="A28" s="3243" t="s">
        <v>3396</v>
      </c>
      <c r="B28" s="3243" t="s">
        <v>3397</v>
      </c>
      <c r="C28" s="3243" t="s">
        <v>3290</v>
      </c>
      <c r="D28" s="3243" t="s">
        <v>3297</v>
      </c>
      <c r="E28" s="3243" t="s">
        <v>3309</v>
      </c>
      <c r="F28" s="3243" t="s">
        <v>3293</v>
      </c>
      <c r="G28" s="3243">
        <v>65755.539999999994</v>
      </c>
      <c r="H28" s="3243">
        <v>78906.649999999994</v>
      </c>
      <c r="I28" s="3243" t="s">
        <v>3319</v>
      </c>
      <c r="J28" s="3243" t="s">
        <v>3320</v>
      </c>
      <c r="K28" s="3244">
        <v>41655.000497685185</v>
      </c>
      <c r="L28" s="3243" t="s">
        <v>3397</v>
      </c>
      <c r="M28" s="3243" t="s">
        <v>3298</v>
      </c>
      <c r="N28" s="3243" t="s">
        <v>3398</v>
      </c>
      <c r="O28" s="3243">
        <v>8620</v>
      </c>
      <c r="P28" s="3243">
        <v>87.39</v>
      </c>
      <c r="Q28" s="3243">
        <v>87.39</v>
      </c>
      <c r="R28" s="3243">
        <v>1092</v>
      </c>
      <c r="S28" s="3243">
        <v>1092</v>
      </c>
      <c r="T28" s="3243" t="s">
        <v>3297</v>
      </c>
      <c r="U28" s="3243" t="s">
        <v>3297</v>
      </c>
      <c r="V28" s="3243">
        <v>0</v>
      </c>
      <c r="W28" s="3243" t="s">
        <v>3328</v>
      </c>
      <c r="X28" s="3243" t="s">
        <v>3296</v>
      </c>
      <c r="Y28" s="3243" t="s">
        <v>3296</v>
      </c>
      <c r="Z28" s="3243" t="s">
        <v>3297</v>
      </c>
      <c r="AA28" s="3243" t="s">
        <v>3297</v>
      </c>
      <c r="AB28" s="3243" t="s">
        <v>3297</v>
      </c>
    </row>
    <row r="29" spans="1:28">
      <c r="A29" s="3243" t="s">
        <v>3399</v>
      </c>
      <c r="B29" s="3243" t="s">
        <v>3400</v>
      </c>
      <c r="C29" s="3243" t="s">
        <v>3290</v>
      </c>
      <c r="D29" s="3243" t="s">
        <v>3297</v>
      </c>
      <c r="E29" s="3243" t="s">
        <v>3401</v>
      </c>
      <c r="F29" s="3243" t="s">
        <v>3293</v>
      </c>
      <c r="G29" s="3243">
        <v>125646</v>
      </c>
      <c r="H29" s="3243">
        <v>184429</v>
      </c>
      <c r="I29" s="3243" t="s">
        <v>3402</v>
      </c>
      <c r="J29" s="3243" t="s">
        <v>3320</v>
      </c>
      <c r="K29" s="3244">
        <v>41639.000497685185</v>
      </c>
      <c r="L29" s="3243" t="s">
        <v>3400</v>
      </c>
      <c r="M29" s="3243" t="s">
        <v>3298</v>
      </c>
      <c r="N29" s="3243" t="s">
        <v>3403</v>
      </c>
      <c r="O29" s="3243">
        <v>13098</v>
      </c>
      <c r="P29" s="3243">
        <v>69.5</v>
      </c>
      <c r="Q29" s="3243">
        <v>69.5</v>
      </c>
      <c r="R29" s="3243">
        <v>710</v>
      </c>
      <c r="S29" s="3243">
        <v>710</v>
      </c>
      <c r="T29" s="3243" t="s">
        <v>3297</v>
      </c>
      <c r="U29" s="3243" t="s">
        <v>3297</v>
      </c>
      <c r="V29" s="3243">
        <v>0</v>
      </c>
      <c r="W29" s="3243" t="s">
        <v>3328</v>
      </c>
      <c r="X29" s="3243" t="s">
        <v>3296</v>
      </c>
      <c r="Y29" s="3243" t="s">
        <v>3296</v>
      </c>
      <c r="Z29" s="3243" t="s">
        <v>3297</v>
      </c>
      <c r="AA29" s="3243" t="s">
        <v>3297</v>
      </c>
      <c r="AB29" s="3243" t="s">
        <v>3297</v>
      </c>
    </row>
    <row r="30" spans="1:28">
      <c r="A30" s="3243" t="s">
        <v>3404</v>
      </c>
      <c r="B30" s="3243" t="s">
        <v>3405</v>
      </c>
      <c r="C30" s="3243" t="s">
        <v>3290</v>
      </c>
      <c r="D30" s="3243" t="s">
        <v>3297</v>
      </c>
      <c r="E30" s="3243" t="s">
        <v>3309</v>
      </c>
      <c r="F30" s="3243" t="s">
        <v>3293</v>
      </c>
      <c r="G30" s="3243">
        <v>27039.83</v>
      </c>
      <c r="H30" s="3243">
        <v>32447.8</v>
      </c>
      <c r="I30" s="3243" t="s">
        <v>3319</v>
      </c>
      <c r="J30" s="3243" t="s">
        <v>3320</v>
      </c>
      <c r="K30" s="3244">
        <v>41569.000497685185</v>
      </c>
      <c r="L30" s="3243" t="s">
        <v>3405</v>
      </c>
      <c r="M30" s="3243" t="s">
        <v>3298</v>
      </c>
      <c r="N30" s="3243" t="s">
        <v>3406</v>
      </c>
      <c r="O30" s="3243">
        <v>4371</v>
      </c>
      <c r="P30" s="3243">
        <v>107.77</v>
      </c>
      <c r="Q30" s="3243">
        <v>107.77</v>
      </c>
      <c r="R30" s="3243">
        <v>1347</v>
      </c>
      <c r="S30" s="3243">
        <v>1347</v>
      </c>
      <c r="T30" s="3243" t="s">
        <v>3297</v>
      </c>
      <c r="U30" s="3243" t="s">
        <v>3297</v>
      </c>
      <c r="V30" s="3243">
        <v>0</v>
      </c>
      <c r="W30" s="3243" t="s">
        <v>3328</v>
      </c>
      <c r="X30" s="3243" t="s">
        <v>3296</v>
      </c>
      <c r="Y30" s="3243" t="s">
        <v>3296</v>
      </c>
      <c r="Z30" s="3243" t="s">
        <v>3297</v>
      </c>
      <c r="AA30" s="3243" t="s">
        <v>3297</v>
      </c>
      <c r="AB30" s="3243" t="s">
        <v>3297</v>
      </c>
    </row>
    <row r="31" spans="1:28">
      <c r="A31" s="3243" t="s">
        <v>3407</v>
      </c>
      <c r="B31" s="3243" t="s">
        <v>3408</v>
      </c>
      <c r="C31" s="3243" t="s">
        <v>3290</v>
      </c>
      <c r="D31" s="3243" t="s">
        <v>3297</v>
      </c>
      <c r="E31" s="3243" t="s">
        <v>3309</v>
      </c>
      <c r="F31" s="3243" t="s">
        <v>3293</v>
      </c>
      <c r="G31" s="3243">
        <v>26951.98</v>
      </c>
      <c r="H31" s="3243">
        <v>32342.38</v>
      </c>
      <c r="I31" s="3243" t="s">
        <v>3319</v>
      </c>
      <c r="J31" s="3243" t="s">
        <v>3320</v>
      </c>
      <c r="K31" s="3244">
        <v>41565.000497685185</v>
      </c>
      <c r="L31" s="3243" t="s">
        <v>3408</v>
      </c>
      <c r="M31" s="3243" t="s">
        <v>3298</v>
      </c>
      <c r="N31" s="3243" t="s">
        <v>3409</v>
      </c>
      <c r="O31" s="3243">
        <v>4357</v>
      </c>
      <c r="P31" s="3243">
        <v>107.77</v>
      </c>
      <c r="Q31" s="3243">
        <v>107.77</v>
      </c>
      <c r="R31" s="3243">
        <v>1347</v>
      </c>
      <c r="S31" s="3243">
        <v>1347</v>
      </c>
      <c r="T31" s="3243" t="s">
        <v>3297</v>
      </c>
      <c r="U31" s="3243" t="s">
        <v>3297</v>
      </c>
      <c r="V31" s="3243">
        <v>0</v>
      </c>
      <c r="W31" s="3243" t="s">
        <v>3328</v>
      </c>
      <c r="X31" s="3243" t="s">
        <v>3296</v>
      </c>
      <c r="Y31" s="3243" t="s">
        <v>3296</v>
      </c>
      <c r="Z31" s="3243" t="s">
        <v>3297</v>
      </c>
      <c r="AA31" s="3243" t="s">
        <v>3297</v>
      </c>
      <c r="AB31" s="3243" t="s">
        <v>3297</v>
      </c>
    </row>
    <row r="32" spans="1:28">
      <c r="A32" s="3243" t="s">
        <v>3410</v>
      </c>
      <c r="B32" s="3243" t="s">
        <v>3411</v>
      </c>
      <c r="C32" s="3243" t="s">
        <v>3290</v>
      </c>
      <c r="D32" s="3243" t="s">
        <v>3297</v>
      </c>
      <c r="E32" s="3243" t="s">
        <v>3412</v>
      </c>
      <c r="F32" s="3243" t="s">
        <v>3293</v>
      </c>
      <c r="G32" s="3243">
        <v>9739.41</v>
      </c>
      <c r="H32" s="3243">
        <v>24348</v>
      </c>
      <c r="I32" s="3243" t="s">
        <v>3413</v>
      </c>
      <c r="J32" s="3243" t="s">
        <v>3414</v>
      </c>
      <c r="K32" s="3244">
        <v>41565.000497685185</v>
      </c>
      <c r="L32" s="3243" t="s">
        <v>3411</v>
      </c>
      <c r="M32" s="3243" t="s">
        <v>3298</v>
      </c>
      <c r="N32" s="3243" t="s">
        <v>3415</v>
      </c>
      <c r="O32" s="3243">
        <v>3279</v>
      </c>
      <c r="P32" s="3243">
        <v>224.45</v>
      </c>
      <c r="Q32" s="3243">
        <v>224.45</v>
      </c>
      <c r="R32" s="3243">
        <v>1347</v>
      </c>
      <c r="S32" s="3243">
        <v>1347</v>
      </c>
      <c r="T32" s="3243" t="s">
        <v>3297</v>
      </c>
      <c r="U32" s="3243" t="s">
        <v>3297</v>
      </c>
      <c r="V32" s="3243">
        <v>0</v>
      </c>
      <c r="W32" s="3243" t="s">
        <v>3328</v>
      </c>
      <c r="X32" s="3243" t="s">
        <v>3296</v>
      </c>
      <c r="Y32" s="3243" t="s">
        <v>3296</v>
      </c>
      <c r="Z32" s="3243" t="s">
        <v>3297</v>
      </c>
      <c r="AA32" s="3243" t="s">
        <v>3297</v>
      </c>
      <c r="AB32" s="3243" t="s">
        <v>3297</v>
      </c>
    </row>
    <row r="33" spans="1:28">
      <c r="A33" s="3243" t="s">
        <v>3416</v>
      </c>
      <c r="B33" s="3243" t="s">
        <v>3417</v>
      </c>
      <c r="C33" s="3243" t="s">
        <v>3290</v>
      </c>
      <c r="D33" s="3243" t="s">
        <v>3297</v>
      </c>
      <c r="E33" s="3243" t="s">
        <v>3412</v>
      </c>
      <c r="F33" s="3243" t="s">
        <v>3293</v>
      </c>
      <c r="G33" s="3243">
        <v>20008.05</v>
      </c>
      <c r="H33" s="3243">
        <v>50020</v>
      </c>
      <c r="I33" s="3243" t="s">
        <v>3413</v>
      </c>
      <c r="J33" s="3243" t="s">
        <v>3414</v>
      </c>
      <c r="K33" s="3244">
        <v>41565.000497685185</v>
      </c>
      <c r="L33" s="3243" t="s">
        <v>3417</v>
      </c>
      <c r="M33" s="3243" t="s">
        <v>3298</v>
      </c>
      <c r="N33" s="3243" t="s">
        <v>3415</v>
      </c>
      <c r="O33" s="3243">
        <v>6736</v>
      </c>
      <c r="P33" s="3243">
        <v>224.44</v>
      </c>
      <c r="Q33" s="3243">
        <v>224.44</v>
      </c>
      <c r="R33" s="3243">
        <v>1347</v>
      </c>
      <c r="S33" s="3243">
        <v>1347</v>
      </c>
      <c r="T33" s="3243" t="s">
        <v>3297</v>
      </c>
      <c r="U33" s="3243" t="s">
        <v>3297</v>
      </c>
      <c r="V33" s="3243">
        <v>0</v>
      </c>
      <c r="W33" s="3243" t="s">
        <v>3328</v>
      </c>
      <c r="X33" s="3243" t="s">
        <v>3296</v>
      </c>
      <c r="Y33" s="3243" t="s">
        <v>3296</v>
      </c>
      <c r="Z33" s="3243" t="s">
        <v>3297</v>
      </c>
      <c r="AA33" s="3243" t="s">
        <v>3297</v>
      </c>
      <c r="AB33" s="3243" t="s">
        <v>3297</v>
      </c>
    </row>
    <row r="34" spans="1:28">
      <c r="A34" s="3243" t="s">
        <v>3418</v>
      </c>
      <c r="B34" s="3243" t="s">
        <v>3419</v>
      </c>
      <c r="C34" s="3243" t="s">
        <v>3290</v>
      </c>
      <c r="D34" s="3243" t="s">
        <v>3297</v>
      </c>
      <c r="E34" s="3243" t="s">
        <v>3309</v>
      </c>
      <c r="F34" s="3243" t="s">
        <v>3293</v>
      </c>
      <c r="G34" s="3243">
        <v>23898.27</v>
      </c>
      <c r="H34" s="3243">
        <v>28677.82</v>
      </c>
      <c r="I34" s="3243" t="s">
        <v>3319</v>
      </c>
      <c r="J34" s="3243" t="s">
        <v>3320</v>
      </c>
      <c r="K34" s="3244">
        <v>41506.000497685185</v>
      </c>
      <c r="L34" s="3243" t="s">
        <v>3419</v>
      </c>
      <c r="M34" s="3243" t="s">
        <v>3298</v>
      </c>
      <c r="N34" s="3243" t="s">
        <v>3420</v>
      </c>
      <c r="O34" s="3243">
        <v>3863</v>
      </c>
      <c r="P34" s="3243">
        <v>107.76</v>
      </c>
      <c r="Q34" s="3243">
        <v>107.76</v>
      </c>
      <c r="R34" s="3243">
        <v>1347</v>
      </c>
      <c r="S34" s="3243">
        <v>1347</v>
      </c>
      <c r="T34" s="3243" t="s">
        <v>3297</v>
      </c>
      <c r="U34" s="3243" t="s">
        <v>3297</v>
      </c>
      <c r="V34" s="3243">
        <v>0</v>
      </c>
      <c r="W34" s="3243" t="s">
        <v>3328</v>
      </c>
      <c r="X34" s="3243" t="s">
        <v>3296</v>
      </c>
      <c r="Y34" s="3243" t="s">
        <v>3296</v>
      </c>
      <c r="Z34" s="3243" t="s">
        <v>3297</v>
      </c>
      <c r="AA34" s="3243" t="s">
        <v>3297</v>
      </c>
      <c r="AB34" s="3243" t="s">
        <v>3297</v>
      </c>
    </row>
    <row r="35" spans="1:28">
      <c r="A35" s="3243" t="s">
        <v>3421</v>
      </c>
      <c r="B35" s="3243" t="s">
        <v>3422</v>
      </c>
      <c r="C35" s="3243" t="s">
        <v>3290</v>
      </c>
      <c r="D35" s="3243" t="s">
        <v>3297</v>
      </c>
      <c r="E35" s="3243" t="s">
        <v>3309</v>
      </c>
      <c r="F35" s="3243" t="s">
        <v>3293</v>
      </c>
      <c r="G35" s="3243">
        <v>24318.400000000001</v>
      </c>
      <c r="H35" s="3243">
        <v>29182.080000000002</v>
      </c>
      <c r="I35" s="3243" t="s">
        <v>3319</v>
      </c>
      <c r="J35" s="3243" t="s">
        <v>3320</v>
      </c>
      <c r="K35" s="3244">
        <v>41499.000497685185</v>
      </c>
      <c r="L35" s="3243" t="s">
        <v>3422</v>
      </c>
      <c r="M35" s="3243" t="s">
        <v>3298</v>
      </c>
      <c r="N35" s="3243" t="s">
        <v>3423</v>
      </c>
      <c r="O35" s="3243">
        <v>3931</v>
      </c>
      <c r="P35" s="3243">
        <v>107.76</v>
      </c>
      <c r="Q35" s="3243">
        <v>107.76</v>
      </c>
      <c r="R35" s="3243">
        <v>1347</v>
      </c>
      <c r="S35" s="3243">
        <v>1347</v>
      </c>
      <c r="T35" s="3243" t="s">
        <v>3297</v>
      </c>
      <c r="U35" s="3243" t="s">
        <v>3297</v>
      </c>
      <c r="V35" s="3243">
        <v>0</v>
      </c>
      <c r="W35" s="3243" t="s">
        <v>3328</v>
      </c>
      <c r="X35" s="3243" t="s">
        <v>3296</v>
      </c>
      <c r="Y35" s="3243" t="s">
        <v>3296</v>
      </c>
      <c r="Z35" s="3243" t="s">
        <v>3297</v>
      </c>
      <c r="AA35" s="3243" t="s">
        <v>3297</v>
      </c>
      <c r="AB35" s="3243" t="s">
        <v>3297</v>
      </c>
    </row>
    <row r="36" spans="1:28">
      <c r="A36" s="3243" t="s">
        <v>3424</v>
      </c>
      <c r="B36" s="3243" t="s">
        <v>3425</v>
      </c>
      <c r="C36" s="3243" t="s">
        <v>3290</v>
      </c>
      <c r="D36" s="3243" t="s">
        <v>3297</v>
      </c>
      <c r="E36" s="3243" t="s">
        <v>3309</v>
      </c>
      <c r="F36" s="3243" t="s">
        <v>3293</v>
      </c>
      <c r="G36" s="3243">
        <v>28391.14</v>
      </c>
      <c r="H36" s="3243">
        <v>34069.370000000003</v>
      </c>
      <c r="I36" s="3243" t="s">
        <v>3319</v>
      </c>
      <c r="J36" s="3243" t="s">
        <v>3320</v>
      </c>
      <c r="K36" s="3244">
        <v>41499.000497685185</v>
      </c>
      <c r="L36" s="3243" t="s">
        <v>3425</v>
      </c>
      <c r="M36" s="3243" t="s">
        <v>3298</v>
      </c>
      <c r="N36" s="3243" t="s">
        <v>3426</v>
      </c>
      <c r="O36" s="3243">
        <v>4590</v>
      </c>
      <c r="P36" s="3243">
        <v>107.78</v>
      </c>
      <c r="Q36" s="3243">
        <v>107.78</v>
      </c>
      <c r="R36" s="3243">
        <v>1347</v>
      </c>
      <c r="S36" s="3243">
        <v>1347</v>
      </c>
      <c r="T36" s="3243" t="s">
        <v>3297</v>
      </c>
      <c r="U36" s="3243" t="s">
        <v>3297</v>
      </c>
      <c r="V36" s="3243">
        <v>0</v>
      </c>
      <c r="W36" s="3243" t="s">
        <v>3328</v>
      </c>
      <c r="X36" s="3243" t="s">
        <v>3296</v>
      </c>
      <c r="Y36" s="3243" t="s">
        <v>3296</v>
      </c>
      <c r="Z36" s="3243" t="s">
        <v>3297</v>
      </c>
      <c r="AA36" s="3243" t="s">
        <v>3297</v>
      </c>
      <c r="AB36" s="3243" t="s">
        <v>3297</v>
      </c>
    </row>
    <row r="37" spans="1:28">
      <c r="A37" s="3243" t="s">
        <v>3427</v>
      </c>
      <c r="B37" s="3243" t="s">
        <v>3428</v>
      </c>
      <c r="C37" s="3243" t="s">
        <v>3290</v>
      </c>
      <c r="D37" s="3243" t="s">
        <v>3297</v>
      </c>
      <c r="E37" s="3243" t="s">
        <v>3309</v>
      </c>
      <c r="F37" s="3243" t="s">
        <v>3293</v>
      </c>
      <c r="G37" s="3243">
        <v>22140.61</v>
      </c>
      <c r="H37" s="3243">
        <v>26568.73</v>
      </c>
      <c r="I37" s="3243" t="s">
        <v>3319</v>
      </c>
      <c r="J37" s="3243" t="s">
        <v>3320</v>
      </c>
      <c r="K37" s="3244">
        <v>41486.000497685185</v>
      </c>
      <c r="L37" s="3243" t="s">
        <v>3428</v>
      </c>
      <c r="M37" s="3243" t="s">
        <v>3298</v>
      </c>
      <c r="N37" s="3243" t="s">
        <v>3429</v>
      </c>
      <c r="O37" s="3243">
        <v>3579</v>
      </c>
      <c r="P37" s="3243">
        <v>107.77</v>
      </c>
      <c r="Q37" s="3243">
        <v>107.77</v>
      </c>
      <c r="R37" s="3243">
        <v>1347</v>
      </c>
      <c r="S37" s="3243">
        <v>1347</v>
      </c>
      <c r="T37" s="3243" t="s">
        <v>3297</v>
      </c>
      <c r="U37" s="3243" t="s">
        <v>3297</v>
      </c>
      <c r="V37" s="3243">
        <v>0</v>
      </c>
      <c r="W37" s="3243" t="s">
        <v>3328</v>
      </c>
      <c r="X37" s="3243" t="s">
        <v>3296</v>
      </c>
      <c r="Y37" s="3243" t="s">
        <v>3296</v>
      </c>
      <c r="Z37" s="3243" t="s">
        <v>3297</v>
      </c>
      <c r="AA37" s="3243" t="s">
        <v>3297</v>
      </c>
      <c r="AB37" s="3243" t="s">
        <v>3297</v>
      </c>
    </row>
    <row r="38" spans="1:28">
      <c r="A38" s="3243" t="s">
        <v>3430</v>
      </c>
      <c r="B38" s="3243" t="s">
        <v>3431</v>
      </c>
      <c r="C38" s="3243" t="s">
        <v>3290</v>
      </c>
      <c r="D38" s="3243" t="s">
        <v>3297</v>
      </c>
      <c r="E38" s="3243" t="s">
        <v>3309</v>
      </c>
      <c r="F38" s="3243" t="s">
        <v>3293</v>
      </c>
      <c r="G38" s="3243">
        <v>418477.9</v>
      </c>
      <c r="H38" s="3243">
        <v>471488</v>
      </c>
      <c r="I38" s="3243" t="s">
        <v>3432</v>
      </c>
      <c r="J38" s="3243" t="s">
        <v>3320</v>
      </c>
      <c r="K38" s="3244">
        <v>41473.000497685185</v>
      </c>
      <c r="L38" s="3243" t="s">
        <v>3431</v>
      </c>
      <c r="M38" s="3243" t="s">
        <v>3298</v>
      </c>
      <c r="N38" s="3243" t="s">
        <v>3433</v>
      </c>
      <c r="O38" s="3243">
        <v>62420</v>
      </c>
      <c r="P38" s="3243">
        <v>99.44</v>
      </c>
      <c r="Q38" s="3243">
        <v>99.44</v>
      </c>
      <c r="R38" s="3243">
        <v>1324</v>
      </c>
      <c r="S38" s="3243">
        <v>1324</v>
      </c>
      <c r="T38" s="3243" t="s">
        <v>3297</v>
      </c>
      <c r="U38" s="3243" t="s">
        <v>3297</v>
      </c>
      <c r="V38" s="3243">
        <v>0</v>
      </c>
      <c r="W38" s="3243" t="s">
        <v>3328</v>
      </c>
      <c r="X38" s="3243" t="s">
        <v>3296</v>
      </c>
      <c r="Y38" s="3243" t="s">
        <v>3296</v>
      </c>
      <c r="Z38" s="3243" t="s">
        <v>3297</v>
      </c>
      <c r="AA38" s="3243" t="s">
        <v>3297</v>
      </c>
      <c r="AB38" s="3243" t="s">
        <v>3297</v>
      </c>
    </row>
    <row r="39" spans="1:28">
      <c r="A39" s="3243" t="s">
        <v>3434</v>
      </c>
      <c r="B39" s="3243" t="s">
        <v>3435</v>
      </c>
      <c r="C39" s="3243" t="s">
        <v>3290</v>
      </c>
      <c r="D39" s="3243" t="s">
        <v>3297</v>
      </c>
      <c r="E39" s="3243" t="s">
        <v>3309</v>
      </c>
      <c r="F39" s="3243" t="s">
        <v>3293</v>
      </c>
      <c r="G39" s="3243">
        <v>53186.42</v>
      </c>
      <c r="H39" s="3243">
        <v>63823.7</v>
      </c>
      <c r="I39" s="3243" t="s">
        <v>3319</v>
      </c>
      <c r="J39" s="3243" t="s">
        <v>3320</v>
      </c>
      <c r="K39" s="3244">
        <v>41451.000497685185</v>
      </c>
      <c r="L39" s="3243" t="s">
        <v>3436</v>
      </c>
      <c r="M39" s="3243" t="s">
        <v>3298</v>
      </c>
      <c r="N39" s="3243" t="s">
        <v>3311</v>
      </c>
      <c r="O39" s="3243">
        <v>6972</v>
      </c>
      <c r="P39" s="3243">
        <v>87.39</v>
      </c>
      <c r="Q39" s="3243">
        <v>87.39</v>
      </c>
      <c r="R39" s="3243">
        <v>1092</v>
      </c>
      <c r="S39" s="3243">
        <v>1092</v>
      </c>
      <c r="T39" s="3243" t="s">
        <v>3297</v>
      </c>
      <c r="U39" s="3243" t="s">
        <v>3297</v>
      </c>
      <c r="V39" s="3243">
        <v>0</v>
      </c>
      <c r="W39" s="3243" t="s">
        <v>3328</v>
      </c>
      <c r="X39" s="3243" t="s">
        <v>3296</v>
      </c>
      <c r="Y39" s="3243" t="s">
        <v>3296</v>
      </c>
      <c r="Z39" s="3243" t="s">
        <v>3297</v>
      </c>
      <c r="AA39" s="3243" t="s">
        <v>3297</v>
      </c>
      <c r="AB39" s="3243" t="s">
        <v>3297</v>
      </c>
    </row>
    <row r="40" spans="1:28">
      <c r="A40" s="3243" t="s">
        <v>3437</v>
      </c>
      <c r="B40" s="3243" t="s">
        <v>3438</v>
      </c>
      <c r="C40" s="3243" t="s">
        <v>3290</v>
      </c>
      <c r="D40" s="3243" t="s">
        <v>3297</v>
      </c>
      <c r="E40" s="3243" t="s">
        <v>3412</v>
      </c>
      <c r="F40" s="3243" t="s">
        <v>3293</v>
      </c>
      <c r="G40" s="3243">
        <v>26179</v>
      </c>
      <c r="H40" s="3243">
        <v>20943</v>
      </c>
      <c r="I40" s="3243" t="s">
        <v>3439</v>
      </c>
      <c r="J40" s="3243" t="s">
        <v>3320</v>
      </c>
      <c r="K40" s="3244">
        <v>41451.000497685185</v>
      </c>
      <c r="L40" s="3243" t="s">
        <v>3440</v>
      </c>
      <c r="M40" s="3243" t="s">
        <v>3298</v>
      </c>
      <c r="N40" s="3243" t="s">
        <v>3441</v>
      </c>
      <c r="O40" s="3243">
        <v>2863</v>
      </c>
      <c r="P40" s="3243">
        <v>72.91</v>
      </c>
      <c r="Q40" s="3243">
        <v>72.91</v>
      </c>
      <c r="R40" s="3243">
        <v>1367</v>
      </c>
      <c r="S40" s="3243">
        <v>1367</v>
      </c>
      <c r="T40" s="3243" t="s">
        <v>3297</v>
      </c>
      <c r="U40" s="3243" t="s">
        <v>3297</v>
      </c>
      <c r="V40" s="3243">
        <v>0</v>
      </c>
      <c r="W40" s="3243" t="s">
        <v>3328</v>
      </c>
      <c r="X40" s="3243" t="s">
        <v>3296</v>
      </c>
      <c r="Y40" s="3243" t="s">
        <v>3296</v>
      </c>
      <c r="Z40" s="3243" t="s">
        <v>3297</v>
      </c>
      <c r="AA40" s="3243" t="s">
        <v>3297</v>
      </c>
      <c r="AB40" s="3243" t="s">
        <v>3297</v>
      </c>
    </row>
    <row r="41" spans="1:28">
      <c r="A41" s="3243" t="s">
        <v>3442</v>
      </c>
      <c r="B41" s="3243" t="s">
        <v>3443</v>
      </c>
      <c r="C41" s="3243" t="s">
        <v>3290</v>
      </c>
      <c r="D41" s="3243" t="s">
        <v>3297</v>
      </c>
      <c r="E41" s="3243" t="s">
        <v>3309</v>
      </c>
      <c r="F41" s="3243" t="s">
        <v>3293</v>
      </c>
      <c r="G41" s="3243">
        <v>102070.5</v>
      </c>
      <c r="H41" s="3243">
        <v>122484.6</v>
      </c>
      <c r="I41" s="3243" t="s">
        <v>3319</v>
      </c>
      <c r="J41" s="3243" t="s">
        <v>3320</v>
      </c>
      <c r="K41" s="3244">
        <v>41451.000497685185</v>
      </c>
      <c r="L41" s="3243" t="s">
        <v>3444</v>
      </c>
      <c r="M41" s="3243" t="s">
        <v>3298</v>
      </c>
      <c r="N41" s="3243" t="s">
        <v>3311</v>
      </c>
      <c r="O41" s="3243">
        <v>16499</v>
      </c>
      <c r="P41" s="3243">
        <v>107.76</v>
      </c>
      <c r="Q41" s="3243">
        <v>107.76</v>
      </c>
      <c r="R41" s="3243">
        <v>1347</v>
      </c>
      <c r="S41" s="3243">
        <v>1347</v>
      </c>
      <c r="T41" s="3243" t="s">
        <v>3297</v>
      </c>
      <c r="U41" s="3243" t="s">
        <v>3297</v>
      </c>
      <c r="V41" s="3243">
        <v>0</v>
      </c>
      <c r="W41" s="3243" t="s">
        <v>3328</v>
      </c>
      <c r="X41" s="3243" t="s">
        <v>3296</v>
      </c>
      <c r="Y41" s="3243" t="s">
        <v>3296</v>
      </c>
      <c r="Z41" s="3243" t="s">
        <v>3297</v>
      </c>
      <c r="AA41" s="3243" t="s">
        <v>3297</v>
      </c>
      <c r="AB41" s="3243" t="s">
        <v>3297</v>
      </c>
    </row>
    <row r="42" spans="1:28">
      <c r="A42" s="3243" t="s">
        <v>3445</v>
      </c>
      <c r="B42" s="3243" t="s">
        <v>3446</v>
      </c>
      <c r="C42" s="3243" t="s">
        <v>3290</v>
      </c>
      <c r="D42" s="3243" t="s">
        <v>3297</v>
      </c>
      <c r="E42" s="3243" t="s">
        <v>3309</v>
      </c>
      <c r="F42" s="3243" t="s">
        <v>3293</v>
      </c>
      <c r="G42" s="3243">
        <v>24892.799999999999</v>
      </c>
      <c r="H42" s="3243">
        <v>29871.360000000001</v>
      </c>
      <c r="I42" s="3243" t="s">
        <v>3319</v>
      </c>
      <c r="J42" s="3243" t="s">
        <v>3320</v>
      </c>
      <c r="K42" s="3244">
        <v>41451.000497685185</v>
      </c>
      <c r="L42" s="3243" t="s">
        <v>3447</v>
      </c>
      <c r="M42" s="3243" t="s">
        <v>3298</v>
      </c>
      <c r="N42" s="3243" t="s">
        <v>3448</v>
      </c>
      <c r="O42" s="3243">
        <v>4024</v>
      </c>
      <c r="P42" s="3243">
        <v>107.77</v>
      </c>
      <c r="Q42" s="3243">
        <v>107.77</v>
      </c>
      <c r="R42" s="3243">
        <v>1347</v>
      </c>
      <c r="S42" s="3243">
        <v>1347</v>
      </c>
      <c r="T42" s="3243" t="s">
        <v>3297</v>
      </c>
      <c r="U42" s="3243" t="s">
        <v>3297</v>
      </c>
      <c r="V42" s="3243">
        <v>0</v>
      </c>
      <c r="W42" s="3243" t="s">
        <v>3328</v>
      </c>
      <c r="X42" s="3243" t="s">
        <v>3296</v>
      </c>
      <c r="Y42" s="3243" t="s">
        <v>3296</v>
      </c>
      <c r="Z42" s="3243" t="s">
        <v>3297</v>
      </c>
      <c r="AA42" s="3243" t="s">
        <v>3297</v>
      </c>
      <c r="AB42" s="3243" t="s">
        <v>3297</v>
      </c>
    </row>
    <row r="43" spans="1:28">
      <c r="A43" s="3243" t="s">
        <v>3449</v>
      </c>
      <c r="B43" s="3243" t="s">
        <v>3450</v>
      </c>
      <c r="C43" s="3243" t="s">
        <v>3290</v>
      </c>
      <c r="D43" s="3243" t="s">
        <v>3297</v>
      </c>
      <c r="E43" s="3243" t="s">
        <v>3412</v>
      </c>
      <c r="F43" s="3243" t="s">
        <v>3293</v>
      </c>
      <c r="G43" s="3243">
        <v>49789</v>
      </c>
      <c r="H43" s="3243">
        <v>39831</v>
      </c>
      <c r="I43" s="3243" t="s">
        <v>3439</v>
      </c>
      <c r="J43" s="3243" t="s">
        <v>3320</v>
      </c>
      <c r="K43" s="3244">
        <v>41451.000497685185</v>
      </c>
      <c r="L43" s="3243" t="s">
        <v>3451</v>
      </c>
      <c r="M43" s="3243" t="s">
        <v>3298</v>
      </c>
      <c r="N43" s="3243" t="s">
        <v>3452</v>
      </c>
      <c r="O43" s="3243">
        <v>5444</v>
      </c>
      <c r="P43" s="3243">
        <v>72.89</v>
      </c>
      <c r="Q43" s="3243">
        <v>72.89</v>
      </c>
      <c r="R43" s="3243">
        <v>1367</v>
      </c>
      <c r="S43" s="3243">
        <v>1367</v>
      </c>
      <c r="T43" s="3243" t="s">
        <v>3297</v>
      </c>
      <c r="U43" s="3243" t="s">
        <v>3297</v>
      </c>
      <c r="V43" s="3243">
        <v>0</v>
      </c>
      <c r="W43" s="3243" t="s">
        <v>3328</v>
      </c>
      <c r="X43" s="3243" t="s">
        <v>3296</v>
      </c>
      <c r="Y43" s="3243" t="s">
        <v>3296</v>
      </c>
      <c r="Z43" s="3243" t="s">
        <v>3297</v>
      </c>
      <c r="AA43" s="3243" t="s">
        <v>3297</v>
      </c>
      <c r="AB43" s="3243" t="s">
        <v>3297</v>
      </c>
    </row>
    <row r="44" spans="1:28">
      <c r="A44" s="3243" t="s">
        <v>3453</v>
      </c>
      <c r="B44" s="3243" t="s">
        <v>3454</v>
      </c>
      <c r="C44" s="3243" t="s">
        <v>3290</v>
      </c>
      <c r="D44" s="3243" t="s">
        <v>3297</v>
      </c>
      <c r="E44" s="3243" t="s">
        <v>3309</v>
      </c>
      <c r="F44" s="3243" t="s">
        <v>3293</v>
      </c>
      <c r="G44" s="3243">
        <v>53047.19</v>
      </c>
      <c r="H44" s="3243">
        <v>63656.36</v>
      </c>
      <c r="I44" s="3243" t="s">
        <v>3319</v>
      </c>
      <c r="J44" s="3243" t="s">
        <v>3320</v>
      </c>
      <c r="K44" s="3244">
        <v>41451.000497685185</v>
      </c>
      <c r="L44" s="3243" t="s">
        <v>3455</v>
      </c>
      <c r="M44" s="3243" t="s">
        <v>3298</v>
      </c>
      <c r="N44" s="3243" t="s">
        <v>3311</v>
      </c>
      <c r="O44" s="3243">
        <v>8575</v>
      </c>
      <c r="P44" s="3243">
        <v>107.77</v>
      </c>
      <c r="Q44" s="3243">
        <v>107.77</v>
      </c>
      <c r="R44" s="3243">
        <v>1347</v>
      </c>
      <c r="S44" s="3243">
        <v>1347</v>
      </c>
      <c r="T44" s="3243" t="s">
        <v>3297</v>
      </c>
      <c r="U44" s="3243" t="s">
        <v>3297</v>
      </c>
      <c r="V44" s="3243">
        <v>0</v>
      </c>
      <c r="W44" s="3243" t="s">
        <v>3328</v>
      </c>
      <c r="X44" s="3243" t="s">
        <v>3296</v>
      </c>
      <c r="Y44" s="3243" t="s">
        <v>3296</v>
      </c>
      <c r="Z44" s="3243" t="s">
        <v>3297</v>
      </c>
      <c r="AA44" s="3243" t="s">
        <v>3297</v>
      </c>
      <c r="AB44" s="3243" t="s">
        <v>3297</v>
      </c>
    </row>
    <row r="45" spans="1:28">
      <c r="A45" s="3243" t="s">
        <v>3456</v>
      </c>
      <c r="B45" s="3243" t="s">
        <v>3457</v>
      </c>
      <c r="C45" s="3243" t="s">
        <v>3290</v>
      </c>
      <c r="D45" s="3243" t="s">
        <v>3297</v>
      </c>
      <c r="E45" s="3243" t="s">
        <v>3309</v>
      </c>
      <c r="F45" s="3243" t="s">
        <v>3293</v>
      </c>
      <c r="G45" s="3243">
        <v>68273.759999999995</v>
      </c>
      <c r="H45" s="3243">
        <v>68273.759999999995</v>
      </c>
      <c r="I45" s="3243" t="s">
        <v>3350</v>
      </c>
      <c r="J45" s="3243" t="s">
        <v>3320</v>
      </c>
      <c r="K45" s="3244">
        <v>41388.000497685185</v>
      </c>
      <c r="L45" s="3243" t="s">
        <v>3457</v>
      </c>
      <c r="M45" s="3243" t="s">
        <v>3298</v>
      </c>
      <c r="N45" s="3243" t="s">
        <v>3311</v>
      </c>
      <c r="O45" s="3243">
        <v>8808</v>
      </c>
      <c r="P45" s="3243">
        <v>86.01</v>
      </c>
      <c r="Q45" s="3243">
        <v>86.01</v>
      </c>
      <c r="R45" s="3243">
        <v>1290</v>
      </c>
      <c r="S45" s="3243">
        <v>1290</v>
      </c>
      <c r="T45" s="3243" t="s">
        <v>3297</v>
      </c>
      <c r="U45" s="3243" t="s">
        <v>3297</v>
      </c>
      <c r="V45" s="3243">
        <v>0</v>
      </c>
      <c r="W45" s="3243" t="s">
        <v>3328</v>
      </c>
      <c r="X45" s="3243" t="s">
        <v>3296</v>
      </c>
      <c r="Y45" s="3243" t="s">
        <v>3296</v>
      </c>
      <c r="Z45" s="3243" t="s">
        <v>3297</v>
      </c>
      <c r="AA45" s="3243" t="s">
        <v>3297</v>
      </c>
      <c r="AB45" s="3243" t="s">
        <v>3297</v>
      </c>
    </row>
    <row r="46" spans="1:28">
      <c r="A46" s="3243" t="s">
        <v>3458</v>
      </c>
      <c r="B46" s="3243" t="s">
        <v>3459</v>
      </c>
      <c r="C46" s="3243" t="s">
        <v>3290</v>
      </c>
      <c r="D46" s="3243" t="s">
        <v>3297</v>
      </c>
      <c r="E46" s="3243" t="s">
        <v>3393</v>
      </c>
      <c r="F46" s="3243" t="s">
        <v>3293</v>
      </c>
      <c r="G46" s="3243">
        <v>58503</v>
      </c>
      <c r="H46" s="3243">
        <v>117006</v>
      </c>
      <c r="I46" s="3243" t="s">
        <v>3460</v>
      </c>
      <c r="J46" s="3243" t="s">
        <v>3320</v>
      </c>
      <c r="K46" s="3244">
        <v>41388.000497685185</v>
      </c>
      <c r="L46" s="3243" t="s">
        <v>3459</v>
      </c>
      <c r="M46" s="3243" t="s">
        <v>3298</v>
      </c>
      <c r="N46" s="3243" t="s">
        <v>3461</v>
      </c>
      <c r="O46" s="3243">
        <v>5027</v>
      </c>
      <c r="P46" s="3243">
        <v>57.28</v>
      </c>
      <c r="Q46" s="3243">
        <v>57.28</v>
      </c>
      <c r="R46" s="3243">
        <v>430</v>
      </c>
      <c r="S46" s="3243">
        <v>430</v>
      </c>
      <c r="T46" s="3243" t="s">
        <v>3297</v>
      </c>
      <c r="U46" s="3243" t="s">
        <v>3297</v>
      </c>
      <c r="V46" s="3243">
        <v>0</v>
      </c>
      <c r="W46" s="3243" t="s">
        <v>3328</v>
      </c>
      <c r="X46" s="3243" t="s">
        <v>3296</v>
      </c>
      <c r="Y46" s="3243" t="s">
        <v>3296</v>
      </c>
      <c r="Z46" s="3243" t="s">
        <v>3297</v>
      </c>
      <c r="AA46" s="3243" t="s">
        <v>3297</v>
      </c>
      <c r="AB46" s="3243" t="s">
        <v>3297</v>
      </c>
    </row>
    <row r="47" spans="1:28">
      <c r="A47" s="3243" t="s">
        <v>3462</v>
      </c>
      <c r="B47" s="3243" t="s">
        <v>3463</v>
      </c>
      <c r="C47" s="3243" t="s">
        <v>3290</v>
      </c>
      <c r="D47" s="3243" t="s">
        <v>3297</v>
      </c>
      <c r="E47" s="3243" t="s">
        <v>3309</v>
      </c>
      <c r="F47" s="3243" t="s">
        <v>3293</v>
      </c>
      <c r="G47" s="3243">
        <v>13327.3</v>
      </c>
      <c r="H47" s="3243">
        <v>13327.3</v>
      </c>
      <c r="I47" s="3243" t="s">
        <v>3297</v>
      </c>
      <c r="J47" s="3243" t="s">
        <v>3320</v>
      </c>
      <c r="K47" s="3244">
        <v>41330.000497685185</v>
      </c>
      <c r="L47" s="3243" t="s">
        <v>3463</v>
      </c>
      <c r="M47" s="3243" t="s">
        <v>3298</v>
      </c>
      <c r="N47" s="3243" t="s">
        <v>3384</v>
      </c>
      <c r="O47" s="3243">
        <v>1720</v>
      </c>
      <c r="P47" s="3243">
        <v>86.04</v>
      </c>
      <c r="Q47" s="3243">
        <v>86.04</v>
      </c>
      <c r="R47" s="3243">
        <v>1291</v>
      </c>
      <c r="S47" s="3243">
        <v>1291</v>
      </c>
      <c r="T47" s="3243" t="s">
        <v>3297</v>
      </c>
      <c r="U47" s="3243" t="s">
        <v>3297</v>
      </c>
      <c r="V47" s="3243">
        <v>0</v>
      </c>
      <c r="W47" s="3243" t="s">
        <v>3328</v>
      </c>
      <c r="X47" s="3243" t="s">
        <v>3296</v>
      </c>
      <c r="Y47" s="3243" t="s">
        <v>3296</v>
      </c>
      <c r="Z47" s="3243" t="s">
        <v>3297</v>
      </c>
      <c r="AA47" s="3243" t="s">
        <v>3297</v>
      </c>
      <c r="AB47" s="3243" t="s">
        <v>3297</v>
      </c>
    </row>
    <row r="48" spans="1:28">
      <c r="A48" s="3243" t="s">
        <v>3464</v>
      </c>
      <c r="B48" s="3243" t="s">
        <v>3465</v>
      </c>
      <c r="C48" s="3243" t="s">
        <v>3290</v>
      </c>
      <c r="D48" s="3243" t="s">
        <v>3297</v>
      </c>
      <c r="E48" s="3243" t="s">
        <v>3466</v>
      </c>
      <c r="F48" s="3243" t="s">
        <v>3293</v>
      </c>
      <c r="G48" s="3243">
        <v>56416</v>
      </c>
      <c r="H48" s="3243">
        <v>56416</v>
      </c>
      <c r="I48" s="3243" t="s">
        <v>3297</v>
      </c>
      <c r="J48" s="3243" t="s">
        <v>3320</v>
      </c>
      <c r="K48" s="3244">
        <v>41263.000497685185</v>
      </c>
      <c r="L48" s="3243" t="s">
        <v>3467</v>
      </c>
      <c r="M48" s="3243" t="s">
        <v>3298</v>
      </c>
      <c r="N48" s="3243" t="s">
        <v>3468</v>
      </c>
      <c r="O48" s="3243">
        <v>4254</v>
      </c>
      <c r="P48" s="3243">
        <v>50.27</v>
      </c>
      <c r="Q48" s="3243">
        <v>50.27</v>
      </c>
      <c r="R48" s="3243">
        <v>754</v>
      </c>
      <c r="S48" s="3243">
        <v>754</v>
      </c>
      <c r="T48" s="3243" t="s">
        <v>3297</v>
      </c>
      <c r="U48" s="3243" t="s">
        <v>3297</v>
      </c>
      <c r="V48" s="3243">
        <v>0</v>
      </c>
      <c r="W48" s="3243" t="s">
        <v>3328</v>
      </c>
      <c r="X48" s="3243" t="s">
        <v>3296</v>
      </c>
      <c r="Y48" s="3243" t="s">
        <v>3296</v>
      </c>
      <c r="Z48" s="3243" t="s">
        <v>3297</v>
      </c>
      <c r="AA48" s="3243" t="s">
        <v>3297</v>
      </c>
      <c r="AB48" s="3243" t="s">
        <v>3297</v>
      </c>
    </row>
    <row r="49" spans="1:28">
      <c r="A49" s="3243" t="s">
        <v>3469</v>
      </c>
      <c r="B49" s="3243" t="s">
        <v>3470</v>
      </c>
      <c r="C49" s="3243" t="s">
        <v>3290</v>
      </c>
      <c r="D49" s="3243" t="s">
        <v>3297</v>
      </c>
      <c r="E49" s="3243" t="s">
        <v>3466</v>
      </c>
      <c r="F49" s="3243" t="s">
        <v>3293</v>
      </c>
      <c r="G49" s="3243">
        <v>52504</v>
      </c>
      <c r="H49" s="3243">
        <v>52504</v>
      </c>
      <c r="I49" s="3243" t="s">
        <v>3297</v>
      </c>
      <c r="J49" s="3243" t="s">
        <v>3320</v>
      </c>
      <c r="K49" s="3244">
        <v>41095.000497685185</v>
      </c>
      <c r="L49" s="3243" t="s">
        <v>3297</v>
      </c>
      <c r="M49" s="3243" t="s">
        <v>3298</v>
      </c>
      <c r="N49" s="3243" t="s">
        <v>3351</v>
      </c>
      <c r="O49" s="3243">
        <v>3938</v>
      </c>
      <c r="P49" s="3243">
        <v>50</v>
      </c>
      <c r="Q49" s="3243">
        <v>50</v>
      </c>
      <c r="R49" s="3243">
        <v>750</v>
      </c>
      <c r="S49" s="3243">
        <v>750</v>
      </c>
      <c r="T49" s="3243" t="s">
        <v>3297</v>
      </c>
      <c r="U49" s="3243" t="s">
        <v>3297</v>
      </c>
      <c r="V49" s="3243">
        <v>0</v>
      </c>
      <c r="W49" s="3243" t="s">
        <v>3328</v>
      </c>
      <c r="X49" s="3243" t="s">
        <v>3296</v>
      </c>
      <c r="Y49" s="3243" t="s">
        <v>3296</v>
      </c>
      <c r="Z49" s="3243" t="s">
        <v>3297</v>
      </c>
      <c r="AA49" s="3243" t="s">
        <v>3297</v>
      </c>
      <c r="AB49" s="3243" t="s">
        <v>3297</v>
      </c>
    </row>
    <row r="50" spans="1:28">
      <c r="A50" s="3243" t="s">
        <v>3471</v>
      </c>
      <c r="B50" s="3243" t="s">
        <v>3472</v>
      </c>
      <c r="C50" s="3243" t="s">
        <v>3290</v>
      </c>
      <c r="D50" s="3243" t="s">
        <v>3297</v>
      </c>
      <c r="E50" s="3243" t="s">
        <v>3393</v>
      </c>
      <c r="F50" s="3243" t="s">
        <v>3293</v>
      </c>
      <c r="G50" s="3243">
        <v>5934</v>
      </c>
      <c r="H50" s="3243">
        <v>7121</v>
      </c>
      <c r="I50" s="3243" t="s">
        <v>3297</v>
      </c>
      <c r="J50" s="3243" t="s">
        <v>3320</v>
      </c>
      <c r="K50" s="3244">
        <v>41067.000497685185</v>
      </c>
      <c r="L50" s="3243" t="s">
        <v>3297</v>
      </c>
      <c r="M50" s="3243" t="s">
        <v>3298</v>
      </c>
      <c r="N50" s="3243" t="s">
        <v>3473</v>
      </c>
      <c r="O50" s="3243">
        <v>900</v>
      </c>
      <c r="P50" s="3243">
        <v>101.11</v>
      </c>
      <c r="Q50" s="3243">
        <v>101.11</v>
      </c>
      <c r="R50" s="3243">
        <v>1264</v>
      </c>
      <c r="S50" s="3243">
        <v>1264</v>
      </c>
      <c r="T50" s="3243" t="s">
        <v>3297</v>
      </c>
      <c r="U50" s="3243" t="s">
        <v>3297</v>
      </c>
      <c r="V50" s="3243">
        <v>0</v>
      </c>
      <c r="W50" s="3243" t="s">
        <v>3328</v>
      </c>
      <c r="X50" s="3243" t="s">
        <v>3296</v>
      </c>
      <c r="Y50" s="3243" t="s">
        <v>3296</v>
      </c>
      <c r="Z50" s="3243" t="s">
        <v>3297</v>
      </c>
      <c r="AA50" s="3243" t="s">
        <v>3297</v>
      </c>
      <c r="AB50" s="3243" t="s">
        <v>3297</v>
      </c>
    </row>
    <row r="51" spans="1:28">
      <c r="A51" s="3243" t="s">
        <v>3474</v>
      </c>
      <c r="B51" s="3243" t="s">
        <v>3475</v>
      </c>
      <c r="C51" s="3243" t="s">
        <v>3290</v>
      </c>
      <c r="D51" s="3243" t="s">
        <v>3297</v>
      </c>
      <c r="E51" s="3243" t="s">
        <v>3466</v>
      </c>
      <c r="F51" s="3243" t="s">
        <v>3293</v>
      </c>
      <c r="G51" s="3243">
        <v>17893</v>
      </c>
      <c r="H51" s="3243">
        <v>17893</v>
      </c>
      <c r="I51" s="3243" t="s">
        <v>3297</v>
      </c>
      <c r="J51" s="3243" t="s">
        <v>3293</v>
      </c>
      <c r="K51" s="3244">
        <v>40940.000497685185</v>
      </c>
      <c r="L51" s="3243" t="s">
        <v>3297</v>
      </c>
      <c r="M51" s="3243" t="s">
        <v>3298</v>
      </c>
      <c r="N51" s="3243" t="s">
        <v>3332</v>
      </c>
      <c r="O51" s="3243">
        <v>1342</v>
      </c>
      <c r="P51" s="3243">
        <v>50</v>
      </c>
      <c r="Q51" s="3243">
        <v>50</v>
      </c>
      <c r="R51" s="3243">
        <v>750</v>
      </c>
      <c r="S51" s="3243">
        <v>750</v>
      </c>
      <c r="T51" s="3243" t="s">
        <v>3297</v>
      </c>
      <c r="U51" s="3243" t="s">
        <v>3297</v>
      </c>
      <c r="V51" s="3243">
        <v>0</v>
      </c>
      <c r="W51" s="3243" t="s">
        <v>3328</v>
      </c>
      <c r="X51" s="3243" t="s">
        <v>3296</v>
      </c>
      <c r="Y51" s="3243" t="s">
        <v>3296</v>
      </c>
      <c r="Z51" s="3243" t="s">
        <v>3297</v>
      </c>
      <c r="AA51" s="3243" t="s">
        <v>3297</v>
      </c>
      <c r="AB51" s="3243" t="s">
        <v>3297</v>
      </c>
    </row>
  </sheetData>
  <phoneticPr fontId="140"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G59"/>
  <sheetViews>
    <sheetView workbookViewId="0">
      <selection activeCell="H8" sqref="H8"/>
    </sheetView>
  </sheetViews>
  <sheetFormatPr defaultRowHeight="11.25"/>
  <cols>
    <col min="1" max="3" width="9" style="3288"/>
    <col min="4" max="4" width="22.625" style="3288" customWidth="1"/>
    <col min="5" max="5" width="26.75" style="3288" customWidth="1"/>
    <col min="6" max="6" width="8.25" style="3288" bestFit="1" customWidth="1"/>
    <col min="7" max="16384" width="9" style="3288"/>
  </cols>
  <sheetData>
    <row r="1" spans="3:7" ht="12.75">
      <c r="C1" s="3646" t="s">
        <v>3794</v>
      </c>
      <c r="D1" s="3647" t="s">
        <v>3677</v>
      </c>
      <c r="E1" s="3647" t="s">
        <v>3679</v>
      </c>
      <c r="F1" s="3647" t="s">
        <v>3680</v>
      </c>
      <c r="G1" s="3289" t="s">
        <v>3678</v>
      </c>
    </row>
    <row r="2" spans="3:7" ht="12.75">
      <c r="C2" s="3647"/>
      <c r="D2" s="3647"/>
      <c r="E2" s="3647"/>
      <c r="F2" s="3647"/>
      <c r="G2" s="3289" t="s">
        <v>3681</v>
      </c>
    </row>
    <row r="3" spans="3:7" ht="34.5" customHeight="1">
      <c r="C3" s="3289">
        <v>1</v>
      </c>
      <c r="D3" s="3289" t="s">
        <v>3682</v>
      </c>
      <c r="E3" s="3289" t="s">
        <v>3683</v>
      </c>
      <c r="F3" s="3289">
        <v>9433.5300000000007</v>
      </c>
      <c r="G3" s="3289">
        <v>7221</v>
      </c>
    </row>
    <row r="4" spans="3:7" ht="33.75" customHeight="1">
      <c r="C4" s="3289">
        <v>2</v>
      </c>
      <c r="D4" s="3289" t="s">
        <v>3684</v>
      </c>
      <c r="E4" s="3289" t="s">
        <v>3685</v>
      </c>
      <c r="F4" s="3289">
        <v>8269.76</v>
      </c>
      <c r="G4" s="3289">
        <v>6330</v>
      </c>
    </row>
    <row r="5" spans="3:7" ht="33.75" customHeight="1">
      <c r="C5" s="3289">
        <v>3</v>
      </c>
      <c r="D5" s="3289" t="s">
        <v>3686</v>
      </c>
      <c r="E5" s="3289" t="s">
        <v>3687</v>
      </c>
      <c r="F5" s="3289">
        <v>10595.77</v>
      </c>
      <c r="G5" s="3289">
        <f ca="1">面积表!X10</f>
        <v>5146</v>
      </c>
    </row>
    <row r="6" spans="3:7" ht="33.75" customHeight="1">
      <c r="C6" s="3289">
        <v>4</v>
      </c>
      <c r="D6" s="3289" t="s">
        <v>3688</v>
      </c>
      <c r="E6" s="3289" t="s">
        <v>3689</v>
      </c>
      <c r="F6" s="3289">
        <v>1500.94</v>
      </c>
      <c r="G6" s="3289">
        <v>1149</v>
      </c>
    </row>
    <row r="7" spans="3:7" ht="33.75" customHeight="1">
      <c r="C7" s="3289">
        <v>5</v>
      </c>
      <c r="D7" s="3289" t="s">
        <v>3690</v>
      </c>
      <c r="E7" s="3289" t="s">
        <v>3691</v>
      </c>
      <c r="F7" s="3289">
        <v>1116.4000000000001</v>
      </c>
      <c r="G7" s="3289">
        <v>855</v>
      </c>
    </row>
    <row r="8" spans="3:7" ht="25.5">
      <c r="C8" s="3289">
        <v>6</v>
      </c>
      <c r="D8" s="3289" t="s">
        <v>3692</v>
      </c>
      <c r="E8" s="3289" t="s">
        <v>3693</v>
      </c>
      <c r="F8" s="3289">
        <v>2056.79</v>
      </c>
      <c r="G8" s="3289">
        <v>1575</v>
      </c>
    </row>
    <row r="9" spans="3:7" ht="33.75" customHeight="1">
      <c r="C9" s="3289">
        <v>7</v>
      </c>
      <c r="D9" s="3289" t="s">
        <v>3694</v>
      </c>
      <c r="E9" s="3289" t="s">
        <v>3695</v>
      </c>
      <c r="F9" s="3289">
        <v>2010</v>
      </c>
      <c r="G9" s="3289">
        <v>1538</v>
      </c>
    </row>
    <row r="10" spans="3:7" ht="33.75" customHeight="1">
      <c r="C10" s="3289">
        <v>8</v>
      </c>
      <c r="D10" s="3289" t="s">
        <v>3696</v>
      </c>
      <c r="E10" s="3289" t="s">
        <v>3697</v>
      </c>
      <c r="F10" s="3289">
        <v>1927.94</v>
      </c>
      <c r="G10" s="3289">
        <v>1476</v>
      </c>
    </row>
    <row r="11" spans="3:7" ht="33.75" customHeight="1">
      <c r="C11" s="3289">
        <v>9</v>
      </c>
      <c r="D11" s="3289" t="s">
        <v>3698</v>
      </c>
      <c r="E11" s="3289" t="s">
        <v>3699</v>
      </c>
      <c r="F11" s="3289">
        <v>1116.0999999999999</v>
      </c>
      <c r="G11" s="3289">
        <v>854</v>
      </c>
    </row>
    <row r="12" spans="3:7" ht="33.75" customHeight="1">
      <c r="C12" s="3289">
        <v>10</v>
      </c>
      <c r="D12" s="3289" t="s">
        <v>3700</v>
      </c>
      <c r="E12" s="3289" t="s">
        <v>3701</v>
      </c>
      <c r="F12" s="3289">
        <v>2056.48</v>
      </c>
      <c r="G12" s="3289">
        <v>1574</v>
      </c>
    </row>
    <row r="13" spans="3:7" ht="25.5">
      <c r="C13" s="3289">
        <v>11</v>
      </c>
      <c r="D13" s="3289" t="s">
        <v>3702</v>
      </c>
      <c r="E13" s="3289" t="s">
        <v>3703</v>
      </c>
      <c r="F13" s="3289">
        <v>2010.38</v>
      </c>
      <c r="G13" s="3289">
        <v>1538</v>
      </c>
    </row>
    <row r="14" spans="3:7" ht="33.75" customHeight="1">
      <c r="C14" s="3289">
        <v>12</v>
      </c>
      <c r="D14" s="3289" t="s">
        <v>3704</v>
      </c>
      <c r="E14" s="3289" t="s">
        <v>3705</v>
      </c>
      <c r="F14" s="3289">
        <v>1117.76</v>
      </c>
      <c r="G14" s="3289">
        <v>856</v>
      </c>
    </row>
    <row r="15" spans="3:7" ht="33.75" customHeight="1">
      <c r="C15" s="3289">
        <v>13</v>
      </c>
      <c r="D15" s="3289" t="s">
        <v>3706</v>
      </c>
      <c r="E15" s="3289" t="s">
        <v>3707</v>
      </c>
      <c r="F15" s="3289">
        <v>2010.07</v>
      </c>
      <c r="G15" s="3289">
        <v>1538</v>
      </c>
    </row>
    <row r="16" spans="3:7" ht="33.75" customHeight="1">
      <c r="C16" s="3289">
        <v>14</v>
      </c>
      <c r="D16" s="3289" t="s">
        <v>3708</v>
      </c>
      <c r="E16" s="3289" t="s">
        <v>3709</v>
      </c>
      <c r="F16" s="3289">
        <v>1117.77</v>
      </c>
      <c r="G16" s="3289">
        <v>856</v>
      </c>
    </row>
    <row r="17" spans="3:7" ht="33.75" customHeight="1">
      <c r="C17" s="3289">
        <v>15</v>
      </c>
      <c r="D17" s="3289" t="s">
        <v>3710</v>
      </c>
      <c r="E17" s="3289" t="s">
        <v>3711</v>
      </c>
      <c r="F17" s="3289">
        <v>1928.9</v>
      </c>
      <c r="G17" s="3289">
        <v>1476</v>
      </c>
    </row>
    <row r="18" spans="3:7" ht="33.75" customHeight="1">
      <c r="C18" s="3289">
        <v>16</v>
      </c>
      <c r="D18" s="3289" t="s">
        <v>3712</v>
      </c>
      <c r="E18" s="3289" t="s">
        <v>3713</v>
      </c>
      <c r="F18" s="3289">
        <v>2056.79</v>
      </c>
      <c r="G18" s="3289">
        <v>1575</v>
      </c>
    </row>
    <row r="19" spans="3:7" ht="25.5">
      <c r="C19" s="3289">
        <v>17</v>
      </c>
      <c r="D19" s="3289" t="s">
        <v>3714</v>
      </c>
      <c r="E19" s="3289" t="s">
        <v>3715</v>
      </c>
      <c r="F19" s="3289">
        <v>2010.26</v>
      </c>
      <c r="G19" s="3289">
        <v>1538</v>
      </c>
    </row>
    <row r="20" spans="3:7" ht="33.75" customHeight="1">
      <c r="C20" s="3289">
        <v>18</v>
      </c>
      <c r="D20" s="3289" t="s">
        <v>3716</v>
      </c>
      <c r="E20" s="3289" t="s">
        <v>3717</v>
      </c>
      <c r="F20" s="3289">
        <v>2056.79</v>
      </c>
      <c r="G20" s="3289">
        <v>1575</v>
      </c>
    </row>
    <row r="21" spans="3:7" ht="33.75" customHeight="1">
      <c r="C21" s="3289">
        <v>19</v>
      </c>
      <c r="D21" s="3289" t="s">
        <v>3718</v>
      </c>
      <c r="E21" s="3289" t="s">
        <v>3719</v>
      </c>
      <c r="F21" s="3289">
        <v>1928.9</v>
      </c>
      <c r="G21" s="3289">
        <v>1476</v>
      </c>
    </row>
    <row r="22" spans="3:7" ht="33.75" customHeight="1">
      <c r="C22" s="3289">
        <v>20</v>
      </c>
      <c r="D22" s="3289" t="s">
        <v>3720</v>
      </c>
      <c r="E22" s="3289" t="s">
        <v>3721</v>
      </c>
      <c r="F22" s="3289">
        <v>15670.04</v>
      </c>
      <c r="G22" s="3289">
        <f ca="1">面积表!X29</f>
        <v>7669</v>
      </c>
    </row>
    <row r="23" spans="3:7" ht="25.5">
      <c r="C23" s="3289">
        <v>21</v>
      </c>
      <c r="D23" s="3289" t="s">
        <v>3722</v>
      </c>
      <c r="E23" s="3289" t="s">
        <v>3723</v>
      </c>
      <c r="F23" s="3289">
        <v>30777.32</v>
      </c>
      <c r="G23" s="3289">
        <f ca="1">面积表!X31</f>
        <v>23175</v>
      </c>
    </row>
    <row r="24" spans="3:7" ht="25.5">
      <c r="C24" s="3289">
        <v>22</v>
      </c>
      <c r="D24" s="3289" t="s">
        <v>3724</v>
      </c>
      <c r="E24" s="3289" t="s">
        <v>3725</v>
      </c>
      <c r="F24" s="3289">
        <v>7993.56</v>
      </c>
      <c r="G24" s="3289">
        <v>6119</v>
      </c>
    </row>
    <row r="25" spans="3:7" ht="25.5">
      <c r="C25" s="3289">
        <v>23</v>
      </c>
      <c r="D25" s="3289" t="s">
        <v>3726</v>
      </c>
      <c r="E25" s="3289" t="s">
        <v>3727</v>
      </c>
      <c r="F25" s="3289">
        <v>4717.6899999999996</v>
      </c>
      <c r="G25" s="3289">
        <v>3611</v>
      </c>
    </row>
    <row r="26" spans="3:7" ht="25.5">
      <c r="C26" s="3289">
        <v>24</v>
      </c>
      <c r="D26" s="3289" t="s">
        <v>3728</v>
      </c>
      <c r="E26" s="3289" t="s">
        <v>3729</v>
      </c>
      <c r="F26" s="3289">
        <v>4840.3</v>
      </c>
      <c r="G26" s="3289">
        <v>3542</v>
      </c>
    </row>
    <row r="27" spans="3:7" ht="25.5">
      <c r="C27" s="3289">
        <v>25</v>
      </c>
      <c r="D27" s="3289" t="s">
        <v>3730</v>
      </c>
      <c r="E27" s="3289" t="s">
        <v>3731</v>
      </c>
      <c r="F27" s="3289">
        <v>5340.98</v>
      </c>
      <c r="G27" s="3289">
        <v>3923</v>
      </c>
    </row>
    <row r="28" spans="3:7" ht="25.5">
      <c r="C28" s="3289">
        <v>26</v>
      </c>
      <c r="D28" s="3289" t="s">
        <v>3732</v>
      </c>
      <c r="E28" s="3289" t="s">
        <v>3733</v>
      </c>
      <c r="F28" s="3289">
        <v>4948.1099999999997</v>
      </c>
      <c r="G28" s="3289">
        <v>3597</v>
      </c>
    </row>
    <row r="29" spans="3:7" ht="25.5">
      <c r="C29" s="3289">
        <v>27</v>
      </c>
      <c r="D29" s="3289" t="s">
        <v>3734</v>
      </c>
      <c r="E29" s="3289" t="s">
        <v>3735</v>
      </c>
      <c r="F29" s="3289">
        <v>3183.86</v>
      </c>
      <c r="G29" s="3289">
        <v>2245</v>
      </c>
    </row>
    <row r="30" spans="3:7" ht="25.5">
      <c r="C30" s="3289">
        <v>28</v>
      </c>
      <c r="D30" s="3289" t="s">
        <v>3736</v>
      </c>
      <c r="E30" s="3289" t="s">
        <v>3737</v>
      </c>
      <c r="F30" s="3289">
        <v>3116.17</v>
      </c>
      <c r="G30" s="3289">
        <v>2204</v>
      </c>
    </row>
    <row r="31" spans="3:7" ht="25.5">
      <c r="C31" s="3289">
        <v>29</v>
      </c>
      <c r="D31" s="3289" t="s">
        <v>3738</v>
      </c>
      <c r="E31" s="3289" t="s">
        <v>3739</v>
      </c>
      <c r="F31" s="3289">
        <v>3174.85</v>
      </c>
      <c r="G31" s="3289">
        <v>2241</v>
      </c>
    </row>
    <row r="32" spans="3:7" ht="25.5">
      <c r="C32" s="3289">
        <v>30</v>
      </c>
      <c r="D32" s="3289" t="s">
        <v>3740</v>
      </c>
      <c r="E32" s="3289" t="s">
        <v>3741</v>
      </c>
      <c r="F32" s="3289">
        <v>3066.13</v>
      </c>
      <c r="G32" s="3289">
        <v>2179</v>
      </c>
    </row>
    <row r="33" spans="3:7" ht="25.5">
      <c r="C33" s="3289">
        <v>31</v>
      </c>
      <c r="D33" s="3289" t="s">
        <v>3742</v>
      </c>
      <c r="E33" s="3289" t="s">
        <v>3743</v>
      </c>
      <c r="F33" s="3289">
        <v>2961.87</v>
      </c>
      <c r="G33" s="3289">
        <v>2136</v>
      </c>
    </row>
    <row r="34" spans="3:7" ht="25.5">
      <c r="C34" s="3289">
        <v>32</v>
      </c>
      <c r="D34" s="3289" t="s">
        <v>3744</v>
      </c>
      <c r="E34" s="3289" t="s">
        <v>3745</v>
      </c>
      <c r="F34" s="3289">
        <v>5232.26</v>
      </c>
      <c r="G34" s="3289">
        <v>3842</v>
      </c>
    </row>
    <row r="35" spans="3:7" ht="25.5">
      <c r="C35" s="3289">
        <v>33</v>
      </c>
      <c r="D35" s="3289" t="s">
        <v>3746</v>
      </c>
      <c r="E35" s="3289" t="s">
        <v>3747</v>
      </c>
      <c r="F35" s="3289">
        <v>2973.32</v>
      </c>
      <c r="G35" s="3289">
        <v>2141</v>
      </c>
    </row>
    <row r="36" spans="3:7" ht="25.5">
      <c r="C36" s="3289">
        <v>34</v>
      </c>
      <c r="D36" s="3289" t="s">
        <v>3748</v>
      </c>
      <c r="E36" s="3289" t="s">
        <v>3749</v>
      </c>
      <c r="F36" s="3289">
        <v>3090.4</v>
      </c>
      <c r="G36" s="3289">
        <v>2199</v>
      </c>
    </row>
    <row r="37" spans="3:7" ht="25.5">
      <c r="C37" s="3289">
        <v>35</v>
      </c>
      <c r="D37" s="3289" t="s">
        <v>3750</v>
      </c>
      <c r="E37" s="3289" t="s">
        <v>3751</v>
      </c>
      <c r="F37" s="3289">
        <v>3054.31</v>
      </c>
      <c r="G37" s="3289">
        <v>2173</v>
      </c>
    </row>
    <row r="38" spans="3:7" ht="25.5">
      <c r="C38" s="3289">
        <v>36</v>
      </c>
      <c r="D38" s="3289" t="s">
        <v>3752</v>
      </c>
      <c r="E38" s="3289" t="s">
        <v>3753</v>
      </c>
      <c r="F38" s="3289">
        <v>4939.6499999999996</v>
      </c>
      <c r="G38" s="3289">
        <v>3599</v>
      </c>
    </row>
    <row r="39" spans="3:7" ht="25.5">
      <c r="C39" s="3289">
        <v>37</v>
      </c>
      <c r="D39" s="3289" t="s">
        <v>3754</v>
      </c>
      <c r="E39" s="3289" t="s">
        <v>3755</v>
      </c>
      <c r="F39" s="3289">
        <v>3035.85</v>
      </c>
      <c r="G39" s="3289">
        <v>2172</v>
      </c>
    </row>
    <row r="40" spans="3:7" ht="25.5">
      <c r="C40" s="3289">
        <v>38</v>
      </c>
      <c r="D40" s="3289" t="s">
        <v>3756</v>
      </c>
      <c r="E40" s="3289" t="s">
        <v>3757</v>
      </c>
      <c r="F40" s="3289">
        <v>2920.62</v>
      </c>
      <c r="G40" s="3289">
        <v>2107</v>
      </c>
    </row>
    <row r="41" spans="3:7" ht="25.5">
      <c r="C41" s="3289">
        <v>39</v>
      </c>
      <c r="D41" s="3289" t="s">
        <v>3758</v>
      </c>
      <c r="E41" s="3289" t="s">
        <v>3759</v>
      </c>
      <c r="F41" s="3289">
        <v>3255.41</v>
      </c>
      <c r="G41" s="3289">
        <v>2280</v>
      </c>
    </row>
    <row r="42" spans="3:7" ht="25.5">
      <c r="C42" s="3289">
        <v>40</v>
      </c>
      <c r="D42" s="3289" t="s">
        <v>3760</v>
      </c>
      <c r="E42" s="3289" t="s">
        <v>3761</v>
      </c>
      <c r="F42" s="3289">
        <v>2995.3</v>
      </c>
      <c r="G42" s="3289">
        <v>2152</v>
      </c>
    </row>
    <row r="43" spans="3:7" ht="25.5">
      <c r="C43" s="3289">
        <v>41</v>
      </c>
      <c r="D43" s="3289" t="s">
        <v>3762</v>
      </c>
      <c r="E43" s="3289" t="s">
        <v>3763</v>
      </c>
      <c r="F43" s="3289">
        <v>3222.57</v>
      </c>
      <c r="G43" s="3289">
        <v>2264</v>
      </c>
    </row>
    <row r="44" spans="3:7" ht="25.5">
      <c r="C44" s="3289">
        <v>42</v>
      </c>
      <c r="D44" s="3289" t="s">
        <v>3764</v>
      </c>
      <c r="E44" s="3289" t="s">
        <v>3765</v>
      </c>
      <c r="F44" s="3289">
        <v>5273.65</v>
      </c>
      <c r="G44" s="3289">
        <v>3770</v>
      </c>
    </row>
    <row r="45" spans="3:7" ht="25.5">
      <c r="C45" s="3289">
        <v>43</v>
      </c>
      <c r="D45" s="3289" t="s">
        <v>3766</v>
      </c>
      <c r="E45" s="3289" t="s">
        <v>3767</v>
      </c>
      <c r="F45" s="3289">
        <v>11456.18</v>
      </c>
      <c r="G45" s="3289">
        <f ca="1">面积表!X54</f>
        <v>5563</v>
      </c>
    </row>
    <row r="46" spans="3:7" ht="25.5">
      <c r="C46" s="3289">
        <v>44</v>
      </c>
      <c r="D46" s="3289" t="s">
        <v>3768</v>
      </c>
      <c r="E46" s="3289" t="s">
        <v>3786</v>
      </c>
      <c r="F46" s="3289">
        <v>3259.07</v>
      </c>
      <c r="G46" s="3289">
        <v>2282</v>
      </c>
    </row>
    <row r="47" spans="3:7" ht="25.5">
      <c r="C47" s="3289">
        <v>45</v>
      </c>
      <c r="D47" s="3289" t="s">
        <v>3769</v>
      </c>
      <c r="E47" s="3289" t="s">
        <v>3787</v>
      </c>
      <c r="F47" s="3289">
        <v>3043.91</v>
      </c>
      <c r="G47" s="3289">
        <v>2168</v>
      </c>
    </row>
    <row r="48" spans="3:7" ht="25.5">
      <c r="C48" s="3289">
        <v>46</v>
      </c>
      <c r="D48" s="3289" t="s">
        <v>3770</v>
      </c>
      <c r="E48" s="3289" t="s">
        <v>3788</v>
      </c>
      <c r="F48" s="3289">
        <v>3357.42</v>
      </c>
      <c r="G48" s="3289">
        <v>2323</v>
      </c>
    </row>
    <row r="49" spans="3:7" ht="25.5">
      <c r="C49" s="3289">
        <v>47</v>
      </c>
      <c r="D49" s="3289" t="s">
        <v>3771</v>
      </c>
      <c r="E49" s="3289" t="s">
        <v>3772</v>
      </c>
      <c r="F49" s="3289">
        <v>3296.98</v>
      </c>
      <c r="G49" s="3289">
        <v>2301</v>
      </c>
    </row>
    <row r="50" spans="3:7" ht="25.5">
      <c r="C50" s="3289">
        <v>48</v>
      </c>
      <c r="D50" s="3289" t="s">
        <v>3773</v>
      </c>
      <c r="E50" s="3289" t="s">
        <v>3774</v>
      </c>
      <c r="F50" s="3289">
        <v>3195.49</v>
      </c>
      <c r="G50" s="3289">
        <v>2251</v>
      </c>
    </row>
    <row r="51" spans="3:7" ht="25.5">
      <c r="C51" s="3289">
        <v>49</v>
      </c>
      <c r="D51" s="3289" t="s">
        <v>3775</v>
      </c>
      <c r="E51" s="3289" t="s">
        <v>3776</v>
      </c>
      <c r="F51" s="3289">
        <v>3034.61</v>
      </c>
      <c r="G51" s="3289">
        <v>2171</v>
      </c>
    </row>
    <row r="52" spans="3:7" ht="25.5">
      <c r="C52" s="3289">
        <v>50</v>
      </c>
      <c r="D52" s="3289" t="s">
        <v>3777</v>
      </c>
      <c r="E52" s="3289" t="s">
        <v>3778</v>
      </c>
      <c r="F52" s="3289">
        <v>3091.86</v>
      </c>
      <c r="G52" s="3289">
        <v>2191</v>
      </c>
    </row>
    <row r="53" spans="3:7" ht="25.5">
      <c r="C53" s="3289">
        <v>51</v>
      </c>
      <c r="D53" s="3289" t="s">
        <v>3779</v>
      </c>
      <c r="E53" s="3289" t="s">
        <v>3780</v>
      </c>
      <c r="F53" s="3289">
        <v>3094.72</v>
      </c>
      <c r="G53" s="3289">
        <v>2193</v>
      </c>
    </row>
    <row r="54" spans="3:7" ht="25.5">
      <c r="C54" s="3289">
        <v>52</v>
      </c>
      <c r="D54" s="3289" t="s">
        <v>3781</v>
      </c>
      <c r="E54" s="3289" t="s">
        <v>3789</v>
      </c>
      <c r="F54" s="3289">
        <v>3038.41</v>
      </c>
      <c r="G54" s="3289">
        <v>2165</v>
      </c>
    </row>
    <row r="55" spans="3:7" ht="25.5">
      <c r="C55" s="3289">
        <v>53</v>
      </c>
      <c r="D55" s="3289" t="s">
        <v>3782</v>
      </c>
      <c r="E55" s="3289" t="s">
        <v>3790</v>
      </c>
      <c r="F55" s="3289">
        <v>2982.1</v>
      </c>
      <c r="G55" s="3289">
        <v>2145</v>
      </c>
    </row>
    <row r="56" spans="3:7" ht="25.5">
      <c r="C56" s="3289">
        <v>54</v>
      </c>
      <c r="D56" s="3289" t="s">
        <v>3783</v>
      </c>
      <c r="E56" s="3289" t="s">
        <v>3791</v>
      </c>
      <c r="F56" s="3289">
        <v>3110.37</v>
      </c>
      <c r="G56" s="3289">
        <v>2209</v>
      </c>
    </row>
    <row r="57" spans="3:7" ht="25.5">
      <c r="C57" s="3289">
        <v>55</v>
      </c>
      <c r="D57" s="3289" t="s">
        <v>3784</v>
      </c>
      <c r="E57" s="3289" t="s">
        <v>3792</v>
      </c>
      <c r="F57" s="3289">
        <v>3053.5</v>
      </c>
      <c r="G57" s="3289">
        <v>2173</v>
      </c>
    </row>
    <row r="58" spans="3:7" ht="25.5">
      <c r="C58" s="3289">
        <v>56</v>
      </c>
      <c r="D58" s="3289" t="s">
        <v>3785</v>
      </c>
      <c r="E58" s="3289" t="s">
        <v>3793</v>
      </c>
      <c r="F58" s="3289">
        <v>7411.07</v>
      </c>
      <c r="G58" s="3289">
        <v>3613</v>
      </c>
    </row>
    <row r="59" spans="3:7" ht="13.5" customHeight="1">
      <c r="C59" s="3648" t="s">
        <v>3256</v>
      </c>
      <c r="D59" s="3649"/>
      <c r="E59" s="3650"/>
      <c r="F59" s="3289">
        <v>242531.24000000002</v>
      </c>
      <c r="G59" s="3289">
        <v>167234</v>
      </c>
    </row>
  </sheetData>
  <mergeCells count="5">
    <mergeCell ref="C1:C2"/>
    <mergeCell ref="C59:E59"/>
    <mergeCell ref="F1:F2"/>
    <mergeCell ref="D1:D2"/>
    <mergeCell ref="E1:E2"/>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311" t="str">
        <f>IF(项目基本情况!B9="房地产市场价值","估价结果一览表","结果表-2")</f>
        <v>结果表-2</v>
      </c>
      <c r="B1" s="3311"/>
      <c r="C1" s="3311"/>
      <c r="D1" s="3311"/>
      <c r="E1" s="3311"/>
      <c r="F1" s="3311"/>
      <c r="G1" s="3311"/>
      <c r="H1" s="3311"/>
      <c r="I1" s="3311"/>
    </row>
    <row r="2" spans="1:9" ht="30" customHeight="1" thickTop="1">
      <c r="A2" s="3312" t="s">
        <v>1365</v>
      </c>
      <c r="B2" s="3312" t="s">
        <v>1366</v>
      </c>
      <c r="C2" s="3312" t="s">
        <v>1367</v>
      </c>
      <c r="D2" s="3312" t="str">
        <f>结果表!D116</f>
        <v>出让国有建设用地使用权价值</v>
      </c>
      <c r="E2" s="3312"/>
      <c r="F2" s="3312" t="str">
        <f>结果表!F116</f>
        <v>在建建筑物价值</v>
      </c>
      <c r="G2" s="3312"/>
      <c r="H2" s="3312" t="str">
        <f>IF(项目基本情况!B9="房地产市场价值","房地产市场价值","房地产价值")</f>
        <v>房地产价值</v>
      </c>
      <c r="I2" s="3312"/>
    </row>
    <row r="3" spans="1:9" ht="15">
      <c r="A3" s="3306"/>
      <c r="B3" s="3306"/>
      <c r="C3" s="3306"/>
      <c r="D3" s="944" t="s">
        <v>1362</v>
      </c>
      <c r="E3" s="944" t="s">
        <v>1368</v>
      </c>
      <c r="F3" s="944" t="s">
        <v>1362</v>
      </c>
      <c r="G3" s="944" t="s">
        <v>1363</v>
      </c>
      <c r="H3" s="944" t="s">
        <v>1362</v>
      </c>
      <c r="I3" s="944" t="s">
        <v>1363</v>
      </c>
    </row>
    <row r="4" spans="1:9" ht="15">
      <c r="A4" s="1640" t="str">
        <f>项目基本情况!S2</f>
        <v>北京市房地产</v>
      </c>
      <c r="B4" s="944">
        <f>项目基本情况!C17</f>
        <v>242531.24000000002</v>
      </c>
      <c r="C4" s="944">
        <f>项目基本情况!C18</f>
        <v>118122.57</v>
      </c>
      <c r="D4" s="944">
        <f ca="1">结果表!D118</f>
        <v>51006</v>
      </c>
      <c r="E4" s="944">
        <f ca="1">结果表!E118</f>
        <v>2103</v>
      </c>
      <c r="F4" s="944">
        <f ca="1">结果表!F118</f>
        <v>116228</v>
      </c>
      <c r="G4" s="944">
        <f ca="1">结果表!G118</f>
        <v>4792</v>
      </c>
      <c r="H4" s="944">
        <f ca="1">结果表!H118</f>
        <v>167234</v>
      </c>
      <c r="I4" s="944">
        <f ca="1">结果表!I118</f>
        <v>6895</v>
      </c>
    </row>
    <row r="5" spans="1:9" ht="30" customHeight="1">
      <c r="A5" s="3306" t="s">
        <v>1364</v>
      </c>
      <c r="B5" s="3306"/>
      <c r="C5" s="3306"/>
      <c r="D5" s="3307" t="str">
        <f ca="1">结果表!D119</f>
        <v>伍亿壹仟零陆万元整</v>
      </c>
      <c r="E5" s="3307"/>
      <c r="F5" s="3307" t="str">
        <f ca="1">结果表!F119</f>
        <v>壹拾壹亿陆仟贰佰贰拾捌万元整</v>
      </c>
      <c r="G5" s="3307"/>
      <c r="H5" s="3307" t="str">
        <f ca="1">结果表!H119</f>
        <v>壹拾陆亿柒仟贰佰叁拾肆万元整</v>
      </c>
      <c r="I5" s="3307"/>
    </row>
    <row r="6" spans="1:9" ht="15.75">
      <c r="A6" s="3305" t="str">
        <f>结果表!A120</f>
        <v>估价师知悉的法定优先受偿款</v>
      </c>
      <c r="B6" s="3305"/>
      <c r="C6" s="3305"/>
      <c r="D6" s="3305">
        <f>结果表!D120</f>
        <v>0</v>
      </c>
      <c r="E6" s="3305"/>
      <c r="F6" s="3305"/>
      <c r="G6" s="3305"/>
      <c r="H6" s="3305"/>
      <c r="I6" s="3305"/>
    </row>
    <row r="7" spans="1:9" ht="15">
      <c r="A7" s="3306" t="s">
        <v>1364</v>
      </c>
      <c r="B7" s="3306"/>
      <c r="C7" s="3306"/>
      <c r="D7" s="3308" t="str">
        <f>结果表!D121</f>
        <v>零元整</v>
      </c>
      <c r="E7" s="3309"/>
      <c r="F7" s="3309"/>
      <c r="G7" s="3309"/>
      <c r="H7" s="3309"/>
      <c r="I7" s="3310"/>
    </row>
    <row r="8" spans="1:9" ht="15.75">
      <c r="A8" s="3305" t="str">
        <f>结果表!A122</f>
        <v>房地产抵押价值</v>
      </c>
      <c r="B8" s="3305"/>
      <c r="C8" s="3305"/>
      <c r="D8" s="3305">
        <f ca="1">结果表!D122</f>
        <v>167234</v>
      </c>
      <c r="E8" s="3305"/>
      <c r="F8" s="3305"/>
      <c r="G8" s="3305"/>
      <c r="H8" s="3305"/>
      <c r="I8" s="3305"/>
    </row>
    <row r="9" spans="1:9" ht="15">
      <c r="A9" s="3306" t="s">
        <v>1364</v>
      </c>
      <c r="B9" s="3306"/>
      <c r="C9" s="3306"/>
      <c r="D9" s="3307" t="str">
        <f ca="1">结果表!D123</f>
        <v>壹拾陆亿柒仟贰佰叁拾肆万元整</v>
      </c>
      <c r="E9" s="3307"/>
      <c r="F9" s="3307"/>
      <c r="G9" s="3307"/>
      <c r="H9" s="3307"/>
      <c r="I9" s="3307"/>
    </row>
    <row r="10" spans="1:9" ht="15.75">
      <c r="A10" s="3305" t="str">
        <f>结果表!A124</f>
        <v/>
      </c>
      <c r="B10" s="3305"/>
      <c r="C10" s="3305"/>
      <c r="D10" s="3305" t="str">
        <f>结果表!D124</f>
        <v>——</v>
      </c>
      <c r="E10" s="3305"/>
      <c r="F10" s="3305"/>
      <c r="G10" s="3305"/>
      <c r="H10" s="3305"/>
      <c r="I10" s="3305"/>
    </row>
    <row r="11" spans="1:9" ht="15">
      <c r="A11" s="3306" t="s">
        <v>1364</v>
      </c>
      <c r="B11" s="3306"/>
      <c r="C11" s="3306"/>
      <c r="D11" s="3307" t="e">
        <f>结果表!D125</f>
        <v>#VALUE!</v>
      </c>
      <c r="E11" s="3307"/>
      <c r="F11" s="3307"/>
      <c r="G11" s="3307"/>
      <c r="H11" s="3307"/>
      <c r="I11" s="3307"/>
    </row>
    <row r="12" spans="1:9" ht="15.75">
      <c r="A12" s="3305" t="str">
        <f>结果表!A126</f>
        <v/>
      </c>
      <c r="B12" s="3305"/>
      <c r="C12" s="3305"/>
      <c r="D12" s="3305" t="str">
        <f>结果表!D126</f>
        <v>——</v>
      </c>
      <c r="E12" s="3305"/>
      <c r="F12" s="3305"/>
      <c r="G12" s="3305"/>
      <c r="H12" s="3305"/>
      <c r="I12" s="3305"/>
    </row>
    <row r="13" spans="1:9" ht="15.75" thickBot="1">
      <c r="A13" s="3302" t="s">
        <v>1364</v>
      </c>
      <c r="B13" s="3302"/>
      <c r="C13" s="3302"/>
      <c r="D13" s="3303" t="e">
        <f>结果表!D127</f>
        <v>#VALUE!</v>
      </c>
      <c r="E13" s="3303"/>
      <c r="F13" s="3303"/>
      <c r="G13" s="3303"/>
      <c r="H13" s="3303"/>
      <c r="I13" s="3303"/>
    </row>
    <row r="14" spans="1:9" ht="15" thickTop="1">
      <c r="A14" s="3304" t="s">
        <v>1369</v>
      </c>
      <c r="B14" s="3304"/>
      <c r="C14" s="3304"/>
      <c r="D14" s="3304"/>
      <c r="E14" s="3304"/>
      <c r="F14" s="3304"/>
      <c r="G14" s="3304"/>
      <c r="H14" s="3304"/>
      <c r="I14" s="3304"/>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319" t="s">
        <v>1386</v>
      </c>
      <c r="B1" s="3319"/>
      <c r="C1" s="3319"/>
      <c r="D1" s="3319"/>
    </row>
    <row r="2" spans="1:4" ht="18">
      <c r="A2" s="3320" t="s">
        <v>1370</v>
      </c>
      <c r="B2" s="3320"/>
      <c r="C2" s="3320"/>
      <c r="D2" s="3320"/>
    </row>
    <row r="3" spans="1:4" ht="18.75">
      <c r="A3" s="1644" t="s">
        <v>1371</v>
      </c>
      <c r="B3" s="1644" t="s">
        <v>1372</v>
      </c>
      <c r="C3" s="1644" t="s">
        <v>1373</v>
      </c>
      <c r="D3" s="1644" t="s">
        <v>1374</v>
      </c>
    </row>
    <row r="4" spans="1:4" ht="56.25" customHeight="1">
      <c r="A4" s="1645" t="str">
        <f>项目基本情况!B4</f>
        <v>吴薇</v>
      </c>
      <c r="B4" s="1646">
        <f ca="1">项目基本情况!C4</f>
        <v>1419970001</v>
      </c>
      <c r="C4" s="1647"/>
      <c r="D4" s="1648" t="s">
        <v>1375</v>
      </c>
    </row>
    <row r="5" spans="1:4" ht="56.25" customHeight="1">
      <c r="A5" s="1645" t="str">
        <f>项目基本情况!D4</f>
        <v>崔锴</v>
      </c>
      <c r="B5" s="1646">
        <f ca="1">项目基本情况!E4</f>
        <v>0</v>
      </c>
      <c r="C5" s="1649"/>
      <c r="D5" s="1648" t="s">
        <v>1375</v>
      </c>
    </row>
    <row r="6" spans="1:4" ht="18">
      <c r="A6" s="3320" t="s">
        <v>1376</v>
      </c>
      <c r="B6" s="3320"/>
      <c r="C6" s="3320"/>
      <c r="D6" s="3320"/>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321" t="s">
        <v>1379</v>
      </c>
      <c r="B11" s="3313"/>
      <c r="C11" s="3313"/>
      <c r="D11" s="3313"/>
    </row>
    <row r="12" spans="1:4" ht="15.75">
      <c r="A12" s="33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8"/>
      <c r="C12" s="3318"/>
      <c r="D12" s="3318"/>
    </row>
    <row r="13" spans="1:4" ht="30" customHeight="1">
      <c r="A13" s="33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8"/>
      <c r="C13" s="3318"/>
      <c r="D13" s="3318"/>
    </row>
    <row r="14" spans="1:4" ht="15.75" customHeight="1">
      <c r="A14" s="3313" t="str">
        <f>IF(项目基本情况!B8="抵押","4.本次评估估价师所知悉的法定优先受偿款情况说明如下：","——")</f>
        <v>4.本次评估估价师所知悉的法定优先受偿款情况说明如下：</v>
      </c>
      <c r="B14" s="3318"/>
      <c r="C14" s="3318"/>
      <c r="D14" s="3318"/>
    </row>
    <row r="15" spans="1:4" ht="42" customHeight="1">
      <c r="A15" s="33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3"/>
      <c r="C15" s="3313"/>
      <c r="D15" s="3313"/>
    </row>
    <row r="16" spans="1:4" ht="30" customHeight="1">
      <c r="A16" s="3315" t="s">
        <v>1380</v>
      </c>
      <c r="B16" s="3315"/>
      <c r="C16" s="3315"/>
      <c r="D16" s="3315"/>
    </row>
    <row r="17" spans="1:4" ht="144" customHeight="1">
      <c r="A17" s="3315" t="s">
        <v>1381</v>
      </c>
      <c r="B17" s="3315"/>
      <c r="C17" s="3315"/>
      <c r="D17" s="3315"/>
    </row>
    <row r="18" spans="1:4" ht="15.75" customHeight="1">
      <c r="A18" s="3313" t="str">
        <f>IF(项目基本情况!B8="抵押",结果表!K120,"——")</f>
        <v>故，本次评估不存在估价师知悉的法定优先受偿款</v>
      </c>
      <c r="B18" s="3313"/>
      <c r="C18" s="3313"/>
      <c r="D18" s="3313"/>
    </row>
    <row r="19" spans="1:4" ht="46.5" customHeight="1">
      <c r="A19" s="33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3"/>
      <c r="C19" s="3313"/>
      <c r="D19" s="3313"/>
    </row>
    <row r="20" spans="1:4" ht="57.75" customHeight="1">
      <c r="A20" s="33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13"/>
      <c r="C20" s="3313"/>
      <c r="D20" s="3313"/>
    </row>
    <row r="21" spans="1:4" ht="57.75" customHeight="1">
      <c r="A21" s="33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16"/>
      <c r="C21" s="3316"/>
      <c r="D21" s="3316"/>
    </row>
    <row r="22" spans="1:4" ht="18.75" customHeight="1">
      <c r="A22" s="3317" t="s">
        <v>1382</v>
      </c>
      <c r="B22" s="3317"/>
      <c r="C22" s="3317"/>
      <c r="D22" s="3317"/>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314">
        <v>42551</v>
      </c>
      <c r="D31" s="33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327" t="s">
        <v>1393</v>
      </c>
      <c r="B15" s="3322" t="s">
        <v>136</v>
      </c>
      <c r="C15" s="3323"/>
    </row>
    <row r="16" spans="1:7" ht="13.5">
      <c r="A16" s="3328"/>
      <c r="B16" s="3322" t="s">
        <v>69</v>
      </c>
      <c r="C16" s="3323"/>
    </row>
    <row r="17" spans="1:3" ht="13.5">
      <c r="A17" s="3328"/>
      <c r="B17" s="3325" t="s">
        <v>1394</v>
      </c>
      <c r="C17" s="1667" t="s">
        <v>1393</v>
      </c>
    </row>
    <row r="18" spans="1:3" ht="13.5">
      <c r="A18" s="3328"/>
      <c r="B18" s="3325"/>
      <c r="C18" s="1667" t="s">
        <v>1395</v>
      </c>
    </row>
    <row r="19" spans="1:3" ht="13.5">
      <c r="A19" s="3328"/>
      <c r="B19" s="3325"/>
      <c r="C19" s="1667" t="s">
        <v>1396</v>
      </c>
    </row>
    <row r="20" spans="1:3" ht="13.5">
      <c r="A20" s="3329"/>
      <c r="B20" s="3324" t="s">
        <v>1397</v>
      </c>
      <c r="C20" s="3323"/>
    </row>
    <row r="21" spans="1:3" ht="13.5">
      <c r="A21" s="1668" t="s">
        <v>1398</v>
      </c>
      <c r="B21" s="1669"/>
      <c r="C21" s="1670"/>
    </row>
    <row r="22" spans="1:3" ht="13.5">
      <c r="A22" s="3326" t="s">
        <v>1399</v>
      </c>
      <c r="B22" s="3324" t="s">
        <v>1400</v>
      </c>
      <c r="C22" s="3323"/>
    </row>
    <row r="23" spans="1:3" ht="13.5">
      <c r="A23" s="3326"/>
      <c r="B23" s="3324" t="s">
        <v>1401</v>
      </c>
      <c r="C23" s="3323"/>
    </row>
    <row r="24" spans="1:3" ht="13.5">
      <c r="A24" s="3326"/>
      <c r="B24" s="3324" t="s">
        <v>1402</v>
      </c>
      <c r="C24" s="3323"/>
    </row>
    <row r="25" spans="1:3" ht="13.5">
      <c r="A25" s="3326"/>
      <c r="B25" s="3325" t="s">
        <v>1403</v>
      </c>
      <c r="C25" s="1667" t="s">
        <v>1404</v>
      </c>
    </row>
    <row r="26" spans="1:3" ht="13.5">
      <c r="A26" s="3326"/>
      <c r="B26" s="3325"/>
      <c r="C26" s="1667" t="s">
        <v>1405</v>
      </c>
    </row>
    <row r="27" spans="1:3" ht="13.5">
      <c r="A27" s="3326"/>
      <c r="B27" s="3325"/>
      <c r="C27" s="1667" t="s">
        <v>1406</v>
      </c>
    </row>
    <row r="28" spans="1:3" ht="13.5">
      <c r="A28" s="3326"/>
      <c r="B28" s="3325"/>
      <c r="C28" s="1667" t="s">
        <v>1407</v>
      </c>
    </row>
    <row r="29" spans="1:3" ht="13.5">
      <c r="A29" s="3326"/>
      <c r="B29" s="3325"/>
      <c r="C29" s="1667" t="s">
        <v>1408</v>
      </c>
    </row>
    <row r="30" spans="1:3" ht="13.5">
      <c r="A30" s="3326"/>
      <c r="B30" s="3325"/>
      <c r="C30" s="1667" t="s">
        <v>1409</v>
      </c>
    </row>
    <row r="31" spans="1:3" ht="13.5">
      <c r="A31" s="3326"/>
      <c r="B31" s="3325"/>
      <c r="C31" s="1667" t="s">
        <v>1410</v>
      </c>
    </row>
    <row r="32" spans="1:3" ht="13.5">
      <c r="A32" s="3326"/>
      <c r="B32" s="3325"/>
      <c r="C32" s="1667" t="s">
        <v>1411</v>
      </c>
    </row>
    <row r="33" spans="1:3" ht="13.5">
      <c r="A33" s="3326"/>
      <c r="B33" s="3325"/>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2637</v>
      </c>
      <c r="B2" s="2511">
        <f ca="1">TODAY()</f>
        <v>44775</v>
      </c>
      <c r="C2" s="2512" t="s">
        <v>2638</v>
      </c>
      <c r="D2" s="2512"/>
      <c r="E2" s="2512"/>
      <c r="F2" s="2508"/>
      <c r="G2" s="2508"/>
      <c r="H2" s="2508"/>
    </row>
    <row r="3" spans="1:8" ht="24" customHeight="1">
      <c r="A3" s="2513" t="s">
        <v>2639</v>
      </c>
      <c r="B3" s="2514" t="s">
        <v>2640</v>
      </c>
      <c r="C3" s="2514" t="s">
        <v>2641</v>
      </c>
      <c r="D3" s="2515" t="s">
        <v>2642</v>
      </c>
      <c r="E3" s="2516" t="s">
        <v>2643</v>
      </c>
      <c r="F3" s="1424" t="s">
        <v>2644</v>
      </c>
      <c r="G3" s="2514" t="s">
        <v>2641</v>
      </c>
      <c r="H3" s="2515" t="s">
        <v>2645</v>
      </c>
    </row>
    <row r="4" spans="1:8" ht="24" customHeight="1">
      <c r="A4" s="1424" t="s">
        <v>2646</v>
      </c>
      <c r="B4" s="1424">
        <f ca="1">IF(C4&lt;B2,"已过期",1119970066)</f>
        <v>1119970066</v>
      </c>
      <c r="C4" s="2517">
        <v>44876</v>
      </c>
      <c r="D4" s="2518" t="str">
        <f ca="1">A4&amp;"（注册号："&amp;B4&amp;"）"</f>
        <v>梁津（注册号：1119970066）</v>
      </c>
      <c r="E4" s="2519" t="s">
        <v>2646</v>
      </c>
      <c r="F4" s="1424">
        <f ca="1">IF(G4&lt;B2,"已过期",96010014)</f>
        <v>96010014</v>
      </c>
      <c r="G4" s="2520">
        <v>47118</v>
      </c>
      <c r="H4" s="2521" t="str">
        <f ca="1">E4&amp;"（注册号："&amp;F4&amp;"）"</f>
        <v>梁津（注册号：96010014）</v>
      </c>
    </row>
    <row r="5" spans="1:8" ht="24" customHeight="1">
      <c r="A5" s="1424" t="s">
        <v>2647</v>
      </c>
      <c r="B5" s="1424">
        <f ca="1">IF(C5&lt;B2,"已过期",1119970111)</f>
        <v>1119970111</v>
      </c>
      <c r="C5" s="2517">
        <v>44876</v>
      </c>
      <c r="D5" s="2518" t="str">
        <f t="shared" ref="D5:D15" ca="1" si="0">A5&amp;"（注册号："&amp;B5&amp;"）"</f>
        <v>叶凌（注册号：1119970111）</v>
      </c>
      <c r="E5" s="2519" t="s">
        <v>2647</v>
      </c>
      <c r="F5" s="1424">
        <f ca="1">IF(G5&lt;B2,"已过期",94010078)</f>
        <v>94010078</v>
      </c>
      <c r="G5" s="2520">
        <v>46387</v>
      </c>
      <c r="H5" s="2521" t="str">
        <f t="shared" ref="H5:H16" ca="1" si="1">E5&amp;"（注册号："&amp;F5&amp;"）"</f>
        <v>叶凌（注册号：94010078）</v>
      </c>
    </row>
    <row r="6" spans="1:8" ht="24" customHeight="1">
      <c r="A6" s="1424" t="s">
        <v>2648</v>
      </c>
      <c r="B6" s="1424">
        <f ca="1">IF(C6&lt;B2,"已过期",1120050019)</f>
        <v>1120050019</v>
      </c>
      <c r="C6" s="2517">
        <v>45410</v>
      </c>
      <c r="D6" s="2518" t="str">
        <f t="shared" ca="1" si="0"/>
        <v>王鹏（注册号：1120050019）</v>
      </c>
      <c r="E6" s="2519" t="s">
        <v>2648</v>
      </c>
      <c r="F6" s="1424">
        <f ca="1">IF(G6&lt;B2,"已过期",2002110030)</f>
        <v>2002110030</v>
      </c>
      <c r="G6" s="2520">
        <v>46387</v>
      </c>
      <c r="H6" s="2521" t="str">
        <f t="shared" ca="1" si="1"/>
        <v>王鹏（注册号：2002110030）</v>
      </c>
    </row>
    <row r="7" spans="1:8" ht="24" customHeight="1">
      <c r="A7" s="1424" t="s">
        <v>2649</v>
      </c>
      <c r="B7" s="1424">
        <f ca="1">IF(C7&lt;B2,"已过期",1120000080)</f>
        <v>1120000080</v>
      </c>
      <c r="C7" s="2517">
        <v>44876</v>
      </c>
      <c r="D7" s="2518" t="str">
        <f t="shared" ca="1" si="0"/>
        <v>欧红伟（注册号：1120000080）</v>
      </c>
      <c r="E7" s="2519" t="s">
        <v>2649</v>
      </c>
      <c r="F7" s="1424">
        <f ca="1">IF(G7&lt;B2,"已过期",2000110082)</f>
        <v>2000110082</v>
      </c>
      <c r="G7" s="2520">
        <v>46387</v>
      </c>
      <c r="H7" s="2521" t="str">
        <f t="shared" ca="1" si="1"/>
        <v>欧红伟（注册号：2000110082）</v>
      </c>
    </row>
    <row r="8" spans="1:8" ht="24" customHeight="1">
      <c r="A8" s="1424" t="s">
        <v>2650</v>
      </c>
      <c r="B8" s="1424">
        <f ca="1">IF(C8&lt;B2,"已过期",1419970001)</f>
        <v>1419970001</v>
      </c>
      <c r="C8" s="2517">
        <v>44899</v>
      </c>
      <c r="D8" s="2518" t="str">
        <f t="shared" ca="1" si="0"/>
        <v>吴薇（注册号：1419970001）</v>
      </c>
      <c r="E8" s="2519" t="s">
        <v>2650</v>
      </c>
      <c r="F8" s="1424">
        <f ca="1">IF(G8&lt;B2,"已过期",2002110125)</f>
        <v>2002110125</v>
      </c>
      <c r="G8" s="2520">
        <v>47118</v>
      </c>
      <c r="H8" s="2521" t="str">
        <f t="shared" ca="1" si="1"/>
        <v>吴薇（注册号：2002110125）</v>
      </c>
    </row>
    <row r="9" spans="1:8" ht="24" customHeight="1">
      <c r="A9" s="1424" t="s">
        <v>2651</v>
      </c>
      <c r="B9" s="1424">
        <f ca="1">IF(C9&lt;B2,"已过期",1120060040)</f>
        <v>1120060040</v>
      </c>
      <c r="C9" s="2522">
        <v>45592</v>
      </c>
      <c r="D9" s="2518" t="str">
        <f t="shared" ca="1" si="0"/>
        <v>陈颖（注册号：1120060040）</v>
      </c>
      <c r="E9" s="2519" t="s">
        <v>2651</v>
      </c>
      <c r="F9" s="1424">
        <f ca="1">IF(G9&lt;B2,"已过期",2004110096)</f>
        <v>2004110096</v>
      </c>
      <c r="G9" s="2520">
        <v>47118</v>
      </c>
      <c r="H9" s="2521" t="str">
        <f t="shared" ca="1" si="1"/>
        <v>陈颖（注册号：2004110096）</v>
      </c>
    </row>
    <row r="10" spans="1:8" ht="24" customHeight="1">
      <c r="A10" s="1424" t="s">
        <v>2652</v>
      </c>
      <c r="B10" s="1424" t="str">
        <f ca="1">IF(C10&lt;B2,"已过期",1120100036)</f>
        <v>已过期</v>
      </c>
      <c r="C10" s="2522">
        <v>44675</v>
      </c>
      <c r="D10" s="2518" t="str">
        <f t="shared" ca="1" si="0"/>
        <v>崔锴（注册号：已过期）</v>
      </c>
      <c r="E10" s="2519" t="s">
        <v>2652</v>
      </c>
      <c r="F10" s="1424">
        <f ca="1">IF(G10&lt;B2,"已过期",2010110070)</f>
        <v>2010110070</v>
      </c>
      <c r="G10" s="2520">
        <v>47907</v>
      </c>
      <c r="H10" s="2521" t="str">
        <f t="shared" ca="1" si="1"/>
        <v>崔锴（注册号：2010110070）</v>
      </c>
    </row>
    <row r="11" spans="1:8" ht="24" customHeight="1">
      <c r="A11" s="1424" t="s">
        <v>2653</v>
      </c>
      <c r="B11" s="1424">
        <f ca="1">IF(C11&lt;B2,"已过期",1120070131)</f>
        <v>1120070131</v>
      </c>
      <c r="C11" s="2517">
        <v>44849</v>
      </c>
      <c r="D11" s="2518" t="str">
        <f t="shared" ca="1" si="0"/>
        <v>郑燚（注册号：1120070131）</v>
      </c>
      <c r="E11" s="2519" t="s">
        <v>2653</v>
      </c>
      <c r="F11" s="1424">
        <f ca="1">IF(G11&lt;B2,"已过期",2014110011)</f>
        <v>2014110011</v>
      </c>
      <c r="G11" s="2520">
        <v>49302</v>
      </c>
      <c r="H11" s="2521" t="str">
        <f t="shared" ca="1" si="1"/>
        <v>郑燚（注册号：2014110011）</v>
      </c>
    </row>
    <row r="12" spans="1:8" ht="24" customHeight="1">
      <c r="A12" s="1424" t="s">
        <v>2654</v>
      </c>
      <c r="B12" s="1424">
        <f ca="1">IF(C12&lt;B2,"已过期",1120040230)</f>
        <v>1120040230</v>
      </c>
      <c r="C12" s="2522">
        <v>44864</v>
      </c>
      <c r="D12" s="2518" t="str">
        <f t="shared" ca="1" si="0"/>
        <v>苏海（注册号：1120040230）</v>
      </c>
      <c r="E12" s="2519" t="s">
        <v>2654</v>
      </c>
      <c r="F12" s="1424">
        <f ca="1">IF(G12&lt;B2,"已过期",98030020)</f>
        <v>98030020</v>
      </c>
      <c r="G12" s="2520">
        <v>47118</v>
      </c>
      <c r="H12" s="2521" t="str">
        <f t="shared" ca="1" si="1"/>
        <v>苏海（注册号：98030020）</v>
      </c>
    </row>
    <row r="13" spans="1:8" ht="24" customHeight="1">
      <c r="A13" s="1424" t="s">
        <v>2655</v>
      </c>
      <c r="B13" s="1424" t="str">
        <f ca="1">IF(C13&lt;B2,"已过期",1120020033)</f>
        <v>已过期</v>
      </c>
      <c r="C13" s="2517">
        <v>44339</v>
      </c>
      <c r="D13" s="2518" t="str">
        <f t="shared" ca="1" si="0"/>
        <v>刘敬东（注册号：已过期）</v>
      </c>
      <c r="E13" s="2519" t="s">
        <v>2655</v>
      </c>
      <c r="F13" s="1424">
        <f ca="1">IF(G13&lt;B2,"已过期",2000110137)</f>
        <v>2000110137</v>
      </c>
      <c r="G13" s="2520">
        <v>46387</v>
      </c>
      <c r="H13" s="2521" t="str">
        <f t="shared" ca="1" si="1"/>
        <v>刘敬东（注册号：2000110137）</v>
      </c>
    </row>
    <row r="14" spans="1:8" ht="24" customHeight="1">
      <c r="A14" s="1424" t="s">
        <v>2656</v>
      </c>
      <c r="B14" s="1424">
        <f ca="1">IF(C14&lt;B2,"已过期",1119980106)</f>
        <v>1119980106</v>
      </c>
      <c r="C14" s="2522">
        <v>44969</v>
      </c>
      <c r="D14" s="2518" t="str">
        <f t="shared" ca="1" si="0"/>
        <v>刘俊财（注册号：1119980106）</v>
      </c>
      <c r="E14" s="2519" t="s">
        <v>2656</v>
      </c>
      <c r="F14" s="1424">
        <f ca="1">IF(G14&lt;B2,"已过期",96010063)</f>
        <v>96010063</v>
      </c>
      <c r="G14" s="2520">
        <v>47483</v>
      </c>
      <c r="H14" s="2521" t="str">
        <f t="shared" ca="1" si="1"/>
        <v>刘俊财（注册号：96010063）</v>
      </c>
    </row>
    <row r="15" spans="1:8" ht="24" customHeight="1">
      <c r="A15" s="1424" t="s">
        <v>2940</v>
      </c>
      <c r="B15" s="1424">
        <v>1120210056</v>
      </c>
      <c r="C15" s="2522">
        <v>45410</v>
      </c>
      <c r="D15" s="2518" t="str">
        <f t="shared" si="0"/>
        <v>宁小鳗（注册号：1120210056）</v>
      </c>
      <c r="E15" s="2519" t="s">
        <v>2657</v>
      </c>
      <c r="F15" s="1424">
        <f ca="1">IF(G15&lt;B2,"已过期",2011110090)</f>
        <v>2011110090</v>
      </c>
      <c r="G15" s="2520">
        <v>48302</v>
      </c>
      <c r="H15" s="2521" t="str">
        <f t="shared" ca="1" si="1"/>
        <v>赵雯（注册号：2011110090）</v>
      </c>
    </row>
    <row r="16" spans="1:8" s="2524" customFormat="1" ht="24" customHeight="1">
      <c r="A16" s="1424"/>
      <c r="B16" s="1424"/>
      <c r="C16" s="1424"/>
      <c r="D16" s="2518" t="str">
        <f>A16&amp;"（注册号："&amp;B16&amp;"）"</f>
        <v>（注册号：）</v>
      </c>
      <c r="E16" s="2519"/>
      <c r="F16" s="1424"/>
      <c r="G16" s="1424"/>
      <c r="H16" s="2523" t="str">
        <f t="shared" si="1"/>
        <v>（注册号：）</v>
      </c>
    </row>
    <row r="17" spans="1:8" ht="24" customHeight="1">
      <c r="A17" s="3330" t="s">
        <v>2658</v>
      </c>
      <c r="B17" s="3330"/>
      <c r="C17" s="3330"/>
      <c r="D17" s="3330"/>
      <c r="E17" s="3330"/>
      <c r="F17" s="3330"/>
      <c r="G17" s="3330"/>
      <c r="H17" s="3330"/>
    </row>
    <row r="18" spans="1:8" ht="24" customHeight="1">
      <c r="A18" s="3331" t="s">
        <v>2659</v>
      </c>
      <c r="B18" s="3331"/>
      <c r="C18" s="3331"/>
      <c r="D18" s="2515"/>
      <c r="E18" s="3332" t="s">
        <v>2660</v>
      </c>
      <c r="F18" s="3331"/>
      <c r="G18" s="3331"/>
    </row>
    <row r="19" spans="1:8" s="2526" customFormat="1" ht="24" customHeight="1">
      <c r="A19" s="2525" t="s">
        <v>2661</v>
      </c>
      <c r="B19" s="2514" t="s">
        <v>2662</v>
      </c>
      <c r="C19" s="2514" t="s">
        <v>2641</v>
      </c>
      <c r="D19" s="2515"/>
      <c r="E19" s="2519" t="s">
        <v>2661</v>
      </c>
      <c r="F19" s="2514" t="s">
        <v>2662</v>
      </c>
      <c r="G19" s="2514" t="s">
        <v>2641</v>
      </c>
    </row>
    <row r="20" spans="1:8" s="2526" customFormat="1" ht="24" customHeight="1">
      <c r="A20" s="2527" t="s">
        <v>2663</v>
      </c>
      <c r="B20" s="2527" t="s">
        <v>2664</v>
      </c>
      <c r="C20" s="2520">
        <v>44820</v>
      </c>
      <c r="D20" s="2528"/>
      <c r="E20" s="2529" t="s">
        <v>2665</v>
      </c>
      <c r="F20" s="2532" t="s">
        <v>2941</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3">
      <formula>AND($C4-TODAY()&lt;30,TODAY()&lt;$C4)</formula>
    </cfRule>
  </conditionalFormatting>
  <conditionalFormatting sqref="C20:D20">
    <cfRule type="expression" dxfId="239" priority="52">
      <formula>AND($C20-TODAY()&lt;30,TODAY()&lt;$C20)</formula>
    </cfRule>
  </conditionalFormatting>
  <conditionalFormatting sqref="C20:D20 G4 C4:D5 C13:D13">
    <cfRule type="cellIs" dxfId="238" priority="54" stopIfTrue="1" operator="lessThan">
      <formula>$B$2</formula>
    </cfRule>
  </conditionalFormatting>
  <conditionalFormatting sqref="G5 G7 G9">
    <cfRule type="cellIs" dxfId="237" priority="51" stopIfTrue="1" operator="lessThan">
      <formula>$B$2</formula>
    </cfRule>
  </conditionalFormatting>
  <conditionalFormatting sqref="C6:D6 D14 D16">
    <cfRule type="expression" dxfId="236" priority="49">
      <formula>AND($C6-TODAY()&lt;30,TODAY()&lt;$C6)</formula>
    </cfRule>
  </conditionalFormatting>
  <conditionalFormatting sqref="G6 G8 G10 C6:D6 D7:D12 D14 D16">
    <cfRule type="cellIs" dxfId="235" priority="50" stopIfTrue="1" operator="lessThan">
      <formula>$B$2</formula>
    </cfRule>
  </conditionalFormatting>
  <conditionalFormatting sqref="D12">
    <cfRule type="expression" dxfId="234" priority="47">
      <formula>AND($C12-TODAY()&lt;30,TODAY()&lt;$C12)</formula>
    </cfRule>
  </conditionalFormatting>
  <conditionalFormatting sqref="D12">
    <cfRule type="cellIs" dxfId="233" priority="48" stopIfTrue="1" operator="lessThan">
      <formula>$B$2</formula>
    </cfRule>
  </conditionalFormatting>
  <conditionalFormatting sqref="C13:D13">
    <cfRule type="expression" dxfId="232" priority="45">
      <formula>AND($C13-TODAY()&lt;30,TODAY()&lt;$C13)</formula>
    </cfRule>
  </conditionalFormatting>
  <conditionalFormatting sqref="C13:D13">
    <cfRule type="cellIs" dxfId="231" priority="46" stopIfTrue="1" operator="lessThan">
      <formula>$B$2</formula>
    </cfRule>
  </conditionalFormatting>
  <conditionalFormatting sqref="D14">
    <cfRule type="expression" dxfId="230" priority="43">
      <formula>AND($C14-TODAY()&lt;30,TODAY()&lt;$C14)</formula>
    </cfRule>
  </conditionalFormatting>
  <conditionalFormatting sqref="D14">
    <cfRule type="cellIs" dxfId="229" priority="44" stopIfTrue="1" operator="lessThan">
      <formula>$B$2</formula>
    </cfRule>
  </conditionalFormatting>
  <conditionalFormatting sqref="G13">
    <cfRule type="cellIs" dxfId="228" priority="42" stopIfTrue="1" operator="lessThan">
      <formula>$B$2</formula>
    </cfRule>
  </conditionalFormatting>
  <conditionalFormatting sqref="B4:B11 F4:F11 B13 F13:F14">
    <cfRule type="cellIs" dxfId="227" priority="41" stopIfTrue="1" operator="equal">
      <formula>"已过期"</formula>
    </cfRule>
  </conditionalFormatting>
  <conditionalFormatting sqref="C7">
    <cfRule type="cellIs" dxfId="226" priority="38" stopIfTrue="1" operator="lessThan">
      <formula>$B$2</formula>
    </cfRule>
  </conditionalFormatting>
  <conditionalFormatting sqref="C7">
    <cfRule type="expression" dxfId="225" priority="37">
      <formula>AND($C7-TODAY()&lt;30,TODAY()&lt;$C7)</formula>
    </cfRule>
  </conditionalFormatting>
  <conditionalFormatting sqref="C8">
    <cfRule type="expression" dxfId="224" priority="35">
      <formula>AND($C8-TODAY()&lt;30,TODAY()&lt;$C8)</formula>
    </cfRule>
  </conditionalFormatting>
  <conditionalFormatting sqref="C8">
    <cfRule type="cellIs" dxfId="223" priority="36" stopIfTrue="1" operator="lessThan">
      <formula>$B$2</formula>
    </cfRule>
  </conditionalFormatting>
  <conditionalFormatting sqref="C11">
    <cfRule type="expression" dxfId="222" priority="33">
      <formula>AND($C11-TODAY()&lt;30,TODAY()&lt;$C11)</formula>
    </cfRule>
  </conditionalFormatting>
  <conditionalFormatting sqref="C11">
    <cfRule type="cellIs" dxfId="221" priority="34" stopIfTrue="1" operator="lessThan">
      <formula>$B$2</formula>
    </cfRule>
  </conditionalFormatting>
  <conditionalFormatting sqref="A16:C16">
    <cfRule type="cellIs" dxfId="220" priority="32" stopIfTrue="1" operator="equal">
      <formula>"已过期"</formula>
    </cfRule>
  </conditionalFormatting>
  <conditionalFormatting sqref="E16:G16">
    <cfRule type="cellIs" dxfId="219" priority="31" stopIfTrue="1" operator="equal">
      <formula>"已过期"</formula>
    </cfRule>
  </conditionalFormatting>
  <conditionalFormatting sqref="G11">
    <cfRule type="cellIs" dxfId="218" priority="30"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2">
    <cfRule type="cellIs" dxfId="215" priority="27" stopIfTrue="1" operator="lessThan">
      <formula>$B$2</formula>
    </cfRule>
  </conditionalFormatting>
  <conditionalFormatting sqref="C12">
    <cfRule type="expression" dxfId="214" priority="25">
      <formula>AND($C12-TODAY()&lt;30,TODAY()&lt;$C12)</formula>
    </cfRule>
  </conditionalFormatting>
  <conditionalFormatting sqref="C12">
    <cfRule type="cellIs" dxfId="213" priority="26" stopIfTrue="1" operator="lessThan">
      <formula>$B$2</formula>
    </cfRule>
  </conditionalFormatting>
  <conditionalFormatting sqref="B12">
    <cfRule type="cellIs" dxfId="212" priority="24" stopIfTrue="1" operator="equal">
      <formula>"已过期"</formula>
    </cfRule>
  </conditionalFormatting>
  <conditionalFormatting sqref="C9:C10">
    <cfRule type="expression" dxfId="211" priority="22">
      <formula>AND($C9-TODAY()&lt;30,TODAY()&lt;$C9)</formula>
    </cfRule>
  </conditionalFormatting>
  <conditionalFormatting sqref="C9:C10">
    <cfRule type="cellIs" dxfId="210" priority="23" stopIfTrue="1" operator="lessThan">
      <formula>$B$2</formula>
    </cfRule>
  </conditionalFormatting>
  <conditionalFormatting sqref="G21">
    <cfRule type="expression" dxfId="209" priority="20" stopIfTrue="1">
      <formula>AND(#REF!-TODAY()&lt;30,TODAY()&lt;#REF!)</formula>
    </cfRule>
  </conditionalFormatting>
  <conditionalFormatting sqref="G21">
    <cfRule type="cellIs" dxfId="208" priority="21" stopIfTrue="1" operator="lessThan">
      <formula>$B$2</formula>
    </cfRule>
  </conditionalFormatting>
  <conditionalFormatting sqref="C14">
    <cfRule type="expression" dxfId="207" priority="18">
      <formula>AND($C14-TODAY()&lt;30,TODAY()&lt;$C14)</formula>
    </cfRule>
  </conditionalFormatting>
  <conditionalFormatting sqref="C14">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B14">
    <cfRule type="cellIs" dxfId="203" priority="15" stopIfTrue="1" operator="equal">
      <formula>"已过期"</formula>
    </cfRule>
  </conditionalFormatting>
  <conditionalFormatting sqref="G14">
    <cfRule type="cellIs" dxfId="202" priority="14" stopIfTrue="1" operator="lessThan">
      <formula>$B$2</formula>
    </cfRule>
  </conditionalFormatting>
  <conditionalFormatting sqref="D15">
    <cfRule type="expression" dxfId="201" priority="12">
      <formula>AND($C15-TODAY()&lt;30,TODAY()&lt;$C15)</formula>
    </cfRule>
  </conditionalFormatting>
  <conditionalFormatting sqref="D15">
    <cfRule type="cellIs" dxfId="200" priority="13"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F15">
    <cfRule type="cellIs" dxfId="197" priority="9" stopIfTrue="1" operator="equal">
      <formula>"已过期"</formula>
    </cfRule>
  </conditionalFormatting>
  <conditionalFormatting sqref="C15">
    <cfRule type="expression" dxfId="196" priority="7">
      <formula>AND($C15-TODAY()&lt;30,TODAY()&lt;$C15)</formula>
    </cfRule>
  </conditionalFormatting>
  <conditionalFormatting sqref="C15">
    <cfRule type="cellIs" dxfId="195" priority="8" stopIfTrue="1" operator="lessThan">
      <formula>$B$2</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B15">
    <cfRule type="cellIs" dxfId="192" priority="4" stopIfTrue="1" operator="equal">
      <formula>"已过期"</formula>
    </cfRule>
  </conditionalFormatting>
  <conditionalFormatting sqref="G15">
    <cfRule type="cellIs" dxfId="191" priority="3" stopIfTrue="1" operator="lessThan">
      <formula>$B$2</formula>
    </cfRule>
  </conditionalFormatting>
  <conditionalFormatting sqref="G20">
    <cfRule type="expression" dxfId="190" priority="1" stopIfTrue="1">
      <formula>AND(#REF!-TODAY()&lt;30,TODAY()&lt;#REF!)</formula>
    </cfRule>
  </conditionalFormatting>
  <conditionalFormatting sqref="G20">
    <cfRule type="cellIs" dxfId="18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面积表</vt:lpstr>
      <vt:lpstr>估价对象房地状况</vt:lpstr>
      <vt:lpstr>系统读取表</vt:lpstr>
      <vt:lpstr>结果表</vt:lpstr>
      <vt:lpstr>成本法</vt:lpstr>
      <vt:lpstr>成本法 (元)</vt:lpstr>
      <vt:lpstr>假设开发法</vt:lpstr>
      <vt:lpstr>收益法地下车库</vt:lpstr>
      <vt:lpstr>收益法</vt:lpstr>
      <vt:lpstr>收益法地下厂房</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拆分结果表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收益法地下厂房!Print_Area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2022-07-26T08:38:19Z</cp:lastPrinted>
  <dcterms:created xsi:type="dcterms:W3CDTF">2015-07-13T07:17:23Z</dcterms:created>
  <dcterms:modified xsi:type="dcterms:W3CDTF">2022-08-02T03:10:34Z</dcterms:modified>
</cp:coreProperties>
</file>