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桌面\高丽营\"/>
    </mc:Choice>
  </mc:AlternateContent>
  <xr:revisionPtr revIDLastSave="0" documentId="13_ncr:1_{55063BF8-CD60-4CE2-8950-CAFE59B24EE0}" xr6:coauthVersionLast="47" xr6:coauthVersionMax="47" xr10:uidLastSave="{00000000-0000-0000-0000-000000000000}"/>
  <bookViews>
    <workbookView xWindow="-120" yWindow="-120" windowWidth="19440" windowHeight="15000" tabRatio="899" firstSheet="19"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统计及工程进度" sheetId="97" r:id="rId15"/>
    <sheet name="数据-取费表" sheetId="1" r:id="rId16"/>
    <sheet name="清单" sheetId="87" state="hidden" r:id="rId17"/>
    <sheet name="规证及工程进度" sheetId="88" r:id="rId18"/>
    <sheet name="洋房清单最终" sheetId="98" r:id="rId19"/>
    <sheet name="1-83号楼面积" sheetId="94" r:id="rId20"/>
    <sheet name="84-91号楼" sheetId="95" r:id="rId21"/>
    <sheet name="洋房清单" sheetId="90" state="hidden" r:id="rId22"/>
    <sheet name="报告用" sheetId="93" state="hidden" r:id="rId23"/>
    <sheet name="估价对象房地状况" sheetId="20" r:id="rId24"/>
    <sheet name="系统读取表" sheetId="74" r:id="rId25"/>
    <sheet name="结果表" sheetId="9" r:id="rId26"/>
    <sheet name="成本法" sheetId="68" r:id="rId27"/>
    <sheet name="成本法 (元)" sheetId="69" state="hidden" r:id="rId28"/>
    <sheet name="收益法 (元)" sheetId="67" state="hidden" r:id="rId29"/>
    <sheet name="收益法（汇总）" sheetId="70" state="hidden" r:id="rId30"/>
    <sheet name="酒店收入计算" sheetId="66" state="hidden" r:id="rId31"/>
    <sheet name="土地比较法-住宅、综合" sheetId="39" r:id="rId32"/>
    <sheet name="土地案例" sheetId="84" r:id="rId33"/>
    <sheet name="假设开发法" sheetId="12" r:id="rId34"/>
    <sheet name="比较法-住宅" sheetId="21" r:id="rId35"/>
    <sheet name="住宅案例" sheetId="86" r:id="rId36"/>
    <sheet name="比较法-商业" sheetId="33" state="hidden" r:id="rId37"/>
    <sheet name="比较法-办公" sheetId="34" state="hidden" r:id="rId38"/>
    <sheet name="比较法-工业" sheetId="37" state="hidden" r:id="rId39"/>
    <sheet name="结果表 (地下仓储)" sheetId="80" state="hidden" r:id="rId40"/>
    <sheet name="成本法 (地下仓储)" sheetId="82" state="hidden" r:id="rId41"/>
    <sheet name="比较法-仓储" sheetId="36" state="hidden" r:id="rId42"/>
    <sheet name="结果表 (车位)" sheetId="81" state="hidden" r:id="rId43"/>
    <sheet name="成本法 (车位)" sheetId="83" state="hidden" r:id="rId44"/>
    <sheet name="比较法-车位" sheetId="35" r:id="rId45"/>
    <sheet name="车库案例" sheetId="85" r:id="rId46"/>
    <sheet name="收益法" sheetId="15" r:id="rId47"/>
    <sheet name="比较法-住宅 (精装洋房)" sheetId="92" r:id="rId48"/>
    <sheet name="收益法（地下仓储）" sheetId="91" r:id="rId49"/>
    <sheet name="收益法（商业）" sheetId="96" r:id="rId50"/>
    <sheet name="土地比较法-工业" sheetId="40" state="hidden" r:id="rId51"/>
    <sheet name="基准地价修正" sheetId="43" state="hidden" r:id="rId52"/>
    <sheet name="修正" sheetId="45" state="hidden" r:id="rId53"/>
    <sheet name="容积率修正" sheetId="46" state="hidden" r:id="rId54"/>
    <sheet name="基准地价（汇总）" sheetId="76" state="hidden" r:id="rId55"/>
    <sheet name="地价" sheetId="71" state="hidden" r:id="rId56"/>
    <sheet name="典型户型修正" sheetId="31" state="hidden" r:id="rId57"/>
    <sheet name="成本法（废）" sheetId="11" state="hidden" r:id="rId58"/>
    <sheet name="区片价" sheetId="44" state="hidden" r:id="rId59"/>
    <sheet name="因素修正幅度" sheetId="65" state="hidden" r:id="rId60"/>
    <sheet name="存贷款利率" sheetId="73" state="hidden" r:id="rId61"/>
    <sheet name="区片价（范围）" sheetId="75" state="hidden" r:id="rId62"/>
  </sheets>
  <externalReferences>
    <externalReference r:id="rId63"/>
    <externalReference r:id="rId64"/>
    <externalReference r:id="rId65"/>
  </externalReferences>
  <definedNames>
    <definedName name="_xlnm._FilterDatabase" localSheetId="37" hidden="1">'比较法-办公'!$A$1:$L$50</definedName>
    <definedName name="_xlnm._FilterDatabase" localSheetId="41" hidden="1">'比较法-仓储'!$A$1:$L$37</definedName>
    <definedName name="_xlnm._FilterDatabase" localSheetId="44" hidden="1">'比较法-车位'!$A$1:$L$39</definedName>
    <definedName name="_xlnm._FilterDatabase" localSheetId="38" hidden="1">'比较法-工业'!$A$1:$L$43</definedName>
    <definedName name="_xlnm._FilterDatabase" localSheetId="36" hidden="1">'比较法-商业'!$A$1:$L$49</definedName>
    <definedName name="_xlnm._FilterDatabase" localSheetId="34" hidden="1">'比较法-住宅'!$A$1:$L$49</definedName>
    <definedName name="_xlnm._FilterDatabase" localSheetId="47" hidden="1">'比较法-住宅 (精装洋房)'!$A$1:$L$49</definedName>
    <definedName name="_xlnm._FilterDatabase" localSheetId="16" hidden="1">清单!$A$1:$T$1382</definedName>
    <definedName name="_xlnm._FilterDatabase" localSheetId="11" hidden="1">'数据-基础表'!$A$12:$AT$587</definedName>
    <definedName name="_xlnm._FilterDatabase" localSheetId="50"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21" hidden="1">洋房清单!$A$2:$G$288</definedName>
    <definedName name="_xlnm.Print_Area" localSheetId="37">'比较法-办公'!$A$1:$K$55,'比较法-办公'!$A$58:$M$132</definedName>
    <definedName name="_xlnm.Print_Area" localSheetId="41">'比较法-仓储'!$A$1:$K$42,'比较法-仓储'!$A$45:$M$96</definedName>
    <definedName name="_xlnm.Print_Area" localSheetId="44">'比较法-车位'!$A$1:$K$44,'比较法-车位'!$A$47:$M$102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4">'比较法-住宅'!$A$1:$K$54,'比较法-住宅'!$A$57:$M$131</definedName>
    <definedName name="_xlnm.Print_Area" localSheetId="47">'比较法-住宅 (精装洋房)'!$A$1:$K$54,'比较法-住宅 (精装洋房)'!$A$57:$M$131</definedName>
    <definedName name="_xlnm.Print_Area" localSheetId="26">成本法!$A$1:$G$57</definedName>
    <definedName name="_xlnm.Print_Area" localSheetId="43">'成本法 (车位)'!$A$1:$G$57</definedName>
    <definedName name="_xlnm.Print_Area" localSheetId="40">'成本法 (地下仓储)'!$A$1:$G$57</definedName>
    <definedName name="_xlnm.Print_Area" localSheetId="27">'成本法 (元)'!$A$1:$G$57</definedName>
    <definedName name="_xlnm.Print_Area" localSheetId="23">估价对象房地状况!$A$1:$G$24</definedName>
    <definedName name="_xlnm.Print_Area" localSheetId="8">估价师及机构信息!$A$1:$G$22</definedName>
    <definedName name="_xlnm.Print_Area" localSheetId="54">'基准地价（汇总）'!$A$1:$E$13</definedName>
    <definedName name="_xlnm.Print_Area" localSheetId="51">基准地价修正!$A$1:$J$41,基准地价修正!$A$45:$H$88,基准地价修正!$R$1:$V$16</definedName>
    <definedName name="_xlnm.Print_Area" localSheetId="33">假设开发法!$A$1:$K$32</definedName>
    <definedName name="_xlnm.Print_Area" localSheetId="42">'结果表 (车位)'!$A$1:$I$127</definedName>
    <definedName name="_xlnm.Print_Area" localSheetId="39">'结果表 (地下仓储)'!$A$1:$I$127</definedName>
    <definedName name="_xlnm.Print_Area" localSheetId="46">收益法!$A$1:$F$43,收益法!$H$3:$M$29,收益法!$A$46:$F$71,收益法!$I$46:$N$65</definedName>
    <definedName name="_xlnm.Print_Area" localSheetId="28">'收益法 (元)'!$A$1:$F$43,'收益法 (元)'!$H$3:$M$29,'收益法 (元)'!$A$45:$F$71,'收益法 (元)'!$I$46:$N$65</definedName>
    <definedName name="_xlnm.Print_Area" localSheetId="48">'收益法（地下仓储）'!$A$1:$F$43,'收益法（地下仓储）'!$H$3:$M$29,'收益法（地下仓储）'!$A$46:$F$71,'收益法（地下仓储）'!$I$46:$N$65</definedName>
    <definedName name="_xlnm.Print_Area" localSheetId="29">'收益法（汇总）'!$A$1:$F$13</definedName>
    <definedName name="_xlnm.Print_Area" localSheetId="49">'收益法（商业）'!$A$1:$F$43,'收益法（商业）'!$H$3:$M$29,'收益法（商业）'!$A$46:$F$71,'收益法（商业）'!$I$46:$N$65</definedName>
    <definedName name="_xlnm.Print_Area" localSheetId="13">'数据-汇总表'!$A$1:$P$32</definedName>
    <definedName name="_xlnm.Print_Area" localSheetId="50">'土地比较法-工业'!$A$1:$K$61,'土地比较法-工业'!$A$64:$M$121</definedName>
    <definedName name="_xlnm.Print_Area" localSheetId="31">'土地比较法-住宅、综合'!$A$1:$K$66,'土地比较法-住宅、综合'!$A$69:$M$132</definedName>
    <definedName name="_xlnm.Print_Area" localSheetId="24">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7">'比较法-住宅 (精装洋房)'!$B$88:$M$88</definedName>
    <definedName name="住宅朝向">'比较法-住宅'!$B$88:$M$88</definedName>
    <definedName name="住宅房型" localSheetId="47">'比较法-住宅 (精装洋房)'!$B$118:$M$118</definedName>
    <definedName name="住宅房型">'比较法-住宅'!$B$118:$M$118</definedName>
    <definedName name="住宅公共部分装修" localSheetId="47">'比较法-住宅 (精装洋房)'!$B$109:$M$109</definedName>
    <definedName name="住宅公共部分装修">'比较法-住宅'!$B$109:$M$109</definedName>
    <definedName name="住宅基础设施水平" localSheetId="47">'比较法-住宅 (精装洋房)'!$B$116:$M$116</definedName>
    <definedName name="住宅基础设施水平">'比较法-住宅'!$B$116:$M$116</definedName>
    <definedName name="住宅建筑结构" localSheetId="47">'比较法-住宅 (精装洋房)'!$B$105:$M$105</definedName>
    <definedName name="住宅建筑结构">'比较法-住宅'!$B$105:$M$105</definedName>
    <definedName name="住宅建筑类型" localSheetId="47">'比较法-住宅 (精装洋房)'!$B$100:$M$100</definedName>
    <definedName name="住宅建筑类型">'比较法-住宅'!$B$100:$M$100</definedName>
    <definedName name="住宅建筑品质" localSheetId="47">'比较法-住宅 (精装洋房)'!$B$107:$M$107</definedName>
    <definedName name="住宅建筑品质">'比较法-住宅'!$B$107:$M$107</definedName>
    <definedName name="住宅交易情况" localSheetId="47">'比较法-住宅 (精装洋房)'!$A$61:$M$61</definedName>
    <definedName name="住宅交易情况">'比较法-住宅'!$A$61:$M$61</definedName>
    <definedName name="住宅楼层" localSheetId="47">'比较法-住宅 (精装洋房)'!$B$86:$M$86</definedName>
    <definedName name="住宅楼层">'比较法-住宅'!$B$86:$M$86</definedName>
    <definedName name="住宅内部装修" localSheetId="47">'比较法-住宅 (精装洋房)'!$B$122:$M$122</definedName>
    <definedName name="住宅内部装修">'比较法-住宅'!$B$122:$M$122</definedName>
    <definedName name="住宅物业管理" localSheetId="47">'比较法-住宅 (精装洋房)'!$B$114:$M$114</definedName>
    <definedName name="住宅物业管理">'比较法-住宅'!$B$114:$M$114</definedName>
    <definedName name="住宅用途" localSheetId="47">'比较法-住宅 (精装洋房)'!$B$63:$M$63</definedName>
    <definedName name="住宅用途">'比较法-住宅'!$B$63:$M$63</definedName>
    <definedName name="住宅主力户型面积" localSheetId="47">'比较法-住宅 (精装洋房)'!$B$120:$M$120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8" i="12" l="1"/>
  <c r="N5" i="97" l="1"/>
  <c r="O5" i="97" l="1"/>
  <c r="P5" i="97" l="1"/>
  <c r="L5" i="97" l="1"/>
  <c r="Q5" i="97"/>
  <c r="M5" i="97" l="1"/>
  <c r="H99" i="94" l="1"/>
  <c r="G12" i="97"/>
  <c r="D30" i="97"/>
  <c r="K6" i="97"/>
  <c r="J6" i="97"/>
  <c r="F29" i="97"/>
  <c r="E29" i="97"/>
  <c r="D29" i="97"/>
  <c r="A3" i="3"/>
  <c r="C15" i="74" l="1"/>
  <c r="B15" i="74"/>
  <c r="O13" i="3" l="1"/>
  <c r="Q13" i="3"/>
  <c r="S13" i="3"/>
  <c r="U13" i="3"/>
  <c r="W13" i="3"/>
  <c r="D15" i="74" l="1"/>
  <c r="C33" i="21" l="1"/>
  <c r="C38" i="39"/>
  <c r="K3" i="98"/>
  <c r="K2" i="98"/>
  <c r="G4" i="98"/>
  <c r="H144" i="95"/>
  <c r="G151" i="95" l="1"/>
  <c r="I37" i="35" l="1"/>
  <c r="G37" i="35"/>
  <c r="E37" i="35"/>
  <c r="I47" i="21"/>
  <c r="G47" i="21"/>
  <c r="E47" i="21"/>
  <c r="C90" i="94" l="1"/>
  <c r="H90" i="94"/>
  <c r="F19" i="6"/>
  <c r="Q72" i="96"/>
  <c r="F60" i="96"/>
  <c r="Q59" i="96"/>
  <c r="K59" i="96"/>
  <c r="P74" i="96" s="1"/>
  <c r="F59" i="96"/>
  <c r="Q58" i="96"/>
  <c r="Q51" i="96"/>
  <c r="J50" i="96"/>
  <c r="J51" i="96" s="1"/>
  <c r="M47" i="96"/>
  <c r="D46" i="96"/>
  <c r="F34" i="96"/>
  <c r="F62" i="96" s="1"/>
  <c r="F33" i="96"/>
  <c r="F61" i="96" s="1"/>
  <c r="F32" i="96"/>
  <c r="F31" i="96"/>
  <c r="F28" i="96"/>
  <c r="C28" i="96" s="1"/>
  <c r="F23" i="96"/>
  <c r="F21" i="96"/>
  <c r="M20" i="96"/>
  <c r="F20" i="96"/>
  <c r="M19" i="96"/>
  <c r="M18" i="96"/>
  <c r="F18" i="96"/>
  <c r="M17" i="96"/>
  <c r="F17" i="96"/>
  <c r="F15" i="96"/>
  <c r="G1" i="96"/>
  <c r="N120" i="95"/>
  <c r="N144" i="95" s="1"/>
  <c r="E144" i="95"/>
  <c r="C33" i="92"/>
  <c r="R71" i="39"/>
  <c r="N7" i="1"/>
  <c r="N8" i="1" s="1"/>
  <c r="N9" i="1" s="1"/>
  <c r="N10" i="1" s="1"/>
  <c r="N11" i="1" s="1"/>
  <c r="N12" i="1" s="1"/>
  <c r="N13" i="1" s="1"/>
  <c r="N14" i="1" s="1"/>
  <c r="G98" i="94"/>
  <c r="G96" i="94"/>
  <c r="K90" i="94"/>
  <c r="AP14" i="1"/>
  <c r="G26" i="6"/>
  <c r="E57" i="39" s="1"/>
  <c r="F26" i="6"/>
  <c r="G25" i="6"/>
  <c r="G24" i="6"/>
  <c r="F23" i="6"/>
  <c r="F22" i="6"/>
  <c r="G21" i="6"/>
  <c r="G20" i="6"/>
  <c r="E147" i="95"/>
  <c r="F144" i="95"/>
  <c r="G144" i="95"/>
  <c r="N127" i="95"/>
  <c r="I144" i="95"/>
  <c r="O109" i="88"/>
  <c r="D109" i="88"/>
  <c r="M120" i="95"/>
  <c r="M144" i="95"/>
  <c r="J144" i="95"/>
  <c r="K144" i="95"/>
  <c r="L144" i="95"/>
  <c r="E120" i="95"/>
  <c r="F85" i="95"/>
  <c r="H85" i="95"/>
  <c r="D133" i="95"/>
  <c r="F137" i="95"/>
  <c r="F134" i="95"/>
  <c r="J133" i="95"/>
  <c r="G133" i="95"/>
  <c r="C133" i="95"/>
  <c r="N131" i="95"/>
  <c r="N130" i="95"/>
  <c r="N129" i="95"/>
  <c r="N128" i="95"/>
  <c r="N125" i="95"/>
  <c r="J124" i="95"/>
  <c r="N124" i="95" s="1"/>
  <c r="N123" i="95"/>
  <c r="N122" i="95"/>
  <c r="H121" i="95"/>
  <c r="N121" i="95" s="1"/>
  <c r="M119" i="95"/>
  <c r="L119" i="95"/>
  <c r="F139" i="95" s="1"/>
  <c r="K119" i="95"/>
  <c r="J119" i="95"/>
  <c r="I119" i="95"/>
  <c r="H119" i="95"/>
  <c r="G119" i="95"/>
  <c r="G139" i="95" s="1"/>
  <c r="F119" i="95"/>
  <c r="N119" i="95" s="1"/>
  <c r="O119" i="95" s="1"/>
  <c r="E119" i="95"/>
  <c r="D139" i="95" s="1"/>
  <c r="N118" i="95"/>
  <c r="N117" i="95"/>
  <c r="N116" i="95"/>
  <c r="N115" i="95"/>
  <c r="N114" i="95"/>
  <c r="M113" i="95"/>
  <c r="L113" i="95"/>
  <c r="F138" i="95" s="1"/>
  <c r="K113" i="95"/>
  <c r="J113" i="95"/>
  <c r="I113" i="95"/>
  <c r="H113" i="95"/>
  <c r="G113" i="95"/>
  <c r="G138" i="95" s="1"/>
  <c r="F113" i="95"/>
  <c r="N113" i="95" s="1"/>
  <c r="O113" i="95" s="1"/>
  <c r="E113" i="95"/>
  <c r="D138" i="95" s="1"/>
  <c r="N112" i="95"/>
  <c r="R111" i="95"/>
  <c r="N111" i="95"/>
  <c r="N110" i="95"/>
  <c r="N109" i="95"/>
  <c r="N108" i="95"/>
  <c r="M107" i="95"/>
  <c r="L107" i="95"/>
  <c r="K107" i="95"/>
  <c r="J107" i="95"/>
  <c r="I107" i="95"/>
  <c r="H107" i="95"/>
  <c r="G137" i="95" s="1"/>
  <c r="G107" i="95"/>
  <c r="F106" i="95"/>
  <c r="F107" i="95" s="1"/>
  <c r="N105" i="95"/>
  <c r="N104" i="95"/>
  <c r="N103" i="95"/>
  <c r="N102" i="95"/>
  <c r="M101" i="95"/>
  <c r="J136" i="95" s="1"/>
  <c r="K101" i="95"/>
  <c r="I101" i="95"/>
  <c r="H101" i="95"/>
  <c r="G101" i="95"/>
  <c r="G136" i="95" s="1"/>
  <c r="F101" i="95"/>
  <c r="E101" i="95"/>
  <c r="L100" i="95"/>
  <c r="L101" i="95" s="1"/>
  <c r="J100" i="95"/>
  <c r="J101" i="95" s="1"/>
  <c r="F136" i="95" s="1"/>
  <c r="N99" i="95"/>
  <c r="N98" i="95"/>
  <c r="K97" i="95"/>
  <c r="I97" i="95"/>
  <c r="H97" i="95"/>
  <c r="G97" i="95"/>
  <c r="G135" i="95" s="1"/>
  <c r="F97" i="95"/>
  <c r="E97" i="95"/>
  <c r="M96" i="95"/>
  <c r="M97" i="95" s="1"/>
  <c r="J135" i="95" s="1"/>
  <c r="L96" i="95"/>
  <c r="L97" i="95" s="1"/>
  <c r="F135" i="95" s="1"/>
  <c r="J96" i="95"/>
  <c r="J97" i="95" s="1"/>
  <c r="I96" i="95"/>
  <c r="E135" i="95" s="1"/>
  <c r="N95" i="95"/>
  <c r="N94" i="95"/>
  <c r="M93" i="95"/>
  <c r="L93" i="95"/>
  <c r="K93" i="95"/>
  <c r="I93" i="95"/>
  <c r="H93" i="95"/>
  <c r="G93" i="95"/>
  <c r="G134" i="95" s="1"/>
  <c r="F93" i="95"/>
  <c r="E93" i="95"/>
  <c r="D134" i="95" s="1"/>
  <c r="C134" i="95" s="1"/>
  <c r="N92" i="95"/>
  <c r="N91" i="95"/>
  <c r="N90" i="95"/>
  <c r="N89" i="95"/>
  <c r="N88" i="95"/>
  <c r="N87" i="95"/>
  <c r="N86" i="95"/>
  <c r="L85" i="95"/>
  <c r="F132" i="95" s="1"/>
  <c r="K85" i="95"/>
  <c r="I85" i="95"/>
  <c r="I120" i="95" s="1"/>
  <c r="H120" i="95"/>
  <c r="G85" i="95"/>
  <c r="G132" i="95" s="1"/>
  <c r="F120" i="95"/>
  <c r="E85" i="95"/>
  <c r="M84" i="95"/>
  <c r="M85" i="95" s="1"/>
  <c r="N83" i="95"/>
  <c r="N82" i="95"/>
  <c r="N81" i="95"/>
  <c r="N80" i="95"/>
  <c r="N79" i="95"/>
  <c r="N78" i="95"/>
  <c r="N77" i="95"/>
  <c r="N76" i="95"/>
  <c r="N75" i="95"/>
  <c r="N74" i="95"/>
  <c r="N73" i="95"/>
  <c r="N72" i="95"/>
  <c r="N71" i="95"/>
  <c r="N70" i="95"/>
  <c r="N69" i="95"/>
  <c r="N68" i="95"/>
  <c r="N67" i="95"/>
  <c r="N66" i="95"/>
  <c r="N65" i="95"/>
  <c r="N64" i="95"/>
  <c r="N63" i="95"/>
  <c r="N62" i="95"/>
  <c r="N61" i="95"/>
  <c r="N60" i="95"/>
  <c r="N59" i="95"/>
  <c r="N58" i="95"/>
  <c r="N57" i="95"/>
  <c r="N56" i="95"/>
  <c r="N55" i="95"/>
  <c r="N54" i="95"/>
  <c r="N53" i="95"/>
  <c r="N52" i="95"/>
  <c r="N51" i="95"/>
  <c r="N50" i="95"/>
  <c r="N49" i="95"/>
  <c r="N48" i="95"/>
  <c r="N47" i="95"/>
  <c r="N46" i="95"/>
  <c r="N45" i="95"/>
  <c r="N44" i="95"/>
  <c r="N43" i="95"/>
  <c r="N42" i="95"/>
  <c r="N41" i="95"/>
  <c r="N40" i="95"/>
  <c r="N39" i="95"/>
  <c r="N38" i="95"/>
  <c r="N37" i="95"/>
  <c r="N36" i="95"/>
  <c r="N35" i="95"/>
  <c r="N34" i="95"/>
  <c r="N33" i="95"/>
  <c r="N32" i="95"/>
  <c r="N31" i="95"/>
  <c r="N30" i="95"/>
  <c r="N29" i="95"/>
  <c r="N28" i="95"/>
  <c r="N27" i="95"/>
  <c r="N26" i="95"/>
  <c r="N25" i="95"/>
  <c r="N24" i="95"/>
  <c r="N23" i="95"/>
  <c r="N22" i="95"/>
  <c r="N21" i="95"/>
  <c r="N20" i="95"/>
  <c r="N19" i="95"/>
  <c r="N18" i="95"/>
  <c r="N17" i="95"/>
  <c r="N16" i="95"/>
  <c r="N15" i="95"/>
  <c r="N14" i="95"/>
  <c r="N13" i="95"/>
  <c r="N12" i="95"/>
  <c r="N11" i="95"/>
  <c r="N10" i="95"/>
  <c r="N9" i="95"/>
  <c r="N8" i="95"/>
  <c r="N7" i="95"/>
  <c r="N6" i="95"/>
  <c r="N5" i="95"/>
  <c r="N4" i="95"/>
  <c r="N3" i="95"/>
  <c r="B3" i="95"/>
  <c r="N2" i="95"/>
  <c r="N133" i="95" l="1"/>
  <c r="D23" i="96"/>
  <c r="D22" i="96"/>
  <c r="D24" i="96"/>
  <c r="P61" i="96"/>
  <c r="G97" i="94"/>
  <c r="G99" i="94"/>
  <c r="D132" i="95"/>
  <c r="K120" i="95"/>
  <c r="N97" i="95"/>
  <c r="O97" i="95" s="1"/>
  <c r="N101" i="95"/>
  <c r="O101" i="95" s="1"/>
  <c r="N134" i="95"/>
  <c r="J132" i="95"/>
  <c r="C132" i="95" s="1"/>
  <c r="J120" i="95"/>
  <c r="C138" i="95"/>
  <c r="C139" i="95"/>
  <c r="G120" i="95"/>
  <c r="D135" i="95"/>
  <c r="C135" i="95" s="1"/>
  <c r="D136" i="95"/>
  <c r="C136" i="95" s="1"/>
  <c r="N84" i="95"/>
  <c r="N85" i="95" s="1"/>
  <c r="O85" i="95" s="1"/>
  <c r="N93" i="95"/>
  <c r="O93" i="95" s="1"/>
  <c r="N96" i="95"/>
  <c r="N100" i="95"/>
  <c r="E106" i="95"/>
  <c r="L120" i="95"/>
  <c r="C76" i="96"/>
  <c r="M23" i="96"/>
  <c r="F38" i="96"/>
  <c r="F37" i="96"/>
  <c r="M6" i="96"/>
  <c r="J15" i="96"/>
  <c r="M9" i="96"/>
  <c r="F13" i="96"/>
  <c r="M28" i="96"/>
  <c r="F9" i="96"/>
  <c r="F42" i="96"/>
  <c r="M8" i="96"/>
  <c r="F36" i="96"/>
  <c r="M22" i="96"/>
  <c r="L48" i="96"/>
  <c r="M26" i="96"/>
  <c r="M24" i="96"/>
  <c r="F40" i="96"/>
  <c r="F26" i="96"/>
  <c r="L47" i="96"/>
  <c r="F16" i="96"/>
  <c r="M27" i="96"/>
  <c r="F6" i="96"/>
  <c r="F8" i="96"/>
  <c r="F65" i="96" l="1"/>
  <c r="F66" i="96"/>
  <c r="N59" i="96"/>
  <c r="L58" i="96"/>
  <c r="Q71" i="96"/>
  <c r="C27" i="96"/>
  <c r="F64" i="96"/>
  <c r="F51" i="96"/>
  <c r="F68" i="96"/>
  <c r="L57" i="96"/>
  <c r="L56" i="96"/>
  <c r="J57" i="96"/>
  <c r="J55" i="96" s="1"/>
  <c r="J58" i="96" s="1"/>
  <c r="Q50" i="96" s="1"/>
  <c r="J60" i="96"/>
  <c r="Q48" i="96" s="1"/>
  <c r="L60" i="96"/>
  <c r="J59" i="96"/>
  <c r="I54" i="96"/>
  <c r="N132" i="95"/>
  <c r="N106" i="95"/>
  <c r="E107" i="95"/>
  <c r="Q60" i="96" l="1"/>
  <c r="Q73" i="96"/>
  <c r="Q66" i="96"/>
  <c r="Q57" i="96"/>
  <c r="L46" i="96"/>
  <c r="D137" i="95"/>
  <c r="C137" i="95" s="1"/>
  <c r="N107" i="95"/>
  <c r="O107" i="95" s="1"/>
  <c r="J90" i="94" l="1"/>
  <c r="I90" i="94"/>
  <c r="I89" i="94"/>
  <c r="H89" i="94"/>
  <c r="H72" i="94"/>
  <c r="H76" i="94"/>
  <c r="H77" i="94"/>
  <c r="H78" i="94"/>
  <c r="H79" i="94"/>
  <c r="H80" i="94"/>
  <c r="I12" i="94"/>
  <c r="H10" i="94"/>
  <c r="H12" i="94"/>
  <c r="H88" i="94"/>
  <c r="H87" i="94"/>
  <c r="H86" i="94"/>
  <c r="H85" i="94"/>
  <c r="H84" i="94"/>
  <c r="H83" i="94"/>
  <c r="H82" i="94"/>
  <c r="H81" i="94"/>
  <c r="H75" i="94"/>
  <c r="H74" i="94"/>
  <c r="H73" i="94"/>
  <c r="H71" i="94"/>
  <c r="I71" i="94" s="1"/>
  <c r="H69" i="94"/>
  <c r="H70" i="94"/>
  <c r="I69" i="94"/>
  <c r="H68" i="94"/>
  <c r="H67" i="94"/>
  <c r="H66" i="94"/>
  <c r="I67" i="94"/>
  <c r="I66" i="94"/>
  <c r="H65" i="94"/>
  <c r="H64" i="94"/>
  <c r="I64" i="94"/>
  <c r="I65" i="94"/>
  <c r="I68" i="94"/>
  <c r="I70" i="94"/>
  <c r="I72" i="94"/>
  <c r="I73" i="94"/>
  <c r="I74" i="94"/>
  <c r="I75" i="94"/>
  <c r="I76" i="94"/>
  <c r="I77" i="94"/>
  <c r="I78" i="94"/>
  <c r="I79" i="94"/>
  <c r="I80" i="94"/>
  <c r="I81" i="94"/>
  <c r="I82" i="94"/>
  <c r="I83" i="94"/>
  <c r="I84" i="94"/>
  <c r="I85" i="94"/>
  <c r="I86" i="94"/>
  <c r="I87" i="94"/>
  <c r="I88" i="94"/>
  <c r="I61" i="94"/>
  <c r="I37" i="94"/>
  <c r="I62" i="94"/>
  <c r="H62" i="94"/>
  <c r="H61" i="94"/>
  <c r="H60" i="94"/>
  <c r="H59" i="94"/>
  <c r="H58" i="94"/>
  <c r="H57" i="94"/>
  <c r="H56" i="94"/>
  <c r="H55" i="94"/>
  <c r="H54" i="94"/>
  <c r="H53" i="94"/>
  <c r="H52" i="94"/>
  <c r="H51" i="94"/>
  <c r="I51" i="94" s="1"/>
  <c r="H50" i="94"/>
  <c r="H49" i="94"/>
  <c r="I49" i="94" s="1"/>
  <c r="H48" i="94"/>
  <c r="H47" i="94"/>
  <c r="H46" i="94"/>
  <c r="H45" i="94"/>
  <c r="H44" i="94"/>
  <c r="H43" i="94"/>
  <c r="H42" i="94"/>
  <c r="H41" i="94"/>
  <c r="H40" i="94"/>
  <c r="I40" i="94" s="1"/>
  <c r="H39" i="94"/>
  <c r="I39" i="94"/>
  <c r="I41" i="94"/>
  <c r="I42" i="94"/>
  <c r="I43" i="94"/>
  <c r="I44" i="94"/>
  <c r="I45" i="94"/>
  <c r="I46" i="94"/>
  <c r="I47" i="94"/>
  <c r="I48" i="94"/>
  <c r="I50" i="94"/>
  <c r="I52" i="94"/>
  <c r="I53" i="94"/>
  <c r="I54" i="94"/>
  <c r="I55" i="94"/>
  <c r="I56" i="94"/>
  <c r="I57" i="94"/>
  <c r="I58" i="94"/>
  <c r="I59" i="94"/>
  <c r="I60" i="94"/>
  <c r="I38" i="94"/>
  <c r="H38" i="94"/>
  <c r="H37" i="94"/>
  <c r="H36" i="94"/>
  <c r="I36" i="94" s="1"/>
  <c r="H35" i="94"/>
  <c r="I35" i="94" s="1"/>
  <c r="H34" i="94"/>
  <c r="H33" i="94"/>
  <c r="H32" i="94"/>
  <c r="H31" i="94"/>
  <c r="H30" i="94"/>
  <c r="H29" i="94"/>
  <c r="H28" i="94"/>
  <c r="H27" i="94"/>
  <c r="I27" i="94" s="1"/>
  <c r="H26" i="94"/>
  <c r="I26" i="94" s="1"/>
  <c r="H25" i="94"/>
  <c r="H24" i="94"/>
  <c r="H23" i="94"/>
  <c r="H22" i="94"/>
  <c r="H21" i="94"/>
  <c r="H20" i="94"/>
  <c r="H19" i="94"/>
  <c r="H18" i="94"/>
  <c r="H17" i="94"/>
  <c r="H16" i="94"/>
  <c r="H15" i="94"/>
  <c r="H14" i="94"/>
  <c r="I14" i="94" s="1"/>
  <c r="H13" i="94"/>
  <c r="I15" i="94"/>
  <c r="I16" i="94"/>
  <c r="I17" i="94"/>
  <c r="I18" i="94"/>
  <c r="I19" i="94"/>
  <c r="I20" i="94"/>
  <c r="I21" i="94"/>
  <c r="I22" i="94"/>
  <c r="I23" i="94"/>
  <c r="I24" i="94"/>
  <c r="I25" i="94"/>
  <c r="I28" i="94"/>
  <c r="I29" i="94"/>
  <c r="I30" i="94"/>
  <c r="I31" i="94"/>
  <c r="I32" i="94"/>
  <c r="I33" i="94"/>
  <c r="I34" i="94"/>
  <c r="I13" i="94"/>
  <c r="F12" i="94"/>
  <c r="H11" i="94"/>
  <c r="I8" i="94"/>
  <c r="H8" i="94"/>
  <c r="H9" i="94"/>
  <c r="H7" i="94"/>
  <c r="H6" i="94"/>
  <c r="H5" i="94"/>
  <c r="H4" i="94"/>
  <c r="H3" i="94"/>
  <c r="H2" i="94"/>
  <c r="I3" i="94"/>
  <c r="I4" i="94"/>
  <c r="I5" i="94"/>
  <c r="I6" i="94"/>
  <c r="I7" i="94"/>
  <c r="I9" i="94"/>
  <c r="I10" i="94"/>
  <c r="I11" i="94"/>
  <c r="I2" i="94"/>
  <c r="G89" i="94"/>
  <c r="C89" i="94"/>
  <c r="F62" i="94"/>
  <c r="C62" i="94"/>
  <c r="G59" i="94"/>
  <c r="F37" i="94"/>
  <c r="G37" i="94" s="1"/>
  <c r="C37" i="94"/>
  <c r="G12" i="94"/>
  <c r="C12" i="94"/>
  <c r="G62" i="94" l="1"/>
  <c r="G90" i="94" s="1"/>
  <c r="F90" i="94"/>
  <c r="L13" i="12"/>
  <c r="C64" i="93" l="1"/>
  <c r="Q22" i="1" l="1"/>
  <c r="S4" i="87" l="1"/>
  <c r="R3" i="87"/>
  <c r="R2" i="87"/>
  <c r="G2" i="93"/>
  <c r="G3" i="93"/>
  <c r="G4" i="93"/>
  <c r="G5" i="93"/>
  <c r="G6" i="93"/>
  <c r="G7" i="93"/>
  <c r="G8" i="93"/>
  <c r="G9" i="93"/>
  <c r="G10" i="93"/>
  <c r="G11" i="93"/>
  <c r="G12" i="93"/>
  <c r="G13" i="93"/>
  <c r="G14" i="93"/>
  <c r="G15" i="93"/>
  <c r="G16" i="93"/>
  <c r="G17" i="93"/>
  <c r="G18" i="93"/>
  <c r="G19" i="93"/>
  <c r="G20" i="93"/>
  <c r="G21" i="93"/>
  <c r="G22" i="93"/>
  <c r="G23" i="93"/>
  <c r="G24" i="93"/>
  <c r="G25" i="93"/>
  <c r="G26" i="93"/>
  <c r="G27" i="93"/>
  <c r="G28" i="93"/>
  <c r="G29" i="93"/>
  <c r="G30" i="93"/>
  <c r="G31" i="93"/>
  <c r="G32" i="93"/>
  <c r="G33" i="93"/>
  <c r="G34" i="93"/>
  <c r="G35" i="93"/>
  <c r="G36" i="93"/>
  <c r="G37" i="93"/>
  <c r="G38" i="93"/>
  <c r="G39" i="93"/>
  <c r="G40" i="93"/>
  <c r="G41" i="93"/>
  <c r="G42" i="93"/>
  <c r="G43" i="93"/>
  <c r="G44" i="93"/>
  <c r="G45" i="93"/>
  <c r="G46" i="93"/>
  <c r="G47" i="93"/>
  <c r="G48" i="93"/>
  <c r="G49" i="93"/>
  <c r="G50" i="93"/>
  <c r="G51" i="93"/>
  <c r="G52" i="93"/>
  <c r="G53" i="93"/>
  <c r="G54" i="93"/>
  <c r="G55" i="93"/>
  <c r="G56" i="93"/>
  <c r="G57" i="93"/>
  <c r="G58" i="93"/>
  <c r="G59" i="93"/>
  <c r="S122" i="88" l="1"/>
  <c r="H63" i="93"/>
  <c r="H61" i="93"/>
  <c r="H62" i="93"/>
  <c r="H60" i="93"/>
  <c r="H3" i="93"/>
  <c r="H4" i="93"/>
  <c r="H5" i="93"/>
  <c r="H6" i="93"/>
  <c r="H7" i="93"/>
  <c r="H8" i="93"/>
  <c r="H9" i="93"/>
  <c r="H10" i="93"/>
  <c r="H11" i="93"/>
  <c r="H12" i="93"/>
  <c r="H13" i="93"/>
  <c r="H14" i="93"/>
  <c r="H15" i="93"/>
  <c r="H16" i="93"/>
  <c r="H17" i="93"/>
  <c r="H18" i="93"/>
  <c r="H33" i="93"/>
  <c r="H34" i="93"/>
  <c r="H35" i="93"/>
  <c r="H36" i="93"/>
  <c r="H37" i="93"/>
  <c r="H38" i="93"/>
  <c r="H39" i="93"/>
  <c r="H40" i="93"/>
  <c r="H41" i="93"/>
  <c r="H42" i="93"/>
  <c r="H43" i="93"/>
  <c r="H44" i="93"/>
  <c r="H45" i="93"/>
  <c r="H46" i="93"/>
  <c r="H47" i="93"/>
  <c r="H48" i="93"/>
  <c r="H49" i="93"/>
  <c r="H50" i="93"/>
  <c r="H51" i="93"/>
  <c r="H52" i="93"/>
  <c r="H53" i="93"/>
  <c r="H54" i="93"/>
  <c r="H55" i="93"/>
  <c r="H56" i="93"/>
  <c r="H57" i="93"/>
  <c r="H58" i="93"/>
  <c r="H59" i="93"/>
  <c r="H2" i="93"/>
  <c r="D3" i="93"/>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s="1"/>
  <c r="D60" i="93" s="1"/>
  <c r="D61" i="93" s="1"/>
  <c r="D62" i="93" s="1"/>
  <c r="D2" i="93"/>
  <c r="C191" i="88"/>
  <c r="E63" i="93"/>
  <c r="E62" i="93"/>
  <c r="E61" i="93"/>
  <c r="E60" i="93"/>
  <c r="F61" i="93"/>
  <c r="G61" i="93"/>
  <c r="F62" i="93"/>
  <c r="G62" i="93"/>
  <c r="G60" i="93"/>
  <c r="F60" i="93"/>
  <c r="F3" i="93"/>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2" i="93"/>
  <c r="E3" i="93"/>
  <c r="E4" i="93"/>
  <c r="E5" i="93"/>
  <c r="E6" i="93"/>
  <c r="E7" i="93"/>
  <c r="E8" i="93"/>
  <c r="E9" i="93"/>
  <c r="E10" i="93"/>
  <c r="E11" i="93"/>
  <c r="E12" i="93"/>
  <c r="E13" i="93"/>
  <c r="E14" i="93"/>
  <c r="E15" i="93"/>
  <c r="E16" i="93"/>
  <c r="E17" i="93"/>
  <c r="E18" i="93"/>
  <c r="E19" i="93"/>
  <c r="E20" i="93"/>
  <c r="E21" i="93"/>
  <c r="E22" i="93"/>
  <c r="E23" i="93"/>
  <c r="E24" i="93"/>
  <c r="E25" i="93"/>
  <c r="E26" i="93"/>
  <c r="E27" i="93"/>
  <c r="E28" i="93"/>
  <c r="E29" i="93"/>
  <c r="E30" i="93"/>
  <c r="E31" i="93"/>
  <c r="E32" i="93"/>
  <c r="E33" i="93"/>
  <c r="E34" i="93"/>
  <c r="E35" i="93"/>
  <c r="E36" i="93"/>
  <c r="E37" i="93"/>
  <c r="E38" i="93"/>
  <c r="E39" i="93"/>
  <c r="E40" i="93"/>
  <c r="E41" i="93"/>
  <c r="E42" i="93"/>
  <c r="E43" i="93"/>
  <c r="E44" i="93"/>
  <c r="E45" i="93"/>
  <c r="E46" i="93"/>
  <c r="E47" i="93"/>
  <c r="E48" i="93"/>
  <c r="E49" i="93"/>
  <c r="E50" i="93"/>
  <c r="E51" i="93"/>
  <c r="E52" i="93"/>
  <c r="E53" i="93"/>
  <c r="E54" i="93"/>
  <c r="E55" i="93"/>
  <c r="E56" i="93"/>
  <c r="E57" i="93"/>
  <c r="E58" i="93"/>
  <c r="E59" i="93"/>
  <c r="E2" i="93"/>
  <c r="E64" i="93" s="1"/>
  <c r="F1382" i="87"/>
  <c r="E1382" i="87"/>
  <c r="C41" i="12" l="1"/>
  <c r="E38" i="12"/>
  <c r="C37" i="12"/>
  <c r="E35" i="12"/>
  <c r="D35" i="12"/>
  <c r="Q140" i="88" l="1"/>
  <c r="H20" i="93" s="1"/>
  <c r="Q141" i="88"/>
  <c r="H21" i="93" s="1"/>
  <c r="Q142" i="88"/>
  <c r="H22" i="93" s="1"/>
  <c r="Q143" i="88"/>
  <c r="H23" i="93" s="1"/>
  <c r="Q144" i="88"/>
  <c r="H24" i="93" s="1"/>
  <c r="Q145" i="88"/>
  <c r="H25" i="93" s="1"/>
  <c r="Q146" i="88"/>
  <c r="H26" i="93" s="1"/>
  <c r="Q147" i="88"/>
  <c r="H27" i="93" s="1"/>
  <c r="Q148" i="88"/>
  <c r="H28" i="93" s="1"/>
  <c r="Q149" i="88"/>
  <c r="H29" i="93" s="1"/>
  <c r="Q150" i="88"/>
  <c r="H30" i="93" s="1"/>
  <c r="Q151" i="88"/>
  <c r="H31" i="93" s="1"/>
  <c r="Q152" i="88"/>
  <c r="H32" i="93" s="1"/>
  <c r="Q139" i="88"/>
  <c r="H19" i="93" s="1"/>
  <c r="H64" i="93" s="1"/>
  <c r="Q19" i="1" l="1"/>
  <c r="U9" i="87"/>
  <c r="U8" i="87"/>
  <c r="T16" i="87"/>
  <c r="R6" i="87" s="1"/>
  <c r="C145" i="92" l="1"/>
  <c r="K139" i="92" s="1"/>
  <c r="J142" i="92"/>
  <c r="J140" i="92"/>
  <c r="B130" i="92"/>
  <c r="B128" i="92"/>
  <c r="B126" i="92"/>
  <c r="D125" i="92"/>
  <c r="E125" i="92" s="1"/>
  <c r="F125" i="92" s="1"/>
  <c r="G125" i="92" s="1"/>
  <c r="D123" i="92"/>
  <c r="E123" i="92" s="1"/>
  <c r="F123" i="92" s="1"/>
  <c r="G123" i="92" s="1"/>
  <c r="H123" i="92" s="1"/>
  <c r="I123" i="92" s="1"/>
  <c r="J123" i="92" s="1"/>
  <c r="K123" i="92" s="1"/>
  <c r="L123" i="92" s="1"/>
  <c r="M123" i="92" s="1"/>
  <c r="D119" i="92"/>
  <c r="E119" i="92" s="1"/>
  <c r="F119" i="92" s="1"/>
  <c r="G119" i="92" s="1"/>
  <c r="H119" i="92" s="1"/>
  <c r="I119" i="92" s="1"/>
  <c r="J119" i="92" s="1"/>
  <c r="K119" i="92" s="1"/>
  <c r="L119" i="92" s="1"/>
  <c r="M119" i="92" s="1"/>
  <c r="D117" i="92"/>
  <c r="E117" i="92" s="1"/>
  <c r="F117" i="92" s="1"/>
  <c r="G117" i="92" s="1"/>
  <c r="D115" i="92"/>
  <c r="E115" i="92" s="1"/>
  <c r="F115" i="92" s="1"/>
  <c r="G115" i="92" s="1"/>
  <c r="H115" i="92" s="1"/>
  <c r="I115" i="92" s="1"/>
  <c r="J115" i="92" s="1"/>
  <c r="K115" i="92" s="1"/>
  <c r="L115" i="92" s="1"/>
  <c r="M115" i="92" s="1"/>
  <c r="E113" i="92"/>
  <c r="F113" i="92" s="1"/>
  <c r="G113" i="92" s="1"/>
  <c r="H113" i="92" s="1"/>
  <c r="D113" i="92"/>
  <c r="H111" i="92"/>
  <c r="G111" i="92"/>
  <c r="F111" i="92"/>
  <c r="E111" i="92"/>
  <c r="D111" i="92"/>
  <c r="C111" i="92"/>
  <c r="E110" i="92"/>
  <c r="F110" i="92" s="1"/>
  <c r="G110" i="92" s="1"/>
  <c r="H110" i="92" s="1"/>
  <c r="I110" i="92" s="1"/>
  <c r="J110" i="92" s="1"/>
  <c r="K110" i="92" s="1"/>
  <c r="L110" i="92" s="1"/>
  <c r="M110" i="92" s="1"/>
  <c r="D110" i="92"/>
  <c r="E108" i="92"/>
  <c r="F108" i="92" s="1"/>
  <c r="G108" i="92" s="1"/>
  <c r="H108" i="92" s="1"/>
  <c r="I108" i="92" s="1"/>
  <c r="J108" i="92" s="1"/>
  <c r="K108" i="92" s="1"/>
  <c r="L108" i="92" s="1"/>
  <c r="M108" i="92" s="1"/>
  <c r="D108" i="92"/>
  <c r="E106" i="92"/>
  <c r="F106" i="92" s="1"/>
  <c r="G106" i="92" s="1"/>
  <c r="H106" i="92" s="1"/>
  <c r="I106" i="92" s="1"/>
  <c r="J106" i="92" s="1"/>
  <c r="K106" i="92" s="1"/>
  <c r="L106" i="92" s="1"/>
  <c r="M106" i="92" s="1"/>
  <c r="D106" i="92"/>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B96" i="92"/>
  <c r="B94" i="92"/>
  <c r="B92" i="92"/>
  <c r="B90" i="92"/>
  <c r="D89" i="92"/>
  <c r="E89" i="92" s="1"/>
  <c r="F89" i="92" s="1"/>
  <c r="G89" i="92" s="1"/>
  <c r="H89" i="92" s="1"/>
  <c r="I89" i="92" s="1"/>
  <c r="J89" i="92" s="1"/>
  <c r="K89" i="92" s="1"/>
  <c r="L89" i="92" s="1"/>
  <c r="M89" i="92" s="1"/>
  <c r="M87" i="92"/>
  <c r="L87" i="92"/>
  <c r="K87" i="92"/>
  <c r="J87" i="92"/>
  <c r="I87" i="92"/>
  <c r="H87" i="92"/>
  <c r="G87" i="92"/>
  <c r="F87" i="92"/>
  <c r="E87" i="92"/>
  <c r="D87" i="92"/>
  <c r="D85" i="92"/>
  <c r="E85" i="92" s="1"/>
  <c r="D83" i="92"/>
  <c r="E83" i="92" s="1"/>
  <c r="F83" i="92" s="1"/>
  <c r="G83" i="92" s="1"/>
  <c r="D81" i="92"/>
  <c r="E81" i="92" s="1"/>
  <c r="D79" i="92"/>
  <c r="E79" i="92" s="1"/>
  <c r="D77" i="92"/>
  <c r="E77" i="92" s="1"/>
  <c r="B74" i="92"/>
  <c r="B72" i="92"/>
  <c r="B70" i="92"/>
  <c r="D69" i="92"/>
  <c r="E69" i="92" s="1"/>
  <c r="F69" i="92" s="1"/>
  <c r="G69" i="92" s="1"/>
  <c r="H69" i="92" s="1"/>
  <c r="I69" i="92" s="1"/>
  <c r="J69" i="92" s="1"/>
  <c r="K69" i="92" s="1"/>
  <c r="L69" i="92" s="1"/>
  <c r="M69" i="92" s="1"/>
  <c r="M67" i="92"/>
  <c r="L67" i="92"/>
  <c r="K67" i="92"/>
  <c r="J67" i="92"/>
  <c r="I67" i="92"/>
  <c r="H67" i="92"/>
  <c r="G67" i="92"/>
  <c r="F67" i="92"/>
  <c r="E67" i="92"/>
  <c r="D67" i="92"/>
  <c r="C67" i="92"/>
  <c r="E66" i="92"/>
  <c r="F66" i="92" s="1"/>
  <c r="G66" i="92" s="1"/>
  <c r="H66" i="92" s="1"/>
  <c r="I66" i="92" s="1"/>
  <c r="D66" i="92"/>
  <c r="C63" i="92"/>
  <c r="D59" i="92"/>
  <c r="E59" i="92" s="1"/>
  <c r="F59" i="92" s="1"/>
  <c r="G59" i="92" s="1"/>
  <c r="H59" i="92" s="1"/>
  <c r="I59" i="92" s="1"/>
  <c r="J59" i="92" s="1"/>
  <c r="K59" i="92" s="1"/>
  <c r="L59" i="92" s="1"/>
  <c r="M59" i="92" s="1"/>
  <c r="P49" i="92"/>
  <c r="P48" i="92"/>
  <c r="K48" i="92"/>
  <c r="P47" i="92"/>
  <c r="I47" i="92"/>
  <c r="V47" i="92" s="1"/>
  <c r="G47" i="92"/>
  <c r="E47" i="92"/>
  <c r="Q46" i="92"/>
  <c r="Z46" i="92" s="1"/>
  <c r="J46" i="92"/>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J37" i="92"/>
  <c r="AC37" i="92" s="1"/>
  <c r="H37" i="92"/>
  <c r="AB37" i="92" s="1"/>
  <c r="F37" i="92"/>
  <c r="AA37" i="92" s="1"/>
  <c r="Q36" i="92"/>
  <c r="Z36" i="92" s="1"/>
  <c r="J36" i="92"/>
  <c r="AC36" i="92" s="1"/>
  <c r="H36" i="92"/>
  <c r="AB36" i="92" s="1"/>
  <c r="F36" i="92"/>
  <c r="AA36" i="92" s="1"/>
  <c r="Q35" i="92"/>
  <c r="Z35" i="92" s="1"/>
  <c r="J35" i="92"/>
  <c r="AC35" i="92" s="1"/>
  <c r="H35" i="92"/>
  <c r="AB35" i="92" s="1"/>
  <c r="F35" i="92"/>
  <c r="AA35" i="92" s="1"/>
  <c r="Q34" i="92"/>
  <c r="Z34" i="92" s="1"/>
  <c r="J34" i="92"/>
  <c r="AC34" i="92" s="1"/>
  <c r="H34" i="92"/>
  <c r="AB34" i="92" s="1"/>
  <c r="F34" i="92"/>
  <c r="AA34" i="92" s="1"/>
  <c r="Q33" i="92"/>
  <c r="Z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Q29" i="92"/>
  <c r="Z29" i="92" s="1"/>
  <c r="J29" i="92"/>
  <c r="AC29" i="92" s="1"/>
  <c r="H29" i="92"/>
  <c r="AB29" i="92" s="1"/>
  <c r="F29" i="92"/>
  <c r="AA29" i="92" s="1"/>
  <c r="Q28" i="92"/>
  <c r="Z28" i="92" s="1"/>
  <c r="J28" i="92"/>
  <c r="AC28" i="92" s="1"/>
  <c r="H28" i="92"/>
  <c r="AB28" i="92" s="1"/>
  <c r="F28" i="92"/>
  <c r="AA28" i="92" s="1"/>
  <c r="Q27" i="92"/>
  <c r="Z27" i="92" s="1"/>
  <c r="J27" i="92"/>
  <c r="AC27" i="92" s="1"/>
  <c r="H27" i="92"/>
  <c r="AB27" i="92" s="1"/>
  <c r="F27" i="92"/>
  <c r="AA27" i="92" s="1"/>
  <c r="Q26" i="92"/>
  <c r="Z26" i="92" s="1"/>
  <c r="J26" i="92"/>
  <c r="AC26" i="92" s="1"/>
  <c r="H26" i="92"/>
  <c r="AB26" i="92" s="1"/>
  <c r="F26" i="92"/>
  <c r="AA26" i="92" s="1"/>
  <c r="Q25" i="92"/>
  <c r="Z25" i="92" s="1"/>
  <c r="J25" i="92"/>
  <c r="AC25" i="92" s="1"/>
  <c r="H25" i="92"/>
  <c r="AB25" i="92" s="1"/>
  <c r="F25" i="92"/>
  <c r="AA25" i="92" s="1"/>
  <c r="Q23" i="92"/>
  <c r="Z23" i="92" s="1"/>
  <c r="C23" i="92"/>
  <c r="Q21" i="92"/>
  <c r="Z21" i="92" s="1"/>
  <c r="J21" i="92"/>
  <c r="AC21" i="92" s="1"/>
  <c r="H21" i="92"/>
  <c r="F21" i="92"/>
  <c r="C21" i="92"/>
  <c r="Q19" i="92"/>
  <c r="Z19" i="92" s="1"/>
  <c r="C19" i="92"/>
  <c r="Q17" i="92"/>
  <c r="Z17" i="92" s="1"/>
  <c r="C17" i="92"/>
  <c r="Q15" i="92"/>
  <c r="Z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AC8" i="92" s="1"/>
  <c r="H8" i="92"/>
  <c r="AB8" i="92" s="1"/>
  <c r="F8" i="92"/>
  <c r="AA8" i="92" s="1"/>
  <c r="I5" i="92"/>
  <c r="G5" i="92"/>
  <c r="E5" i="92"/>
  <c r="D2" i="92"/>
  <c r="F77" i="92" l="1"/>
  <c r="G77" i="92" s="1"/>
  <c r="J15" i="92"/>
  <c r="AC15" i="92" s="1"/>
  <c r="H15" i="92"/>
  <c r="AB15" i="92" s="1"/>
  <c r="F15" i="92"/>
  <c r="AA15" i="92" s="1"/>
  <c r="F81" i="92"/>
  <c r="G81" i="92" s="1"/>
  <c r="J19" i="92"/>
  <c r="AC19" i="92" s="1"/>
  <c r="H19" i="92"/>
  <c r="AB19" i="92" s="1"/>
  <c r="F19" i="92"/>
  <c r="AA19" i="92" s="1"/>
  <c r="F85" i="92"/>
  <c r="G85" i="92" s="1"/>
  <c r="J23" i="92"/>
  <c r="AC23" i="92" s="1"/>
  <c r="H23" i="92"/>
  <c r="AB23" i="92" s="1"/>
  <c r="F23" i="92"/>
  <c r="AA23" i="92" s="1"/>
  <c r="F79" i="92"/>
  <c r="G79" i="92" s="1"/>
  <c r="H17" i="92"/>
  <c r="AB17" i="92" s="1"/>
  <c r="J17" i="92"/>
  <c r="AC17" i="92" s="1"/>
  <c r="F17" i="92"/>
  <c r="AA17" i="92" s="1"/>
  <c r="K145" i="92"/>
  <c r="U8" i="92"/>
  <c r="S8" i="92"/>
  <c r="W8" i="92"/>
  <c r="S9" i="92"/>
  <c r="W9" i="92"/>
  <c r="U10" i="92"/>
  <c r="S11" i="92"/>
  <c r="W11" i="92"/>
  <c r="U12" i="92"/>
  <c r="S13" i="92"/>
  <c r="W13" i="92"/>
  <c r="U14" i="92"/>
  <c r="U15" i="92"/>
  <c r="U19" i="92"/>
  <c r="AB21" i="92"/>
  <c r="U21" i="92"/>
  <c r="U9" i="92"/>
  <c r="S10" i="92"/>
  <c r="W10" i="92"/>
  <c r="U11" i="92"/>
  <c r="S12" i="92"/>
  <c r="W12" i="92"/>
  <c r="U13" i="92"/>
  <c r="S14" i="92"/>
  <c r="W14" i="92"/>
  <c r="S15" i="92"/>
  <c r="S17" i="92"/>
  <c r="W17" i="92"/>
  <c r="S19" i="92"/>
  <c r="AA21" i="92"/>
  <c r="S21" i="92"/>
  <c r="W21" i="92"/>
  <c r="W23" i="92"/>
  <c r="U25" i="92"/>
  <c r="S26" i="92"/>
  <c r="W26" i="92"/>
  <c r="U27" i="92"/>
  <c r="S28" i="92"/>
  <c r="W28" i="92"/>
  <c r="U29" i="92"/>
  <c r="S30" i="92"/>
  <c r="W30" i="92"/>
  <c r="U31" i="92"/>
  <c r="S32" i="92"/>
  <c r="W32" i="92"/>
  <c r="U34" i="92"/>
  <c r="S35" i="92"/>
  <c r="W35" i="92"/>
  <c r="U36" i="92"/>
  <c r="S37" i="92"/>
  <c r="W37" i="92"/>
  <c r="U38" i="92"/>
  <c r="S39" i="92"/>
  <c r="W39" i="92"/>
  <c r="U40" i="92"/>
  <c r="S41" i="92"/>
  <c r="W41" i="92"/>
  <c r="U42" i="92"/>
  <c r="S43" i="92"/>
  <c r="W43" i="92"/>
  <c r="U44" i="92"/>
  <c r="S45" i="92"/>
  <c r="W45" i="92"/>
  <c r="U46" i="92"/>
  <c r="G54" i="92"/>
  <c r="H54" i="92" s="1"/>
  <c r="U23" i="92"/>
  <c r="S25" i="92"/>
  <c r="W25" i="92"/>
  <c r="U26" i="92"/>
  <c r="S27" i="92"/>
  <c r="W27" i="92"/>
  <c r="U28" i="92"/>
  <c r="S29" i="92"/>
  <c r="W29" i="92"/>
  <c r="U30" i="92"/>
  <c r="S31" i="92"/>
  <c r="W31" i="92"/>
  <c r="U32" i="92"/>
  <c r="S34" i="92"/>
  <c r="W34" i="92"/>
  <c r="U35" i="92"/>
  <c r="S36" i="92"/>
  <c r="W36" i="92"/>
  <c r="U37" i="92"/>
  <c r="S38" i="92"/>
  <c r="W38" i="92"/>
  <c r="U39" i="92"/>
  <c r="S40" i="92"/>
  <c r="W40" i="92"/>
  <c r="U41" i="92"/>
  <c r="S42" i="92"/>
  <c r="W42" i="92"/>
  <c r="U43" i="92"/>
  <c r="S44" i="92"/>
  <c r="W44" i="92"/>
  <c r="U45" i="92"/>
  <c r="AC46" i="92"/>
  <c r="W46" i="92"/>
  <c r="S46" i="92"/>
  <c r="E54" i="92"/>
  <c r="F54" i="92" s="1"/>
  <c r="I54" i="92"/>
  <c r="J54" i="92" s="1"/>
  <c r="R47" i="92"/>
  <c r="T47" i="92"/>
  <c r="K141" i="92"/>
  <c r="K143" i="92"/>
  <c r="K144" i="92"/>
  <c r="S23" i="92" l="1"/>
  <c r="W19" i="92"/>
  <c r="W15" i="92"/>
  <c r="U17" i="92"/>
  <c r="R183" i="88" l="1"/>
  <c r="S182" i="88" l="1"/>
  <c r="S181" i="88"/>
  <c r="S180" i="88"/>
  <c r="D180" i="88"/>
  <c r="Q4" i="87" l="1"/>
  <c r="F117" i="88" l="1"/>
  <c r="F182" i="88"/>
  <c r="H185" i="88" s="1"/>
  <c r="C192" i="88"/>
  <c r="N193" i="88"/>
  <c r="O193" i="88" s="1"/>
  <c r="N192" i="88"/>
  <c r="O192" i="88" s="1"/>
  <c r="N191" i="88"/>
  <c r="O191" i="88" s="1"/>
  <c r="E288" i="90" l="1"/>
  <c r="U183" i="88"/>
  <c r="Q72" i="91"/>
  <c r="Q59" i="91"/>
  <c r="K59" i="91"/>
  <c r="P74" i="91" s="1"/>
  <c r="F59" i="91"/>
  <c r="Q58" i="91"/>
  <c r="Q51" i="91"/>
  <c r="J50" i="91"/>
  <c r="M47" i="91"/>
  <c r="D46" i="91"/>
  <c r="F33" i="91"/>
  <c r="F61" i="91" s="1"/>
  <c r="F31" i="91"/>
  <c r="F23" i="91"/>
  <c r="F21" i="91"/>
  <c r="F20" i="91"/>
  <c r="M19" i="91"/>
  <c r="F18" i="91"/>
  <c r="M17" i="91"/>
  <c r="F17" i="91"/>
  <c r="F15" i="91"/>
  <c r="D23" i="91" l="1"/>
  <c r="D22" i="91"/>
  <c r="D24" i="91"/>
  <c r="P61" i="91"/>
  <c r="T181" i="88" l="1"/>
  <c r="W181" i="88" s="1"/>
  <c r="T180" i="88"/>
  <c r="W180" i="88" s="1"/>
  <c r="Q5" i="87" l="1"/>
  <c r="C185" i="88" l="1"/>
  <c r="F1384" i="87"/>
  <c r="S2" i="87"/>
  <c r="S3" i="87"/>
  <c r="E1384" i="87"/>
  <c r="K1382" i="87"/>
  <c r="A1384" i="87"/>
  <c r="M697" i="87" l="1"/>
  <c r="L697" i="87"/>
  <c r="M652" i="87"/>
  <c r="L652" i="87"/>
  <c r="M462" i="87"/>
  <c r="L462" i="87"/>
  <c r="M247" i="87"/>
  <c r="L247" i="87"/>
  <c r="M232" i="87"/>
  <c r="L232" i="87"/>
  <c r="M132" i="87"/>
  <c r="L132" i="87"/>
  <c r="M77" i="87"/>
  <c r="L77" i="87"/>
  <c r="N232" i="87" l="1"/>
  <c r="N77" i="87"/>
  <c r="L7" i="1" l="1"/>
  <c r="L8" i="1" s="1"/>
  <c r="L9" i="1" s="1"/>
  <c r="P184" i="88"/>
  <c r="Q184" i="88" l="1"/>
  <c r="T184" i="88"/>
  <c r="T182" i="88"/>
  <c r="W182" i="88" s="1"/>
  <c r="M1377" i="87"/>
  <c r="L1377" i="87"/>
  <c r="M1367" i="87"/>
  <c r="L1367" i="87"/>
  <c r="M1347" i="87"/>
  <c r="L1347" i="87"/>
  <c r="M1307" i="87"/>
  <c r="L1307" i="87"/>
  <c r="M1287" i="87"/>
  <c r="L1287" i="87"/>
  <c r="M1252" i="87"/>
  <c r="L1252" i="87"/>
  <c r="M1212" i="87"/>
  <c r="L1212" i="87"/>
  <c r="M1172" i="87"/>
  <c r="L1172" i="87"/>
  <c r="M1132" i="87"/>
  <c r="L1132" i="87"/>
  <c r="M1097" i="87"/>
  <c r="L1097" i="87"/>
  <c r="M1072" i="87"/>
  <c r="L1072" i="87"/>
  <c r="M1042" i="87"/>
  <c r="L1042" i="87"/>
  <c r="M1022" i="87"/>
  <c r="L1022" i="87"/>
  <c r="M1002" i="87"/>
  <c r="L1002" i="87"/>
  <c r="M977" i="87"/>
  <c r="L977" i="87"/>
  <c r="M947" i="87"/>
  <c r="L947" i="87"/>
  <c r="M917" i="87"/>
  <c r="L917" i="87"/>
  <c r="M887" i="87"/>
  <c r="L887" i="87"/>
  <c r="N887" i="87" l="1"/>
  <c r="S163" i="88" s="1"/>
  <c r="N917" i="87"/>
  <c r="S164" i="88" s="1"/>
  <c r="N947" i="87"/>
  <c r="S165" i="88" s="1"/>
  <c r="N977" i="87"/>
  <c r="S166" i="88" s="1"/>
  <c r="N1002" i="87"/>
  <c r="S167" i="88" s="1"/>
  <c r="N1022" i="87"/>
  <c r="S168" i="88" s="1"/>
  <c r="N1042" i="87"/>
  <c r="S169" i="88" s="1"/>
  <c r="N1072" i="87"/>
  <c r="N1097" i="87"/>
  <c r="S171" i="88" s="1"/>
  <c r="N1132" i="87"/>
  <c r="S172" i="88" s="1"/>
  <c r="N1172" i="87"/>
  <c r="S173" i="88" s="1"/>
  <c r="N1212" i="87"/>
  <c r="S174" i="88" s="1"/>
  <c r="N1252" i="87"/>
  <c r="S175" i="88" s="1"/>
  <c r="N1287" i="87"/>
  <c r="S176" i="88" s="1"/>
  <c r="N1307" i="87"/>
  <c r="S177" i="88" s="1"/>
  <c r="N1347" i="87"/>
  <c r="S178" i="88" s="1"/>
  <c r="N1367" i="87"/>
  <c r="S179" i="88" s="1"/>
  <c r="N1377" i="87"/>
  <c r="S170" i="88" s="1"/>
  <c r="L194" i="88" l="1"/>
  <c r="F186" i="88" s="1"/>
  <c r="K295" i="88"/>
  <c r="K296" i="88" s="1"/>
  <c r="I295" i="88"/>
  <c r="I296" i="88" s="1"/>
  <c r="G295" i="88"/>
  <c r="G296" i="88" s="1"/>
  <c r="K282" i="88"/>
  <c r="J282" i="88"/>
  <c r="I282" i="88"/>
  <c r="H282" i="88"/>
  <c r="J209" i="88"/>
  <c r="I208" i="88"/>
  <c r="H208" i="88"/>
  <c r="H209" i="88" s="1"/>
  <c r="G208" i="88"/>
  <c r="G209" i="88" s="1"/>
  <c r="F208" i="88"/>
  <c r="F209" i="88" s="1"/>
  <c r="E208" i="88"/>
  <c r="I204" i="88"/>
  <c r="E204" i="88" s="1"/>
  <c r="K194" i="88"/>
  <c r="F194" i="88"/>
  <c r="E194" i="88"/>
  <c r="D186" i="88" s="1"/>
  <c r="D187" i="88" s="1"/>
  <c r="D194" i="88"/>
  <c r="G193" i="88"/>
  <c r="C193" i="88" s="1"/>
  <c r="K187" i="88"/>
  <c r="E187" i="88"/>
  <c r="L186" i="88"/>
  <c r="G186" i="88"/>
  <c r="G181" i="88"/>
  <c r="I197" i="88" s="1"/>
  <c r="K180" i="88"/>
  <c r="M180" i="88" s="1"/>
  <c r="G180" i="88"/>
  <c r="F180" i="88"/>
  <c r="G185" i="88" s="1"/>
  <c r="G187" i="88" s="1"/>
  <c r="C179" i="88"/>
  <c r="C178" i="88"/>
  <c r="C177" i="88"/>
  <c r="C176" i="88"/>
  <c r="C175" i="88"/>
  <c r="C174" i="88"/>
  <c r="C173" i="88"/>
  <c r="C172" i="88"/>
  <c r="C171" i="88"/>
  <c r="C170" i="88"/>
  <c r="C169" i="88"/>
  <c r="C168" i="88"/>
  <c r="C167" i="88"/>
  <c r="C166" i="88"/>
  <c r="C165" i="88"/>
  <c r="C164" i="88"/>
  <c r="C163" i="88"/>
  <c r="C162" i="88"/>
  <c r="C161" i="88"/>
  <c r="C160" i="88"/>
  <c r="C159" i="88"/>
  <c r="C158" i="88"/>
  <c r="C157" i="88"/>
  <c r="C156" i="88"/>
  <c r="C155" i="88"/>
  <c r="C154" i="88"/>
  <c r="C153" i="88"/>
  <c r="C152" i="88"/>
  <c r="C151" i="88"/>
  <c r="C150" i="88"/>
  <c r="C149" i="88"/>
  <c r="C148" i="88"/>
  <c r="C147" i="88"/>
  <c r="C146" i="88"/>
  <c r="C145" i="88"/>
  <c r="C144" i="88"/>
  <c r="C143" i="88"/>
  <c r="C142" i="88"/>
  <c r="C141" i="88"/>
  <c r="C140" i="88"/>
  <c r="C139" i="88"/>
  <c r="C138" i="88"/>
  <c r="C137" i="88"/>
  <c r="C136" i="88"/>
  <c r="C135" i="88"/>
  <c r="C134" i="88"/>
  <c r="C133" i="88"/>
  <c r="C132" i="88"/>
  <c r="C131" i="88"/>
  <c r="C130" i="88"/>
  <c r="C129" i="88"/>
  <c r="C128" i="88"/>
  <c r="C127" i="88"/>
  <c r="C126" i="88"/>
  <c r="C125" i="88"/>
  <c r="C124" i="88"/>
  <c r="C123" i="88"/>
  <c r="C122" i="88"/>
  <c r="C180" i="88" s="1"/>
  <c r="C119" i="88"/>
  <c r="L115" i="88"/>
  <c r="I115" i="88"/>
  <c r="K116" i="88" s="1"/>
  <c r="H115" i="88"/>
  <c r="G115" i="88"/>
  <c r="E115" i="88"/>
  <c r="C115" i="88"/>
  <c r="B115" i="88" s="1"/>
  <c r="M115" i="88" s="1"/>
  <c r="K109" i="88"/>
  <c r="J109" i="88"/>
  <c r="H109" i="88"/>
  <c r="C108" i="88"/>
  <c r="C107" i="88"/>
  <c r="C106" i="88"/>
  <c r="C105" i="88"/>
  <c r="F104" i="88"/>
  <c r="E104" i="88"/>
  <c r="C104" i="88" s="1"/>
  <c r="G103" i="88"/>
  <c r="G109" i="88" s="1"/>
  <c r="F95" i="88" s="1"/>
  <c r="F96" i="88" s="1"/>
  <c r="F103" i="88"/>
  <c r="F109" i="88" s="1"/>
  <c r="E95" i="88" s="1"/>
  <c r="E96" i="88" s="1"/>
  <c r="E103" i="88"/>
  <c r="C102" i="88"/>
  <c r="C101" i="88"/>
  <c r="I100" i="88"/>
  <c r="C100" i="88" s="1"/>
  <c r="K96" i="88"/>
  <c r="J96" i="88"/>
  <c r="G95" i="88"/>
  <c r="C95" i="88"/>
  <c r="H94" i="88"/>
  <c r="H96" i="88" s="1"/>
  <c r="D94" i="88"/>
  <c r="G88" i="88"/>
  <c r="E88" i="88"/>
  <c r="C88" i="88" s="1"/>
  <c r="C87" i="88"/>
  <c r="K86" i="88"/>
  <c r="G86" i="88"/>
  <c r="I94" i="88" s="1"/>
  <c r="F86" i="88"/>
  <c r="G94" i="88" s="1"/>
  <c r="G96" i="88" s="1"/>
  <c r="E86" i="88"/>
  <c r="D86" i="88"/>
  <c r="C94" i="88" s="1"/>
  <c r="C85" i="88"/>
  <c r="C84" i="88"/>
  <c r="C83" i="88"/>
  <c r="C82" i="88"/>
  <c r="C81" i="88"/>
  <c r="C80" i="88"/>
  <c r="C79" i="88"/>
  <c r="C78" i="88"/>
  <c r="C77" i="88"/>
  <c r="C76" i="88"/>
  <c r="C75" i="88"/>
  <c r="C74" i="88"/>
  <c r="C73" i="88"/>
  <c r="C72" i="88"/>
  <c r="C71" i="88"/>
  <c r="C70" i="88"/>
  <c r="C69" i="88"/>
  <c r="C68" i="88"/>
  <c r="C67" i="88"/>
  <c r="C66" i="88"/>
  <c r="C65" i="88"/>
  <c r="C64" i="88"/>
  <c r="C63" i="88"/>
  <c r="C62" i="88"/>
  <c r="C61" i="88"/>
  <c r="C60" i="88"/>
  <c r="C59" i="88"/>
  <c r="C58" i="88"/>
  <c r="C57" i="88"/>
  <c r="C56" i="88"/>
  <c r="C55" i="88"/>
  <c r="C54" i="88"/>
  <c r="C53" i="88"/>
  <c r="C52" i="88"/>
  <c r="C51" i="88"/>
  <c r="C50" i="88"/>
  <c r="C49" i="88"/>
  <c r="C48" i="88"/>
  <c r="C47" i="88"/>
  <c r="C46" i="88"/>
  <c r="C45" i="88"/>
  <c r="C44" i="88"/>
  <c r="C43" i="88"/>
  <c r="C42" i="88"/>
  <c r="C41" i="88"/>
  <c r="C40" i="88"/>
  <c r="C39" i="88"/>
  <c r="C38" i="88"/>
  <c r="C37" i="88"/>
  <c r="C36" i="88"/>
  <c r="C35" i="88"/>
  <c r="C34" i="88"/>
  <c r="C33" i="88"/>
  <c r="C32" i="88"/>
  <c r="C31" i="88"/>
  <c r="C30" i="88"/>
  <c r="C29" i="88"/>
  <c r="C28" i="88"/>
  <c r="C27" i="88"/>
  <c r="C26" i="88"/>
  <c r="C25" i="88"/>
  <c r="C24" i="88"/>
  <c r="C23" i="88"/>
  <c r="C22" i="88"/>
  <c r="C21" i="88"/>
  <c r="C20" i="88"/>
  <c r="C19" i="88"/>
  <c r="C18" i="88"/>
  <c r="C17" i="88"/>
  <c r="C16" i="88"/>
  <c r="C15" i="88"/>
  <c r="C14" i="88"/>
  <c r="C13" i="88"/>
  <c r="C12" i="88"/>
  <c r="C11" i="88"/>
  <c r="C10" i="88"/>
  <c r="C9" i="88"/>
  <c r="C8" i="88"/>
  <c r="C7" i="88"/>
  <c r="C6" i="88"/>
  <c r="C5" i="88"/>
  <c r="C4" i="88"/>
  <c r="C86" i="88" s="1"/>
  <c r="C89" i="88" s="1"/>
  <c r="C3" i="88"/>
  <c r="I1381" i="87"/>
  <c r="D1381" i="87"/>
  <c r="I1380" i="87"/>
  <c r="D1380" i="87"/>
  <c r="I1379" i="87"/>
  <c r="D1379" i="87"/>
  <c r="I1378" i="87"/>
  <c r="D1378" i="87"/>
  <c r="I1377" i="87"/>
  <c r="D1377" i="87"/>
  <c r="I1376" i="87"/>
  <c r="I1375" i="87"/>
  <c r="I1374" i="87"/>
  <c r="I1373" i="87"/>
  <c r="I1372" i="87"/>
  <c r="I1371" i="87"/>
  <c r="I1370" i="87"/>
  <c r="I1369" i="87"/>
  <c r="I1368" i="87"/>
  <c r="I1367" i="87"/>
  <c r="I1366" i="87"/>
  <c r="I1365" i="87"/>
  <c r="I1364" i="87"/>
  <c r="I1363" i="87"/>
  <c r="I1362" i="87"/>
  <c r="I1361" i="87"/>
  <c r="I1360" i="87"/>
  <c r="I1359" i="87"/>
  <c r="I1358" i="87"/>
  <c r="I1357" i="87"/>
  <c r="I1356" i="87"/>
  <c r="I1355" i="87"/>
  <c r="I1354" i="87"/>
  <c r="I1353" i="87"/>
  <c r="I1352" i="87"/>
  <c r="I1351" i="87"/>
  <c r="I1350" i="87"/>
  <c r="I1349" i="87"/>
  <c r="I1348" i="87"/>
  <c r="I1347" i="87"/>
  <c r="I1346" i="87"/>
  <c r="I1345" i="87"/>
  <c r="I1344" i="87"/>
  <c r="I1343" i="87"/>
  <c r="I1342" i="87"/>
  <c r="I1341" i="87"/>
  <c r="I1340" i="87"/>
  <c r="I1339" i="87"/>
  <c r="I1338" i="87"/>
  <c r="I1337" i="87"/>
  <c r="I1336" i="87"/>
  <c r="I1335" i="87"/>
  <c r="I1334" i="87"/>
  <c r="I1333" i="87"/>
  <c r="I1332" i="87"/>
  <c r="I1331" i="87"/>
  <c r="I1330" i="87"/>
  <c r="I1329" i="87"/>
  <c r="I1328" i="87"/>
  <c r="I1327" i="87"/>
  <c r="I1326" i="87"/>
  <c r="I1325" i="87"/>
  <c r="I1324" i="87"/>
  <c r="I1323" i="87"/>
  <c r="I1322" i="87"/>
  <c r="I1321" i="87"/>
  <c r="I1320" i="87"/>
  <c r="I1319" i="87"/>
  <c r="I1318" i="87"/>
  <c r="I1317" i="87"/>
  <c r="I1316" i="87"/>
  <c r="I1315" i="87"/>
  <c r="I1314" i="87"/>
  <c r="I1313" i="87"/>
  <c r="I1312" i="87"/>
  <c r="I1311" i="87"/>
  <c r="I1310" i="87"/>
  <c r="I1309" i="87"/>
  <c r="I1308" i="87"/>
  <c r="I1307" i="87"/>
  <c r="I1306" i="87"/>
  <c r="I1305" i="87"/>
  <c r="I1304" i="87"/>
  <c r="I1303" i="87"/>
  <c r="I1302" i="87"/>
  <c r="I1301" i="87"/>
  <c r="I1300" i="87"/>
  <c r="I1299" i="87"/>
  <c r="I1298" i="87"/>
  <c r="I1297" i="87"/>
  <c r="I1296" i="87"/>
  <c r="I1295" i="87"/>
  <c r="I1294" i="87"/>
  <c r="I1293" i="87"/>
  <c r="I1292" i="87"/>
  <c r="I1291" i="87"/>
  <c r="I1290" i="87"/>
  <c r="I1289" i="87"/>
  <c r="I1288" i="87"/>
  <c r="I1287" i="87"/>
  <c r="I1286" i="87"/>
  <c r="I1285" i="87"/>
  <c r="I1284" i="87"/>
  <c r="I1283" i="87"/>
  <c r="I1282" i="87"/>
  <c r="I1281" i="87"/>
  <c r="I1280" i="87"/>
  <c r="I1279" i="87"/>
  <c r="I1278" i="87"/>
  <c r="I1277" i="87"/>
  <c r="I1276" i="87"/>
  <c r="I1275" i="87"/>
  <c r="I1274" i="87"/>
  <c r="I1273" i="87"/>
  <c r="I1272" i="87"/>
  <c r="I1271" i="87"/>
  <c r="I1270" i="87"/>
  <c r="I1269" i="87"/>
  <c r="I1268" i="87"/>
  <c r="I1267" i="87"/>
  <c r="I1266" i="87"/>
  <c r="I1265" i="87"/>
  <c r="I1264" i="87"/>
  <c r="I1263" i="87"/>
  <c r="I1262" i="87"/>
  <c r="I1261" i="87"/>
  <c r="I1260" i="87"/>
  <c r="I1259" i="87"/>
  <c r="I1258" i="87"/>
  <c r="I1257" i="87"/>
  <c r="I1256" i="87"/>
  <c r="I1255" i="87"/>
  <c r="I1254" i="87"/>
  <c r="I1253" i="87"/>
  <c r="I1252" i="87"/>
  <c r="I1251" i="87"/>
  <c r="I1250" i="87"/>
  <c r="I1249" i="87"/>
  <c r="I1248" i="87"/>
  <c r="I1247" i="87"/>
  <c r="I1246" i="87"/>
  <c r="I1245" i="87"/>
  <c r="I1244" i="87"/>
  <c r="I1243" i="87"/>
  <c r="I1242" i="87"/>
  <c r="I1241" i="87"/>
  <c r="I1240" i="87"/>
  <c r="I1239" i="87"/>
  <c r="I1238" i="87"/>
  <c r="I1237" i="87"/>
  <c r="I1236" i="87"/>
  <c r="I1235" i="87"/>
  <c r="I1234" i="87"/>
  <c r="I1233" i="87"/>
  <c r="I1232" i="87"/>
  <c r="I1231" i="87"/>
  <c r="I1230" i="87"/>
  <c r="I1229" i="87"/>
  <c r="I1228" i="87"/>
  <c r="I1227" i="87"/>
  <c r="I1226" i="87"/>
  <c r="I1225" i="87"/>
  <c r="I1224" i="87"/>
  <c r="I1223" i="87"/>
  <c r="I1222" i="87"/>
  <c r="I1221" i="87"/>
  <c r="I1220" i="87"/>
  <c r="I1219" i="87"/>
  <c r="I1218" i="87"/>
  <c r="I1217" i="87"/>
  <c r="I1216" i="87"/>
  <c r="I1215" i="87"/>
  <c r="I1214" i="87"/>
  <c r="I1213" i="87"/>
  <c r="I1212" i="87"/>
  <c r="I1211" i="87"/>
  <c r="I1210" i="87"/>
  <c r="I1209" i="87"/>
  <c r="I1208" i="87"/>
  <c r="I1207" i="87"/>
  <c r="I1206" i="87"/>
  <c r="I1205" i="87"/>
  <c r="I1204" i="87"/>
  <c r="I1203" i="87"/>
  <c r="I1202" i="87"/>
  <c r="I1201" i="87"/>
  <c r="I1200" i="87"/>
  <c r="I1199" i="87"/>
  <c r="I1198" i="87"/>
  <c r="I1197" i="87"/>
  <c r="I1196" i="87"/>
  <c r="I1195" i="87"/>
  <c r="I1194" i="87"/>
  <c r="I1193" i="87"/>
  <c r="I1192" i="87"/>
  <c r="I1191" i="87"/>
  <c r="I1190" i="87"/>
  <c r="I1189" i="87"/>
  <c r="I1188" i="87"/>
  <c r="I1187" i="87"/>
  <c r="I1186" i="87"/>
  <c r="I1185" i="87"/>
  <c r="I1184" i="87"/>
  <c r="I1183" i="87"/>
  <c r="I1182" i="87"/>
  <c r="I1181" i="87"/>
  <c r="I1180" i="87"/>
  <c r="I1179" i="87"/>
  <c r="I1178" i="87"/>
  <c r="I1177" i="87"/>
  <c r="I1176" i="87"/>
  <c r="I1175" i="87"/>
  <c r="I1174" i="87"/>
  <c r="I1173" i="87"/>
  <c r="I1172" i="87"/>
  <c r="I1171" i="87"/>
  <c r="I1170" i="87"/>
  <c r="I1169" i="87"/>
  <c r="I1168" i="87"/>
  <c r="I1167" i="87"/>
  <c r="I1166" i="87"/>
  <c r="I1165" i="87"/>
  <c r="I1164" i="87"/>
  <c r="I1163" i="87"/>
  <c r="I1162" i="87"/>
  <c r="I1161" i="87"/>
  <c r="I1160" i="87"/>
  <c r="I1159" i="87"/>
  <c r="I1158" i="87"/>
  <c r="I1157" i="87"/>
  <c r="I1156" i="87"/>
  <c r="I1155" i="87"/>
  <c r="I1154" i="87"/>
  <c r="I1153" i="87"/>
  <c r="I1152" i="87"/>
  <c r="I1151" i="87"/>
  <c r="I1150" i="87"/>
  <c r="I1149" i="87"/>
  <c r="I1148" i="87"/>
  <c r="I1147" i="87"/>
  <c r="I1146" i="87"/>
  <c r="I1145" i="87"/>
  <c r="I1144" i="87"/>
  <c r="I1143" i="87"/>
  <c r="I1142" i="87"/>
  <c r="I1141" i="87"/>
  <c r="I1140" i="87"/>
  <c r="I1139" i="87"/>
  <c r="I1138" i="87"/>
  <c r="I1137" i="87"/>
  <c r="I1136" i="87"/>
  <c r="I1135" i="87"/>
  <c r="I1134" i="87"/>
  <c r="I1133" i="87"/>
  <c r="I1132" i="87"/>
  <c r="I1131" i="87"/>
  <c r="I1130" i="87"/>
  <c r="I1129" i="87"/>
  <c r="I1128" i="87"/>
  <c r="I1127" i="87"/>
  <c r="I1126" i="87"/>
  <c r="I1125" i="87"/>
  <c r="I1124" i="87"/>
  <c r="I1123" i="87"/>
  <c r="I1122" i="87"/>
  <c r="I1121" i="87"/>
  <c r="I1120" i="87"/>
  <c r="I1119" i="87"/>
  <c r="I1118" i="87"/>
  <c r="I1117" i="87"/>
  <c r="I1116" i="87"/>
  <c r="I1115" i="87"/>
  <c r="I1114" i="87"/>
  <c r="I1113" i="87"/>
  <c r="I1112" i="87"/>
  <c r="I1111" i="87"/>
  <c r="I1110" i="87"/>
  <c r="I1109" i="87"/>
  <c r="I1108" i="87"/>
  <c r="I1107" i="87"/>
  <c r="I1106" i="87"/>
  <c r="I1105" i="87"/>
  <c r="I1104" i="87"/>
  <c r="I1103" i="87"/>
  <c r="I1102" i="87"/>
  <c r="I1101" i="87"/>
  <c r="I1100" i="87"/>
  <c r="I1099" i="87"/>
  <c r="I1098" i="87"/>
  <c r="I1097" i="87"/>
  <c r="I1096" i="87"/>
  <c r="I1095" i="87"/>
  <c r="I1094" i="87"/>
  <c r="I1093" i="87"/>
  <c r="I1092" i="87"/>
  <c r="I1091" i="87"/>
  <c r="I1090" i="87"/>
  <c r="I1089" i="87"/>
  <c r="I1088" i="87"/>
  <c r="I1087" i="87"/>
  <c r="I1086" i="87"/>
  <c r="I1085" i="87"/>
  <c r="I1084" i="87"/>
  <c r="I1083" i="87"/>
  <c r="I1082" i="87"/>
  <c r="I1081" i="87"/>
  <c r="I1080" i="87"/>
  <c r="I1079" i="87"/>
  <c r="I1078" i="87"/>
  <c r="I1077" i="87"/>
  <c r="I1076" i="87"/>
  <c r="I1075" i="87"/>
  <c r="I1074" i="87"/>
  <c r="I1073" i="87"/>
  <c r="I1072" i="87"/>
  <c r="I1071" i="87"/>
  <c r="I1070" i="87"/>
  <c r="I1069" i="87"/>
  <c r="I1068" i="87"/>
  <c r="I1067" i="87"/>
  <c r="I1066" i="87"/>
  <c r="I1065" i="87"/>
  <c r="I1064" i="87"/>
  <c r="I1063" i="87"/>
  <c r="I1062" i="87"/>
  <c r="I1061" i="87"/>
  <c r="I1060" i="87"/>
  <c r="I1059" i="87"/>
  <c r="I1058" i="87"/>
  <c r="I1057" i="87"/>
  <c r="I1056" i="87"/>
  <c r="I1055" i="87"/>
  <c r="I1054" i="87"/>
  <c r="I1053" i="87"/>
  <c r="I1052" i="87"/>
  <c r="I1051" i="87"/>
  <c r="I1050" i="87"/>
  <c r="I1049" i="87"/>
  <c r="I1048" i="87"/>
  <c r="I1047" i="87"/>
  <c r="I1046" i="87"/>
  <c r="I1045" i="87"/>
  <c r="I1044" i="87"/>
  <c r="I1043" i="87"/>
  <c r="I1042" i="87"/>
  <c r="I1041" i="87"/>
  <c r="I1040" i="87"/>
  <c r="I1039" i="87"/>
  <c r="I1038" i="87"/>
  <c r="I1037" i="87"/>
  <c r="I1036" i="87"/>
  <c r="I1035" i="87"/>
  <c r="I1034" i="87"/>
  <c r="I1033" i="87"/>
  <c r="I1032" i="87"/>
  <c r="I1031" i="87"/>
  <c r="I1030" i="87"/>
  <c r="I1029" i="87"/>
  <c r="I1028" i="87"/>
  <c r="I1027" i="87"/>
  <c r="I1026" i="87"/>
  <c r="I1025" i="87"/>
  <c r="I1024" i="87"/>
  <c r="I1023" i="87"/>
  <c r="I1022" i="87"/>
  <c r="I1021" i="87"/>
  <c r="I1020" i="87"/>
  <c r="I1019" i="87"/>
  <c r="I1018" i="87"/>
  <c r="I1017" i="87"/>
  <c r="I1016" i="87"/>
  <c r="I1015" i="87"/>
  <c r="I1014" i="87"/>
  <c r="I1013" i="87"/>
  <c r="I1012" i="87"/>
  <c r="I1011" i="87"/>
  <c r="I1010" i="87"/>
  <c r="I1009" i="87"/>
  <c r="I1008" i="87"/>
  <c r="I1007" i="87"/>
  <c r="I1006" i="87"/>
  <c r="I1005" i="87"/>
  <c r="I1004" i="87"/>
  <c r="I1003" i="87"/>
  <c r="I1002" i="87"/>
  <c r="I1001" i="87"/>
  <c r="I1000" i="87"/>
  <c r="I999" i="87"/>
  <c r="I998" i="87"/>
  <c r="I997" i="87"/>
  <c r="I996" i="87"/>
  <c r="I995" i="87"/>
  <c r="I994" i="87"/>
  <c r="I993" i="87"/>
  <c r="I992" i="87"/>
  <c r="I991" i="87"/>
  <c r="I990" i="87"/>
  <c r="I989" i="87"/>
  <c r="I988" i="87"/>
  <c r="I987" i="87"/>
  <c r="I986" i="87"/>
  <c r="I985" i="87"/>
  <c r="I984" i="87"/>
  <c r="I983" i="87"/>
  <c r="I982" i="87"/>
  <c r="I981" i="87"/>
  <c r="I980" i="87"/>
  <c r="I979" i="87"/>
  <c r="I978" i="87"/>
  <c r="I977" i="87"/>
  <c r="I976" i="87"/>
  <c r="I975" i="87"/>
  <c r="I974" i="87"/>
  <c r="I973" i="87"/>
  <c r="I972" i="87"/>
  <c r="I971" i="87"/>
  <c r="I970" i="87"/>
  <c r="I969" i="87"/>
  <c r="I968" i="87"/>
  <c r="I967" i="87"/>
  <c r="I966" i="87"/>
  <c r="I965" i="87"/>
  <c r="I964" i="87"/>
  <c r="I963" i="87"/>
  <c r="I962" i="87"/>
  <c r="I961" i="87"/>
  <c r="I960" i="87"/>
  <c r="I959" i="87"/>
  <c r="I958" i="87"/>
  <c r="I957" i="87"/>
  <c r="I956" i="87"/>
  <c r="I955" i="87"/>
  <c r="I954" i="87"/>
  <c r="I953" i="87"/>
  <c r="I952" i="87"/>
  <c r="I951" i="87"/>
  <c r="I950" i="87"/>
  <c r="I949" i="87"/>
  <c r="I948" i="87"/>
  <c r="I947" i="87"/>
  <c r="I946" i="87"/>
  <c r="I945" i="87"/>
  <c r="I944" i="87"/>
  <c r="I943" i="87"/>
  <c r="I942" i="87"/>
  <c r="I941" i="87"/>
  <c r="I940" i="87"/>
  <c r="I939" i="87"/>
  <c r="I938" i="87"/>
  <c r="I937" i="87"/>
  <c r="I936" i="87"/>
  <c r="I935" i="87"/>
  <c r="I934" i="87"/>
  <c r="I933" i="87"/>
  <c r="I932" i="87"/>
  <c r="I931" i="87"/>
  <c r="I930" i="87"/>
  <c r="I929" i="87"/>
  <c r="I928" i="87"/>
  <c r="I927" i="87"/>
  <c r="I926" i="87"/>
  <c r="I925" i="87"/>
  <c r="I924" i="87"/>
  <c r="I923" i="87"/>
  <c r="I922" i="87"/>
  <c r="I921" i="87"/>
  <c r="I920" i="87"/>
  <c r="I919" i="87"/>
  <c r="I918" i="87"/>
  <c r="I917" i="87"/>
  <c r="I916" i="87"/>
  <c r="I915" i="87"/>
  <c r="I914" i="87"/>
  <c r="I913" i="87"/>
  <c r="I912" i="87"/>
  <c r="I911" i="87"/>
  <c r="I910" i="87"/>
  <c r="I909" i="87"/>
  <c r="I908" i="87"/>
  <c r="I907" i="87"/>
  <c r="I906" i="87"/>
  <c r="I905" i="87"/>
  <c r="I904" i="87"/>
  <c r="I903" i="87"/>
  <c r="I902" i="87"/>
  <c r="I901" i="87"/>
  <c r="I900" i="87"/>
  <c r="I899" i="87"/>
  <c r="I898" i="87"/>
  <c r="I897" i="87"/>
  <c r="I896" i="87"/>
  <c r="I895" i="87"/>
  <c r="I894" i="87"/>
  <c r="I893" i="87"/>
  <c r="I892" i="87"/>
  <c r="I891" i="87"/>
  <c r="I890" i="87"/>
  <c r="I889" i="87"/>
  <c r="I888" i="87"/>
  <c r="I887" i="87"/>
  <c r="I886" i="87"/>
  <c r="I885" i="87"/>
  <c r="I884" i="87"/>
  <c r="I883" i="87"/>
  <c r="I882" i="87"/>
  <c r="I881" i="87"/>
  <c r="I880" i="87"/>
  <c r="I879" i="87"/>
  <c r="I878" i="87"/>
  <c r="I877" i="87"/>
  <c r="I876" i="87"/>
  <c r="I875" i="87"/>
  <c r="I874" i="87"/>
  <c r="I873" i="87"/>
  <c r="I872" i="87"/>
  <c r="I871" i="87"/>
  <c r="I870" i="87"/>
  <c r="I869" i="87"/>
  <c r="I868" i="87"/>
  <c r="I867" i="87"/>
  <c r="I866" i="87"/>
  <c r="I865" i="87"/>
  <c r="I864" i="87"/>
  <c r="I863" i="87"/>
  <c r="M862" i="87"/>
  <c r="L862" i="87"/>
  <c r="I862" i="87"/>
  <c r="I861" i="87"/>
  <c r="I860" i="87"/>
  <c r="I859" i="87"/>
  <c r="I858" i="87"/>
  <c r="I857" i="87"/>
  <c r="I856" i="87"/>
  <c r="I855" i="87"/>
  <c r="I854" i="87"/>
  <c r="I853" i="87"/>
  <c r="I852" i="87"/>
  <c r="I851" i="87"/>
  <c r="I850" i="87"/>
  <c r="I849" i="87"/>
  <c r="I848" i="87"/>
  <c r="I847" i="87"/>
  <c r="I846" i="87"/>
  <c r="I845" i="87"/>
  <c r="I844" i="87"/>
  <c r="I843" i="87"/>
  <c r="I842" i="87"/>
  <c r="I841" i="87"/>
  <c r="I840" i="87"/>
  <c r="I839" i="87"/>
  <c r="I838" i="87"/>
  <c r="I837" i="87"/>
  <c r="I836" i="87"/>
  <c r="I835" i="87"/>
  <c r="I834" i="87"/>
  <c r="I833" i="87"/>
  <c r="M832" i="87"/>
  <c r="L832" i="87"/>
  <c r="I832" i="87"/>
  <c r="I831" i="87"/>
  <c r="I830" i="87"/>
  <c r="I829" i="87"/>
  <c r="I828" i="87"/>
  <c r="I827" i="87"/>
  <c r="I826" i="87"/>
  <c r="I825" i="87"/>
  <c r="I824" i="87"/>
  <c r="I823" i="87"/>
  <c r="I822" i="87"/>
  <c r="I821" i="87"/>
  <c r="I820" i="87"/>
  <c r="I819" i="87"/>
  <c r="I818" i="87"/>
  <c r="I817" i="87"/>
  <c r="I816" i="87"/>
  <c r="I815" i="87"/>
  <c r="I814" i="87"/>
  <c r="I813" i="87"/>
  <c r="I812" i="87"/>
  <c r="I811" i="87"/>
  <c r="I810" i="87"/>
  <c r="I809" i="87"/>
  <c r="I808" i="87"/>
  <c r="I807" i="87"/>
  <c r="I806" i="87"/>
  <c r="I805" i="87"/>
  <c r="I804" i="87"/>
  <c r="I803" i="87"/>
  <c r="M802" i="87"/>
  <c r="L802" i="87"/>
  <c r="I802" i="87"/>
  <c r="I801" i="87"/>
  <c r="I800" i="87"/>
  <c r="I799" i="87"/>
  <c r="I798" i="87"/>
  <c r="I797" i="87"/>
  <c r="I796" i="87"/>
  <c r="I795" i="87"/>
  <c r="I794" i="87"/>
  <c r="I793" i="87"/>
  <c r="I792" i="87"/>
  <c r="I791" i="87"/>
  <c r="I790" i="87"/>
  <c r="I789" i="87"/>
  <c r="I788" i="87"/>
  <c r="I787" i="87"/>
  <c r="I786" i="87"/>
  <c r="I785" i="87"/>
  <c r="I784" i="87"/>
  <c r="I783" i="87"/>
  <c r="I782" i="87"/>
  <c r="I781" i="87"/>
  <c r="I780" i="87"/>
  <c r="I779" i="87"/>
  <c r="I778" i="87"/>
  <c r="I777" i="87"/>
  <c r="I776" i="87"/>
  <c r="I775" i="87"/>
  <c r="I774" i="87"/>
  <c r="I773" i="87"/>
  <c r="M772" i="87"/>
  <c r="L772" i="87"/>
  <c r="I772" i="87"/>
  <c r="I771" i="87"/>
  <c r="I770" i="87"/>
  <c r="I769" i="87"/>
  <c r="I768" i="87"/>
  <c r="I767" i="87"/>
  <c r="I766" i="87"/>
  <c r="I765" i="87"/>
  <c r="I764" i="87"/>
  <c r="I763" i="87"/>
  <c r="I762" i="87"/>
  <c r="I761" i="87"/>
  <c r="I760" i="87"/>
  <c r="I759" i="87"/>
  <c r="I758" i="87"/>
  <c r="I757" i="87"/>
  <c r="I756" i="87"/>
  <c r="I755" i="87"/>
  <c r="I754" i="87"/>
  <c r="I753" i="87"/>
  <c r="I752" i="87"/>
  <c r="I751" i="87"/>
  <c r="I750" i="87"/>
  <c r="I749" i="87"/>
  <c r="I748" i="87"/>
  <c r="I747" i="87"/>
  <c r="I746" i="87"/>
  <c r="I745" i="87"/>
  <c r="I744" i="87"/>
  <c r="I743" i="87"/>
  <c r="I742" i="87"/>
  <c r="I741" i="87"/>
  <c r="I740" i="87"/>
  <c r="I739" i="87"/>
  <c r="I738" i="87"/>
  <c r="I737" i="87"/>
  <c r="I736" i="87"/>
  <c r="I735" i="87"/>
  <c r="I734" i="87"/>
  <c r="I733" i="87"/>
  <c r="I732" i="87"/>
  <c r="I731" i="87"/>
  <c r="I730" i="87"/>
  <c r="I729" i="87"/>
  <c r="I728" i="87"/>
  <c r="M727" i="87"/>
  <c r="L727" i="87"/>
  <c r="I727" i="87"/>
  <c r="I726" i="87"/>
  <c r="I725" i="87"/>
  <c r="I724" i="87"/>
  <c r="I723" i="87"/>
  <c r="I722" i="87"/>
  <c r="I721" i="87"/>
  <c r="I720" i="87"/>
  <c r="I719" i="87"/>
  <c r="I718" i="87"/>
  <c r="I717" i="87"/>
  <c r="I716" i="87"/>
  <c r="I715" i="87"/>
  <c r="I714" i="87"/>
  <c r="I713" i="87"/>
  <c r="I712" i="87"/>
  <c r="I711" i="87"/>
  <c r="I710" i="87"/>
  <c r="I709" i="87"/>
  <c r="I708" i="87"/>
  <c r="I707" i="87"/>
  <c r="I706" i="87"/>
  <c r="I705" i="87"/>
  <c r="I704" i="87"/>
  <c r="I703" i="87"/>
  <c r="I702" i="87"/>
  <c r="I701" i="87"/>
  <c r="I700" i="87"/>
  <c r="I699" i="87"/>
  <c r="I698" i="87"/>
  <c r="I697" i="87"/>
  <c r="I696" i="87"/>
  <c r="I695" i="87"/>
  <c r="I694" i="87"/>
  <c r="I693" i="87"/>
  <c r="I692" i="87"/>
  <c r="I691" i="87"/>
  <c r="I690" i="87"/>
  <c r="I689" i="87"/>
  <c r="I688" i="87"/>
  <c r="I687" i="87"/>
  <c r="I686" i="87"/>
  <c r="I685" i="87"/>
  <c r="I684" i="87"/>
  <c r="I683" i="87"/>
  <c r="I682" i="87"/>
  <c r="I681" i="87"/>
  <c r="I680" i="87"/>
  <c r="I679" i="87"/>
  <c r="I678" i="87"/>
  <c r="I677" i="87"/>
  <c r="I676" i="87"/>
  <c r="I675" i="87"/>
  <c r="I674" i="87"/>
  <c r="I673" i="87"/>
  <c r="I672" i="87"/>
  <c r="I671" i="87"/>
  <c r="I670" i="87"/>
  <c r="I669" i="87"/>
  <c r="I668" i="87"/>
  <c r="I667" i="87"/>
  <c r="I666" i="87"/>
  <c r="I665" i="87"/>
  <c r="I664" i="87"/>
  <c r="I663" i="87"/>
  <c r="I662" i="87"/>
  <c r="I661" i="87"/>
  <c r="I660" i="87"/>
  <c r="I659" i="87"/>
  <c r="I658" i="87"/>
  <c r="I657" i="87"/>
  <c r="I656" i="87"/>
  <c r="I655" i="87"/>
  <c r="I654" i="87"/>
  <c r="I653" i="87"/>
  <c r="I652" i="87"/>
  <c r="I651" i="87"/>
  <c r="I650" i="87"/>
  <c r="I649" i="87"/>
  <c r="I648" i="87"/>
  <c r="I647" i="87"/>
  <c r="I646" i="87"/>
  <c r="I645" i="87"/>
  <c r="I644" i="87"/>
  <c r="I643" i="87"/>
  <c r="I642" i="87"/>
  <c r="I641" i="87"/>
  <c r="I640" i="87"/>
  <c r="I639" i="87"/>
  <c r="I638" i="87"/>
  <c r="I637" i="87"/>
  <c r="I636" i="87"/>
  <c r="I635" i="87"/>
  <c r="I634" i="87"/>
  <c r="I633" i="87"/>
  <c r="M632" i="87"/>
  <c r="L632" i="87"/>
  <c r="I632" i="87"/>
  <c r="I631" i="87"/>
  <c r="I630" i="87"/>
  <c r="I629" i="87"/>
  <c r="I628" i="87"/>
  <c r="I627" i="87"/>
  <c r="I626" i="87"/>
  <c r="I625" i="87"/>
  <c r="I624" i="87"/>
  <c r="I623" i="87"/>
  <c r="I622" i="87"/>
  <c r="I621" i="87"/>
  <c r="I620" i="87"/>
  <c r="I619" i="87"/>
  <c r="I618" i="87"/>
  <c r="I617" i="87"/>
  <c r="I616" i="87"/>
  <c r="I615" i="87"/>
  <c r="I614" i="87"/>
  <c r="I613" i="87"/>
  <c r="I612" i="87"/>
  <c r="I611" i="87"/>
  <c r="I610" i="87"/>
  <c r="I609" i="87"/>
  <c r="I608" i="87"/>
  <c r="I607" i="87"/>
  <c r="I606" i="87"/>
  <c r="I605" i="87"/>
  <c r="I604" i="87"/>
  <c r="I603" i="87"/>
  <c r="M602" i="87"/>
  <c r="L602" i="87"/>
  <c r="I602" i="87"/>
  <c r="I601" i="87"/>
  <c r="I600" i="87"/>
  <c r="I599" i="87"/>
  <c r="I598" i="87"/>
  <c r="I597" i="87"/>
  <c r="I596" i="87"/>
  <c r="I595" i="87"/>
  <c r="I594" i="87"/>
  <c r="I593" i="87"/>
  <c r="M592" i="87"/>
  <c r="L592" i="87"/>
  <c r="I592" i="87"/>
  <c r="I591" i="87"/>
  <c r="I590" i="87"/>
  <c r="I589" i="87"/>
  <c r="I588" i="87"/>
  <c r="M587" i="87"/>
  <c r="L587" i="87"/>
  <c r="I587" i="87"/>
  <c r="I586" i="87"/>
  <c r="I585" i="87"/>
  <c r="I584" i="87"/>
  <c r="I583" i="87"/>
  <c r="I582" i="87"/>
  <c r="I581" i="87"/>
  <c r="I580" i="87"/>
  <c r="I579" i="87"/>
  <c r="I578" i="87"/>
  <c r="I577" i="87"/>
  <c r="I576" i="87"/>
  <c r="I575" i="87"/>
  <c r="I574" i="87"/>
  <c r="I573" i="87"/>
  <c r="M572" i="87"/>
  <c r="L572" i="87"/>
  <c r="I572" i="87"/>
  <c r="I571" i="87"/>
  <c r="I570" i="87"/>
  <c r="I569" i="87"/>
  <c r="I568" i="87"/>
  <c r="M567" i="87"/>
  <c r="L567" i="87"/>
  <c r="I567" i="87"/>
  <c r="I566" i="87"/>
  <c r="I565" i="87"/>
  <c r="I564" i="87"/>
  <c r="I563" i="87"/>
  <c r="I562" i="87"/>
  <c r="I561" i="87"/>
  <c r="I560" i="87"/>
  <c r="I559" i="87"/>
  <c r="I558" i="87"/>
  <c r="I557" i="87"/>
  <c r="I556" i="87"/>
  <c r="I555" i="87"/>
  <c r="I554" i="87"/>
  <c r="I553" i="87"/>
  <c r="I552" i="87"/>
  <c r="I551" i="87"/>
  <c r="I550" i="87"/>
  <c r="I549" i="87"/>
  <c r="I548" i="87"/>
  <c r="M547" i="87"/>
  <c r="L547" i="87"/>
  <c r="I547" i="87"/>
  <c r="I546" i="87"/>
  <c r="I545" i="87"/>
  <c r="I544" i="87"/>
  <c r="I543" i="87"/>
  <c r="I542" i="87"/>
  <c r="I541" i="87"/>
  <c r="I540" i="87"/>
  <c r="I539" i="87"/>
  <c r="I538" i="87"/>
  <c r="I537" i="87"/>
  <c r="I536" i="87"/>
  <c r="I535" i="87"/>
  <c r="I534" i="87"/>
  <c r="I533" i="87"/>
  <c r="I532" i="87"/>
  <c r="I531" i="87"/>
  <c r="I530" i="87"/>
  <c r="I529" i="87"/>
  <c r="I528" i="87"/>
  <c r="I527" i="87"/>
  <c r="I526" i="87"/>
  <c r="I525" i="87"/>
  <c r="I524" i="87"/>
  <c r="I523" i="87"/>
  <c r="I522" i="87"/>
  <c r="I521" i="87"/>
  <c r="I520" i="87"/>
  <c r="I519" i="87"/>
  <c r="I518" i="87"/>
  <c r="M517" i="87"/>
  <c r="L517" i="87"/>
  <c r="I517" i="87"/>
  <c r="I516" i="87"/>
  <c r="I515" i="87"/>
  <c r="I514" i="87"/>
  <c r="I513" i="87"/>
  <c r="I512" i="87"/>
  <c r="I511" i="87"/>
  <c r="I510" i="87"/>
  <c r="I509" i="87"/>
  <c r="I508" i="87"/>
  <c r="I507" i="87"/>
  <c r="I506" i="87"/>
  <c r="I505" i="87"/>
  <c r="I504" i="87"/>
  <c r="I503" i="87"/>
  <c r="M502" i="87"/>
  <c r="L502" i="87"/>
  <c r="I502" i="87"/>
  <c r="I501" i="87"/>
  <c r="I500" i="87"/>
  <c r="I499" i="87"/>
  <c r="I498" i="87"/>
  <c r="M497" i="87"/>
  <c r="L497" i="87"/>
  <c r="I497" i="87"/>
  <c r="I496" i="87"/>
  <c r="I495" i="87"/>
  <c r="I494" i="87"/>
  <c r="I493" i="87"/>
  <c r="I492" i="87"/>
  <c r="I491" i="87"/>
  <c r="I490" i="87"/>
  <c r="I489" i="87"/>
  <c r="I488" i="87"/>
  <c r="I487" i="87"/>
  <c r="I486" i="87"/>
  <c r="I485" i="87"/>
  <c r="I484" i="87"/>
  <c r="I483" i="87"/>
  <c r="I482" i="87"/>
  <c r="I481" i="87"/>
  <c r="I480" i="87"/>
  <c r="I479" i="87"/>
  <c r="I478" i="87"/>
  <c r="I477" i="87"/>
  <c r="I476" i="87"/>
  <c r="I475" i="87"/>
  <c r="I474" i="87"/>
  <c r="I473" i="87"/>
  <c r="M472" i="87"/>
  <c r="L472" i="87"/>
  <c r="I472" i="87"/>
  <c r="I471" i="87"/>
  <c r="I470" i="87"/>
  <c r="I469" i="87"/>
  <c r="I468" i="87"/>
  <c r="I467" i="87"/>
  <c r="I466" i="87"/>
  <c r="I465" i="87"/>
  <c r="I464" i="87"/>
  <c r="I463" i="87"/>
  <c r="I462" i="87"/>
  <c r="I461" i="87"/>
  <c r="I460" i="87"/>
  <c r="I459" i="87"/>
  <c r="I458" i="87"/>
  <c r="I457" i="87"/>
  <c r="I456" i="87"/>
  <c r="I455" i="87"/>
  <c r="I454" i="87"/>
  <c r="I453" i="87"/>
  <c r="M452" i="87"/>
  <c r="L452" i="87"/>
  <c r="I452" i="87"/>
  <c r="I451" i="87"/>
  <c r="I450" i="87"/>
  <c r="I449" i="87"/>
  <c r="I448" i="87"/>
  <c r="I447" i="87"/>
  <c r="I446" i="87"/>
  <c r="I445" i="87"/>
  <c r="I444" i="87"/>
  <c r="I443" i="87"/>
  <c r="I442" i="87"/>
  <c r="I441" i="87"/>
  <c r="I440" i="87"/>
  <c r="I439" i="87"/>
  <c r="I438" i="87"/>
  <c r="I437" i="87"/>
  <c r="I436" i="87"/>
  <c r="I435" i="87"/>
  <c r="I434" i="87"/>
  <c r="I433" i="87"/>
  <c r="M432" i="87"/>
  <c r="L432" i="87"/>
  <c r="I432" i="87"/>
  <c r="I431" i="87"/>
  <c r="I430" i="87"/>
  <c r="I429" i="87"/>
  <c r="I428" i="87"/>
  <c r="I427" i="87"/>
  <c r="I426" i="87"/>
  <c r="I425" i="87"/>
  <c r="I424" i="87"/>
  <c r="I423" i="87"/>
  <c r="I422" i="87"/>
  <c r="I421" i="87"/>
  <c r="I420" i="87"/>
  <c r="I419" i="87"/>
  <c r="I418" i="87"/>
  <c r="I417" i="87"/>
  <c r="I416" i="87"/>
  <c r="I415" i="87"/>
  <c r="I414" i="87"/>
  <c r="I413" i="87"/>
  <c r="I412" i="87"/>
  <c r="I411" i="87"/>
  <c r="I410" i="87"/>
  <c r="I409" i="87"/>
  <c r="I408" i="87"/>
  <c r="I407" i="87"/>
  <c r="I406" i="87"/>
  <c r="I405" i="87"/>
  <c r="I404" i="87"/>
  <c r="I403" i="87"/>
  <c r="M402" i="87"/>
  <c r="L402" i="87"/>
  <c r="I402" i="87"/>
  <c r="I401" i="87"/>
  <c r="I400" i="87"/>
  <c r="I399" i="87"/>
  <c r="I398" i="87"/>
  <c r="I397" i="87"/>
  <c r="I396" i="87"/>
  <c r="I395" i="87"/>
  <c r="I394" i="87"/>
  <c r="I393" i="87"/>
  <c r="I392" i="87"/>
  <c r="I391" i="87"/>
  <c r="I390" i="87"/>
  <c r="I389" i="87"/>
  <c r="I388" i="87"/>
  <c r="I387" i="87"/>
  <c r="I386" i="87"/>
  <c r="I385" i="87"/>
  <c r="I384" i="87"/>
  <c r="I383" i="87"/>
  <c r="M382" i="87"/>
  <c r="L382" i="87"/>
  <c r="I382" i="87"/>
  <c r="I381" i="87"/>
  <c r="I380" i="87"/>
  <c r="I379" i="87"/>
  <c r="I378" i="87"/>
  <c r="I377" i="87"/>
  <c r="I376" i="87"/>
  <c r="I375" i="87"/>
  <c r="I374" i="87"/>
  <c r="I373" i="87"/>
  <c r="I372" i="87"/>
  <c r="I371" i="87"/>
  <c r="I370" i="87"/>
  <c r="I369" i="87"/>
  <c r="I368" i="87"/>
  <c r="I367" i="87"/>
  <c r="I366" i="87"/>
  <c r="I365" i="87"/>
  <c r="I364" i="87"/>
  <c r="I363" i="87"/>
  <c r="I362" i="87"/>
  <c r="I361" i="87"/>
  <c r="I360" i="87"/>
  <c r="I359" i="87"/>
  <c r="I358" i="87"/>
  <c r="M357" i="87"/>
  <c r="L357" i="87"/>
  <c r="I357" i="87"/>
  <c r="I356" i="87"/>
  <c r="I355" i="87"/>
  <c r="I354" i="87"/>
  <c r="I353" i="87"/>
  <c r="I352" i="87"/>
  <c r="I351" i="87"/>
  <c r="I350" i="87"/>
  <c r="I349" i="87"/>
  <c r="I348" i="87"/>
  <c r="I347" i="87"/>
  <c r="I346" i="87"/>
  <c r="I345" i="87"/>
  <c r="I344" i="87"/>
  <c r="I343" i="87"/>
  <c r="I342" i="87"/>
  <c r="I341" i="87"/>
  <c r="I340" i="87"/>
  <c r="I339" i="87"/>
  <c r="I338" i="87"/>
  <c r="M337" i="87"/>
  <c r="L337" i="87"/>
  <c r="I337" i="87"/>
  <c r="I336" i="87"/>
  <c r="I335" i="87"/>
  <c r="I334" i="87"/>
  <c r="I333" i="87"/>
  <c r="I332" i="87"/>
  <c r="I331" i="87"/>
  <c r="I330" i="87"/>
  <c r="I329" i="87"/>
  <c r="I328" i="87"/>
  <c r="I327" i="87"/>
  <c r="I326" i="87"/>
  <c r="I325" i="87"/>
  <c r="I324" i="87"/>
  <c r="I323" i="87"/>
  <c r="I322" i="87"/>
  <c r="I321" i="87"/>
  <c r="I320" i="87"/>
  <c r="I319" i="87"/>
  <c r="I318" i="87"/>
  <c r="I317" i="87"/>
  <c r="I316" i="87"/>
  <c r="I315" i="87"/>
  <c r="I314" i="87"/>
  <c r="I313" i="87"/>
  <c r="I312" i="87"/>
  <c r="I311" i="87"/>
  <c r="I310" i="87"/>
  <c r="I309" i="87"/>
  <c r="I308" i="87"/>
  <c r="M307" i="87"/>
  <c r="L307" i="87"/>
  <c r="I307" i="87"/>
  <c r="I306" i="87"/>
  <c r="I305" i="87"/>
  <c r="I304" i="87"/>
  <c r="I303" i="87"/>
  <c r="I302" i="87"/>
  <c r="I301" i="87"/>
  <c r="I300" i="87"/>
  <c r="I299" i="87"/>
  <c r="I298" i="87"/>
  <c r="I297" i="87"/>
  <c r="I296" i="87"/>
  <c r="I295" i="87"/>
  <c r="I294" i="87"/>
  <c r="I293" i="87"/>
  <c r="M292" i="87"/>
  <c r="L292" i="87"/>
  <c r="I292" i="87"/>
  <c r="I291" i="87"/>
  <c r="I290" i="87"/>
  <c r="I289" i="87"/>
  <c r="I288" i="87"/>
  <c r="I287" i="87"/>
  <c r="I286" i="87"/>
  <c r="I285" i="87"/>
  <c r="I284" i="87"/>
  <c r="I283" i="87"/>
  <c r="M282" i="87"/>
  <c r="L282" i="87"/>
  <c r="I282" i="87"/>
  <c r="I281" i="87"/>
  <c r="I280" i="87"/>
  <c r="I279" i="87"/>
  <c r="I278" i="87"/>
  <c r="I277" i="87"/>
  <c r="I276" i="87"/>
  <c r="I275" i="87"/>
  <c r="I274" i="87"/>
  <c r="I273" i="87"/>
  <c r="I272" i="87"/>
  <c r="I271" i="87"/>
  <c r="I270" i="87"/>
  <c r="I269" i="87"/>
  <c r="I268" i="87"/>
  <c r="I267" i="87"/>
  <c r="I266" i="87"/>
  <c r="I265" i="87"/>
  <c r="I264" i="87"/>
  <c r="I263" i="87"/>
  <c r="I262" i="87"/>
  <c r="I261" i="87"/>
  <c r="I260" i="87"/>
  <c r="I259" i="87"/>
  <c r="I258" i="87"/>
  <c r="I257" i="87"/>
  <c r="I256" i="87"/>
  <c r="I255" i="87"/>
  <c r="I254" i="87"/>
  <c r="I253" i="87"/>
  <c r="I252" i="87"/>
  <c r="I251" i="87"/>
  <c r="I250" i="87"/>
  <c r="I249" i="87"/>
  <c r="I248" i="87"/>
  <c r="I247" i="87"/>
  <c r="I246" i="87"/>
  <c r="I245" i="87"/>
  <c r="I244" i="87"/>
  <c r="I243" i="87"/>
  <c r="I242" i="87"/>
  <c r="I241" i="87"/>
  <c r="I240" i="87"/>
  <c r="I239" i="87"/>
  <c r="I238" i="87"/>
  <c r="I237" i="87"/>
  <c r="I236" i="87"/>
  <c r="I235" i="87"/>
  <c r="I234" i="87"/>
  <c r="I233" i="87"/>
  <c r="I232" i="87"/>
  <c r="I231" i="87"/>
  <c r="I230" i="87"/>
  <c r="I229" i="87"/>
  <c r="I228" i="87"/>
  <c r="I227" i="87"/>
  <c r="I226" i="87"/>
  <c r="I225" i="87"/>
  <c r="I224" i="87"/>
  <c r="I223" i="87"/>
  <c r="I222" i="87"/>
  <c r="I221" i="87"/>
  <c r="I220" i="87"/>
  <c r="I219" i="87"/>
  <c r="I218" i="87"/>
  <c r="I217" i="87"/>
  <c r="I216" i="87"/>
  <c r="I215" i="87"/>
  <c r="I214" i="87"/>
  <c r="I213" i="87"/>
  <c r="M212" i="87"/>
  <c r="L212" i="87"/>
  <c r="I212" i="87"/>
  <c r="I211" i="87"/>
  <c r="I210" i="87"/>
  <c r="I209" i="87"/>
  <c r="I208" i="87"/>
  <c r="I207" i="87"/>
  <c r="I206" i="87"/>
  <c r="I205" i="87"/>
  <c r="I204" i="87"/>
  <c r="I203" i="87"/>
  <c r="I202" i="87"/>
  <c r="I201" i="87"/>
  <c r="I200" i="87"/>
  <c r="I199" i="87"/>
  <c r="I198" i="87"/>
  <c r="I197" i="87"/>
  <c r="I196" i="87"/>
  <c r="I195" i="87"/>
  <c r="I194" i="87"/>
  <c r="I193" i="87"/>
  <c r="I192" i="87"/>
  <c r="I191" i="87"/>
  <c r="I190" i="87"/>
  <c r="I189" i="87"/>
  <c r="I188" i="87"/>
  <c r="I187" i="87"/>
  <c r="I186" i="87"/>
  <c r="I185" i="87"/>
  <c r="I184" i="87"/>
  <c r="I183" i="87"/>
  <c r="M182" i="87"/>
  <c r="L182" i="87"/>
  <c r="I182" i="87"/>
  <c r="I181" i="87"/>
  <c r="I180" i="87"/>
  <c r="I179" i="87"/>
  <c r="I178" i="87"/>
  <c r="I177" i="87"/>
  <c r="I176" i="87"/>
  <c r="I175" i="87"/>
  <c r="I174" i="87"/>
  <c r="I173" i="87"/>
  <c r="I172" i="87"/>
  <c r="I171" i="87"/>
  <c r="I170" i="87"/>
  <c r="I169" i="87"/>
  <c r="I168" i="87"/>
  <c r="M167" i="87"/>
  <c r="L167" i="87"/>
  <c r="I167" i="87"/>
  <c r="I166" i="87"/>
  <c r="I165" i="87"/>
  <c r="I164" i="87"/>
  <c r="I163" i="87"/>
  <c r="I162" i="87"/>
  <c r="I161" i="87"/>
  <c r="I160" i="87"/>
  <c r="I159" i="87"/>
  <c r="I158" i="87"/>
  <c r="I157" i="87"/>
  <c r="I156" i="87"/>
  <c r="I155" i="87"/>
  <c r="I154" i="87"/>
  <c r="I153" i="87"/>
  <c r="M152" i="87"/>
  <c r="L152" i="87"/>
  <c r="I152" i="87"/>
  <c r="I151" i="87"/>
  <c r="I150" i="87"/>
  <c r="I149" i="87"/>
  <c r="I148" i="87"/>
  <c r="I147" i="87"/>
  <c r="I146" i="87"/>
  <c r="I145" i="87"/>
  <c r="I144" i="87"/>
  <c r="I143" i="87"/>
  <c r="I142" i="87"/>
  <c r="I141" i="87"/>
  <c r="I140" i="87"/>
  <c r="I139" i="87"/>
  <c r="I138" i="87"/>
  <c r="I137" i="87"/>
  <c r="I136" i="87"/>
  <c r="I135" i="87"/>
  <c r="I134" i="87"/>
  <c r="I133" i="87"/>
  <c r="I132" i="87"/>
  <c r="I131" i="87"/>
  <c r="I130" i="87"/>
  <c r="I129" i="87"/>
  <c r="I128" i="87"/>
  <c r="I127" i="87"/>
  <c r="I126" i="87"/>
  <c r="I125" i="87"/>
  <c r="I124" i="87"/>
  <c r="I123" i="87"/>
  <c r="M122" i="87"/>
  <c r="L122" i="87"/>
  <c r="I122" i="87"/>
  <c r="I121" i="87"/>
  <c r="I120" i="87"/>
  <c r="I119" i="87"/>
  <c r="I118" i="87"/>
  <c r="I117" i="87"/>
  <c r="I116" i="87"/>
  <c r="I115" i="87"/>
  <c r="I114" i="87"/>
  <c r="I113" i="87"/>
  <c r="M112" i="87"/>
  <c r="L112" i="87"/>
  <c r="I112" i="87"/>
  <c r="I111" i="87"/>
  <c r="I110" i="87"/>
  <c r="I10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M42" i="87"/>
  <c r="L42" i="87"/>
  <c r="I42" i="87"/>
  <c r="I41" i="87"/>
  <c r="I40" i="87"/>
  <c r="I39" i="87"/>
  <c r="I38" i="87"/>
  <c r="I37" i="87"/>
  <c r="I36" i="87"/>
  <c r="I35" i="87"/>
  <c r="I34" i="87"/>
  <c r="I33" i="87"/>
  <c r="I32" i="87"/>
  <c r="I31" i="87"/>
  <c r="I30" i="87"/>
  <c r="I29" i="87"/>
  <c r="I28" i="87"/>
  <c r="I27" i="87"/>
  <c r="I26" i="87"/>
  <c r="I25" i="87"/>
  <c r="I24" i="87"/>
  <c r="I23" i="87"/>
  <c r="I22" i="87"/>
  <c r="I21" i="87"/>
  <c r="I20" i="87"/>
  <c r="I19" i="87"/>
  <c r="I18" i="87"/>
  <c r="I17" i="87"/>
  <c r="I16" i="87"/>
  <c r="I15" i="87"/>
  <c r="I14" i="87"/>
  <c r="I13" i="87"/>
  <c r="I12" i="87"/>
  <c r="I11" i="87"/>
  <c r="I10" i="87"/>
  <c r="I9" i="87"/>
  <c r="I8" i="87"/>
  <c r="M7" i="87"/>
  <c r="L7" i="87"/>
  <c r="I7" i="87"/>
  <c r="I6" i="87"/>
  <c r="I5" i="87"/>
  <c r="I4" i="87"/>
  <c r="I3" i="87"/>
  <c r="M2" i="87"/>
  <c r="L2" i="87"/>
  <c r="I2" i="87"/>
  <c r="C103" i="88" l="1"/>
  <c r="I185" i="88"/>
  <c r="M194" i="88"/>
  <c r="C186" i="88"/>
  <c r="C187" i="88" s="1"/>
  <c r="E209" i="88"/>
  <c r="L1382" i="87"/>
  <c r="M1382" i="87"/>
  <c r="N592" i="87"/>
  <c r="S153" i="88" s="1"/>
  <c r="N2" i="87"/>
  <c r="N42" i="87"/>
  <c r="S124" i="88" s="1"/>
  <c r="N152" i="87"/>
  <c r="S129" i="88" s="1"/>
  <c r="N182" i="87"/>
  <c r="S131" i="88" s="1"/>
  <c r="N212" i="87"/>
  <c r="S132" i="88" s="1"/>
  <c r="S133" i="88"/>
  <c r="N247" i="87"/>
  <c r="S134" i="88" s="1"/>
  <c r="N282" i="87"/>
  <c r="S135" i="88" s="1"/>
  <c r="N292" i="87"/>
  <c r="S136" i="88" s="1"/>
  <c r="N382" i="87"/>
  <c r="S140" i="88" s="1"/>
  <c r="N402" i="87"/>
  <c r="S141" i="88" s="1"/>
  <c r="N432" i="87"/>
  <c r="S142" i="88" s="1"/>
  <c r="N452" i="87"/>
  <c r="S143" i="88" s="1"/>
  <c r="N462" i="87"/>
  <c r="S144" i="88" s="1"/>
  <c r="N472" i="87"/>
  <c r="S145" i="88" s="1"/>
  <c r="N502" i="87"/>
  <c r="S147" i="88" s="1"/>
  <c r="N572" i="87"/>
  <c r="S151" i="88" s="1"/>
  <c r="N602" i="87"/>
  <c r="S154" i="88" s="1"/>
  <c r="N632" i="87"/>
  <c r="S155" i="88" s="1"/>
  <c r="N652" i="87"/>
  <c r="S156" i="88" s="1"/>
  <c r="N697" i="87"/>
  <c r="S157" i="88" s="1"/>
  <c r="N727" i="87"/>
  <c r="S158" i="88" s="1"/>
  <c r="F187" i="88"/>
  <c r="M91" i="88"/>
  <c r="C96" i="88"/>
  <c r="B94" i="88"/>
  <c r="C109" i="88"/>
  <c r="M94" i="88"/>
  <c r="N94" i="88" s="1"/>
  <c r="E109" i="88"/>
  <c r="D95" i="88" s="1"/>
  <c r="B95" i="88" s="1"/>
  <c r="I109" i="88"/>
  <c r="I95" i="88" s="1"/>
  <c r="I96" i="88" s="1"/>
  <c r="H187" i="88"/>
  <c r="G194" i="88"/>
  <c r="I209" i="88"/>
  <c r="N7" i="87"/>
  <c r="S123" i="88" s="1"/>
  <c r="S125" i="88"/>
  <c r="N112" i="87"/>
  <c r="S126" i="88" s="1"/>
  <c r="N122" i="87"/>
  <c r="S127" i="88" s="1"/>
  <c r="N132" i="87"/>
  <c r="S128" i="88" s="1"/>
  <c r="N167" i="87"/>
  <c r="S130" i="88" s="1"/>
  <c r="N307" i="87"/>
  <c r="S137" i="88" s="1"/>
  <c r="N337" i="87"/>
  <c r="S138" i="88" s="1"/>
  <c r="N357" i="87"/>
  <c r="S139" i="88" s="1"/>
  <c r="N497" i="87"/>
  <c r="S146" i="88" s="1"/>
  <c r="N517" i="87"/>
  <c r="S148" i="88" s="1"/>
  <c r="N547" i="87"/>
  <c r="S149" i="88" s="1"/>
  <c r="N567" i="87"/>
  <c r="S150" i="88" s="1"/>
  <c r="N587" i="87"/>
  <c r="S152" i="88" s="1"/>
  <c r="N772" i="87"/>
  <c r="S159" i="88" s="1"/>
  <c r="N802" i="87"/>
  <c r="S160" i="88" s="1"/>
  <c r="N832" i="87"/>
  <c r="S161" i="88" s="1"/>
  <c r="N862" i="87"/>
  <c r="S162" i="88" s="1"/>
  <c r="S188" i="88" l="1"/>
  <c r="N1382" i="87"/>
  <c r="D96" i="88"/>
  <c r="C194" i="88"/>
  <c r="I186" i="88"/>
  <c r="B96" i="88"/>
  <c r="B185" i="88"/>
  <c r="M185" i="88" l="1"/>
  <c r="I187" i="88"/>
  <c r="B186" i="88"/>
  <c r="B187" i="88" s="1"/>
  <c r="E5" i="21" l="1"/>
  <c r="I5" i="21"/>
  <c r="G5" i="21"/>
  <c r="N14" i="86"/>
  <c r="N11" i="86"/>
  <c r="N23" i="86" s="1"/>
  <c r="N8" i="86"/>
  <c r="N20" i="86" s="1"/>
  <c r="N5" i="86"/>
  <c r="N17" i="86" s="1"/>
  <c r="C12" i="86"/>
  <c r="C6" i="86"/>
  <c r="C3" i="86"/>
  <c r="D59" i="21"/>
  <c r="E59" i="21" s="1"/>
  <c r="F59" i="21" s="1"/>
  <c r="G59" i="21" s="1"/>
  <c r="H59" i="21" s="1"/>
  <c r="I59" i="21" s="1"/>
  <c r="J59" i="21" s="1"/>
  <c r="K59" i="21" s="1"/>
  <c r="L59" i="21" s="1"/>
  <c r="M59" i="21" s="1"/>
  <c r="I5" i="35" l="1"/>
  <c r="G5" i="35"/>
  <c r="E5" i="35"/>
  <c r="I46" i="39"/>
  <c r="I38" i="39"/>
  <c r="G46" i="39"/>
  <c r="G38" i="39"/>
  <c r="G7" i="39"/>
  <c r="G5" i="39"/>
  <c r="E38" i="39"/>
  <c r="E5" i="39" l="1"/>
  <c r="K71" i="39"/>
  <c r="L71" i="39" s="1"/>
  <c r="M71" i="39" s="1"/>
  <c r="N71" i="39" s="1"/>
  <c r="O71" i="39" s="1"/>
  <c r="P71" i="39" s="1"/>
  <c r="Q71" i="39" s="1"/>
  <c r="I7" i="39"/>
  <c r="E7" i="39"/>
  <c r="I5" i="39"/>
  <c r="T2" i="84"/>
  <c r="U2" i="84"/>
  <c r="E46" i="39" s="1"/>
  <c r="G3" i="84"/>
  <c r="G4" i="84"/>
  <c r="G5" i="84"/>
  <c r="G6" i="84"/>
  <c r="G7" i="84"/>
  <c r="G8" i="84"/>
  <c r="G9" i="84"/>
  <c r="G10" i="84"/>
  <c r="G11" i="84"/>
  <c r="G12" i="84"/>
  <c r="G13" i="84"/>
  <c r="G14" i="84"/>
  <c r="G15" i="84"/>
  <c r="G16" i="84"/>
  <c r="G17" i="84"/>
  <c r="G18" i="84"/>
  <c r="G2" i="84"/>
  <c r="D14" i="81" l="1"/>
  <c r="D14" i="80"/>
  <c r="D14" i="9"/>
  <c r="F38" i="83"/>
  <c r="E37" i="83"/>
  <c r="F36" i="83"/>
  <c r="F35" i="83"/>
  <c r="F21" i="83"/>
  <c r="F40" i="83" s="1"/>
  <c r="F20" i="83"/>
  <c r="F39" i="83" s="1"/>
  <c r="E10" i="83"/>
  <c r="E9" i="83"/>
  <c r="C8" i="83"/>
  <c r="F7" i="83"/>
  <c r="F38" i="82"/>
  <c r="E37" i="82"/>
  <c r="F36" i="82"/>
  <c r="F35" i="82"/>
  <c r="F21" i="82"/>
  <c r="F40" i="82" s="1"/>
  <c r="C21" i="82"/>
  <c r="F20" i="82"/>
  <c r="F39" i="82" s="1"/>
  <c r="E10" i="82"/>
  <c r="E9" i="82"/>
  <c r="C8" i="82"/>
  <c r="F7" i="82"/>
  <c r="A120" i="81"/>
  <c r="E111" i="81"/>
  <c r="A126" i="81" s="1"/>
  <c r="E109" i="81"/>
  <c r="A124" i="81" s="1"/>
  <c r="E107" i="81"/>
  <c r="A122" i="81" s="1"/>
  <c r="H106" i="81"/>
  <c r="H103" i="81" s="1"/>
  <c r="D120" i="81" s="1"/>
  <c r="H105" i="81"/>
  <c r="H104" i="81"/>
  <c r="D101" i="81"/>
  <c r="C101" i="81"/>
  <c r="C91" i="81"/>
  <c r="E90" i="81"/>
  <c r="D89" i="81"/>
  <c r="C89" i="81" s="1"/>
  <c r="C87" i="81" s="1"/>
  <c r="H77" i="81"/>
  <c r="D77" i="81"/>
  <c r="C76" i="81"/>
  <c r="F59" i="81"/>
  <c r="O55" i="81" s="1"/>
  <c r="E59" i="81"/>
  <c r="N55" i="81" s="1"/>
  <c r="F56" i="81"/>
  <c r="K55" i="81"/>
  <c r="J55" i="81"/>
  <c r="I55" i="81"/>
  <c r="F55" i="81"/>
  <c r="O54" i="81"/>
  <c r="N54" i="81"/>
  <c r="O53" i="81"/>
  <c r="N53" i="81"/>
  <c r="K49" i="81"/>
  <c r="E48" i="81"/>
  <c r="N52" i="81" s="1"/>
  <c r="D48" i="81"/>
  <c r="M52" i="81" s="1"/>
  <c r="F33" i="81"/>
  <c r="D27" i="81"/>
  <c r="C25" i="81"/>
  <c r="C24" i="81"/>
  <c r="D17" i="81"/>
  <c r="C17" i="81"/>
  <c r="C18" i="81" s="1"/>
  <c r="D18" i="81" s="1"/>
  <c r="L4" i="81"/>
  <c r="K4" i="81"/>
  <c r="H1" i="81"/>
  <c r="A120" i="80"/>
  <c r="E111" i="80"/>
  <c r="A126" i="80" s="1"/>
  <c r="E109" i="80"/>
  <c r="A124" i="80" s="1"/>
  <c r="E107" i="80"/>
  <c r="A122" i="80" s="1"/>
  <c r="H106" i="80"/>
  <c r="H105" i="80"/>
  <c r="H104" i="80"/>
  <c r="H103" i="80"/>
  <c r="D120" i="80" s="1"/>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D3" i="4"/>
  <c r="E2" i="83"/>
  <c r="E2" i="82"/>
  <c r="D34" i="80"/>
  <c r="D35" i="80"/>
  <c r="H109" i="80" l="1"/>
  <c r="D124" i="80" s="1"/>
  <c r="D125" i="80" s="1"/>
  <c r="H109" i="81"/>
  <c r="D124" i="81" s="1"/>
  <c r="D125" i="81" s="1"/>
  <c r="C40" i="82"/>
  <c r="C21" i="83"/>
  <c r="C40" i="83"/>
  <c r="C18" i="80"/>
  <c r="D18" i="80" s="1"/>
  <c r="C92" i="81"/>
  <c r="C94" i="81"/>
  <c r="K120" i="81"/>
  <c r="D121" i="81"/>
  <c r="H112" i="81"/>
  <c r="H110" i="81"/>
  <c r="H111" i="81"/>
  <c r="D126" i="81" s="1"/>
  <c r="D127" i="81" s="1"/>
  <c r="C92" i="80"/>
  <c r="C94" i="80"/>
  <c r="K120" i="80"/>
  <c r="D121" i="80"/>
  <c r="H112" i="80"/>
  <c r="H110" i="80"/>
  <c r="H111" i="80"/>
  <c r="D126" i="80" s="1"/>
  <c r="D127" i="80" s="1"/>
  <c r="C19" i="83" l="1"/>
  <c r="C19" i="82"/>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B22" i="31"/>
  <c r="N56" i="9"/>
  <c r="M56" i="9"/>
  <c r="K56" i="9"/>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16" i="72"/>
  <c r="B65" i="72"/>
  <c r="B67" i="72"/>
  <c r="B10" i="72"/>
  <c r="C53" i="10"/>
  <c r="B51" i="10"/>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Q63" i="71" s="1"/>
  <c r="E63" i="71"/>
  <c r="P63" i="71" s="1"/>
  <c r="C63" i="71"/>
  <c r="T63" i="71" s="1"/>
  <c r="B63" i="71"/>
  <c r="S63" i="71"/>
  <c r="B62"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C58" i="71" s="1"/>
  <c r="D58" i="71" s="1"/>
  <c r="N56" i="71"/>
  <c r="B57" i="71" s="1"/>
  <c r="B58" i="71" s="1"/>
  <c r="B59" i="71" s="1"/>
  <c r="S59" i="71" s="1"/>
  <c r="D56" i="71"/>
  <c r="Q55" i="71"/>
  <c r="P55" i="71"/>
  <c r="O55" i="71"/>
  <c r="N55" i="71"/>
  <c r="Q54" i="71"/>
  <c r="P54" i="71"/>
  <c r="O54" i="71"/>
  <c r="N54" i="71"/>
  <c r="Q53" i="71"/>
  <c r="P53" i="71"/>
  <c r="E54" i="71" s="1"/>
  <c r="O53" i="71"/>
  <c r="N53" i="71"/>
  <c r="Q52" i="71"/>
  <c r="F53" i="71"/>
  <c r="F54" i="71" s="1"/>
  <c r="F55" i="71" s="1"/>
  <c r="V55" i="71" s="1"/>
  <c r="P52" i="71"/>
  <c r="E53" i="71" s="1"/>
  <c r="O52" i="71"/>
  <c r="C53" i="71" s="1"/>
  <c r="C54" i="71" s="1"/>
  <c r="D54"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D50" i="71" s="1"/>
  <c r="N48" i="71"/>
  <c r="B49" i="71" s="1"/>
  <c r="B50" i="71" s="1"/>
  <c r="B51" i="71" s="1"/>
  <c r="S51" i="71" s="1"/>
  <c r="D48" i="71"/>
  <c r="Q47" i="71"/>
  <c r="P47" i="71"/>
  <c r="O47" i="71"/>
  <c r="N47" i="71"/>
  <c r="Q46" i="71"/>
  <c r="P46" i="71"/>
  <c r="O46" i="71"/>
  <c r="N46" i="71"/>
  <c r="Q45" i="71"/>
  <c r="P45" i="71"/>
  <c r="O45" i="71"/>
  <c r="C46" i="71" s="1"/>
  <c r="D46" i="71" s="1"/>
  <c r="N45" i="71"/>
  <c r="Q44" i="71"/>
  <c r="F45"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C42" i="71" s="1"/>
  <c r="D42" i="71" s="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AB34" i="71"/>
  <c r="Q34" i="71"/>
  <c r="P34" i="71"/>
  <c r="O34" i="71"/>
  <c r="N34" i="71"/>
  <c r="X34" i="71" s="1"/>
  <c r="Q33" i="71"/>
  <c r="P33" i="71"/>
  <c r="AA33" i="71" s="1"/>
  <c r="O33" i="71"/>
  <c r="Y33" i="71" s="1"/>
  <c r="Z33" i="71" s="1"/>
  <c r="N33" i="71"/>
  <c r="Q32" i="71"/>
  <c r="F33" i="71" s="1"/>
  <c r="P32" i="71"/>
  <c r="AA32" i="71" s="1"/>
  <c r="O32" i="71"/>
  <c r="N32" i="71"/>
  <c r="D32" i="71"/>
  <c r="Q31" i="71"/>
  <c r="AB31" i="71" s="1"/>
  <c r="P31" i="71"/>
  <c r="O31" i="71"/>
  <c r="N31" i="71"/>
  <c r="Q30" i="71"/>
  <c r="P30" i="71"/>
  <c r="O30" i="71"/>
  <c r="N30" i="71"/>
  <c r="Q29" i="71"/>
  <c r="P29" i="71"/>
  <c r="O29" i="71"/>
  <c r="Y29" i="71" s="1"/>
  <c r="Z29" i="71" s="1"/>
  <c r="N29" i="71"/>
  <c r="Q28" i="71"/>
  <c r="P28" i="71"/>
  <c r="O28" i="71"/>
  <c r="N28" i="71"/>
  <c r="D28" i="71"/>
  <c r="Q27" i="71"/>
  <c r="P27" i="71"/>
  <c r="O27" i="71"/>
  <c r="N27" i="71"/>
  <c r="X27" i="71" s="1"/>
  <c r="Q26" i="71"/>
  <c r="P26" i="71"/>
  <c r="O26" i="71"/>
  <c r="N26" i="71"/>
  <c r="X26" i="71" s="1"/>
  <c r="Q25" i="71"/>
  <c r="P25" i="71"/>
  <c r="O25" i="71"/>
  <c r="Y25" i="71"/>
  <c r="Z25" i="71" s="1"/>
  <c r="N25" i="71"/>
  <c r="Q24" i="71"/>
  <c r="P24" i="71"/>
  <c r="E25" i="71" s="1"/>
  <c r="O24" i="71"/>
  <c r="N24" i="71"/>
  <c r="D24" i="71"/>
  <c r="O23" i="71"/>
  <c r="N23" i="71"/>
  <c r="B25" i="71"/>
  <c r="B26" i="71" s="1"/>
  <c r="X24" i="71"/>
  <c r="B29" i="71"/>
  <c r="B30" i="71" s="1"/>
  <c r="X28" i="71"/>
  <c r="E33" i="71"/>
  <c r="E34" i="71" s="1"/>
  <c r="E35" i="71" s="1"/>
  <c r="U35" i="71" s="1"/>
  <c r="N63" i="71"/>
  <c r="E29" i="71"/>
  <c r="E30" i="71" s="1"/>
  <c r="AA28" i="71"/>
  <c r="Y24" i="71"/>
  <c r="Z24" i="71" s="1"/>
  <c r="AA26" i="71"/>
  <c r="AA27" i="71"/>
  <c r="X29" i="71"/>
  <c r="X30" i="71"/>
  <c r="X31" i="71"/>
  <c r="C33" i="71"/>
  <c r="D33" i="71" s="1"/>
  <c r="Y32" i="71"/>
  <c r="Z32" i="71"/>
  <c r="X33" i="71"/>
  <c r="F46" i="71"/>
  <c r="F47" i="71" s="1"/>
  <c r="V47" i="71" s="1"/>
  <c r="C23" i="71"/>
  <c r="Y20" i="71"/>
  <c r="Z20" i="71" s="1"/>
  <c r="Y22" i="71"/>
  <c r="Z22" i="71" s="1"/>
  <c r="B23" i="71"/>
  <c r="B22" i="71" s="1"/>
  <c r="B21" i="71" s="1"/>
  <c r="X21" i="71"/>
  <c r="X23" i="71"/>
  <c r="C34" i="71"/>
  <c r="D34" i="71" s="1"/>
  <c r="C38" i="71"/>
  <c r="D37" i="71"/>
  <c r="D41" i="71"/>
  <c r="D45" i="71"/>
  <c r="P23" i="71"/>
  <c r="E50" i="71"/>
  <c r="E51" i="71" s="1"/>
  <c r="U51" i="71" s="1"/>
  <c r="E55" i="71"/>
  <c r="U55" i="71" s="1"/>
  <c r="U63" i="71"/>
  <c r="E62" i="71"/>
  <c r="Q23" i="71"/>
  <c r="D49" i="71"/>
  <c r="D53" i="71"/>
  <c r="D57" i="71"/>
  <c r="N62" i="71"/>
  <c r="B61" i="71"/>
  <c r="O63" i="71"/>
  <c r="C62" i="71"/>
  <c r="C66" i="71"/>
  <c r="D66" i="71" s="1"/>
  <c r="E66" i="71"/>
  <c r="E65" i="71" s="1"/>
  <c r="D67" i="71"/>
  <c r="C70" i="71"/>
  <c r="E70" i="71"/>
  <c r="E69" i="71" s="1"/>
  <c r="D71" i="71"/>
  <c r="C74" i="71"/>
  <c r="D74" i="71" s="1"/>
  <c r="E74" i="71"/>
  <c r="E73" i="71" s="1"/>
  <c r="D75" i="71"/>
  <c r="C78" i="71"/>
  <c r="C82" i="71"/>
  <c r="C81" i="71" s="1"/>
  <c r="D81" i="71" s="1"/>
  <c r="T23" i="71"/>
  <c r="C22" i="71"/>
  <c r="C21" i="71" s="1"/>
  <c r="D21" i="71" s="1"/>
  <c r="AB21" i="71"/>
  <c r="E23" i="71"/>
  <c r="E22" i="71" s="1"/>
  <c r="E21" i="71" s="1"/>
  <c r="AA3" i="71"/>
  <c r="AA21" i="71"/>
  <c r="AA23" i="71"/>
  <c r="D23" i="71"/>
  <c r="U23" i="71"/>
  <c r="C59" i="71"/>
  <c r="D59" i="71" s="1"/>
  <c r="D78" i="71"/>
  <c r="C77" i="71"/>
  <c r="D77" i="71"/>
  <c r="D70" i="71"/>
  <c r="C69" i="71"/>
  <c r="D69" i="71" s="1"/>
  <c r="D82" i="71"/>
  <c r="C73" i="71"/>
  <c r="D73" i="71" s="1"/>
  <c r="C65" i="71"/>
  <c r="D65" i="71" s="1"/>
  <c r="C55" i="71"/>
  <c r="C51" i="71"/>
  <c r="D51" i="71" s="1"/>
  <c r="P62" i="71"/>
  <c r="E61" i="71"/>
  <c r="P60" i="71" s="1"/>
  <c r="C47" i="71"/>
  <c r="C39" i="71"/>
  <c r="D39" i="71" s="1"/>
  <c r="D38" i="71"/>
  <c r="C35" i="71"/>
  <c r="D35" i="71" s="1"/>
  <c r="V23" i="71"/>
  <c r="P61" i="71"/>
  <c r="T35" i="71"/>
  <c r="T39" i="71"/>
  <c r="T47" i="71"/>
  <c r="D47" i="71"/>
  <c r="T51" i="71"/>
  <c r="T55" i="71"/>
  <c r="D55" i="71"/>
  <c r="T59" i="71"/>
  <c r="O27" i="6"/>
  <c r="N27" i="6"/>
  <c r="P20" i="6"/>
  <c r="P21" i="6"/>
  <c r="P22" i="6"/>
  <c r="P23" i="6"/>
  <c r="P24" i="6"/>
  <c r="P25" i="6"/>
  <c r="P26" i="6"/>
  <c r="P19" i="6"/>
  <c r="AP8" i="1"/>
  <c r="AP11" i="1"/>
  <c r="AP12" i="1"/>
  <c r="AP13" i="1"/>
  <c r="L21" i="6"/>
  <c r="L23" i="6"/>
  <c r="L24" i="6"/>
  <c r="L25" i="6"/>
  <c r="L26" i="6"/>
  <c r="P27" i="6"/>
  <c r="A7" i="70"/>
  <c r="A8" i="70"/>
  <c r="E8" i="70" s="1"/>
  <c r="A9" i="70"/>
  <c r="A10" i="70"/>
  <c r="E10" i="70"/>
  <c r="A11" i="70"/>
  <c r="E11" i="70"/>
  <c r="A12" i="70"/>
  <c r="A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C25" i="40"/>
  <c r="S25" i="40"/>
  <c r="S29" i="39"/>
  <c r="S18" i="36"/>
  <c r="U18" i="36"/>
  <c r="S21" i="34"/>
  <c r="H25" i="40"/>
  <c r="J25" i="40"/>
  <c r="H29" i="39"/>
  <c r="U29" i="39" s="1"/>
  <c r="J29" i="39"/>
  <c r="AC29" i="39" s="1"/>
  <c r="J18" i="36"/>
  <c r="AC18" i="36" s="1"/>
  <c r="H18" i="35"/>
  <c r="AB18" i="35" s="1"/>
  <c r="J18" i="35"/>
  <c r="W18" i="35" s="1"/>
  <c r="F77" i="37"/>
  <c r="G77" i="37" s="1"/>
  <c r="H21" i="37"/>
  <c r="F21" i="37"/>
  <c r="AA21" i="37" s="1"/>
  <c r="H21" i="34"/>
  <c r="AB21" i="34" s="1"/>
  <c r="H21" i="33"/>
  <c r="U21" i="33" s="1"/>
  <c r="F21" i="33"/>
  <c r="E83" i="21"/>
  <c r="F83" i="21" s="1"/>
  <c r="G83" i="21" s="1"/>
  <c r="S21" i="21"/>
  <c r="H1" i="69"/>
  <c r="AC25" i="40"/>
  <c r="W25" i="40"/>
  <c r="AB25" i="40"/>
  <c r="U25" i="40"/>
  <c r="AB29" i="39"/>
  <c r="W29" i="39"/>
  <c r="W18" i="36"/>
  <c r="AB21" i="37"/>
  <c r="U21" i="37"/>
  <c r="S21" i="37"/>
  <c r="AB21" i="33"/>
  <c r="AA21" i="33"/>
  <c r="S21" i="33"/>
  <c r="U18" i="35"/>
  <c r="AC18" i="35"/>
  <c r="J21" i="37"/>
  <c r="AC21" i="37" s="1"/>
  <c r="J21" i="34"/>
  <c r="AC21" i="34" s="1"/>
  <c r="J21" i="33"/>
  <c r="AC21" i="33" s="1"/>
  <c r="H21" i="21"/>
  <c r="AB21" i="21" s="1"/>
  <c r="F38" i="69"/>
  <c r="E37" i="69"/>
  <c r="F36" i="69"/>
  <c r="F35" i="69"/>
  <c r="F21" i="69"/>
  <c r="F40" i="69" s="1"/>
  <c r="F20" i="69"/>
  <c r="F39" i="69" s="1"/>
  <c r="E10" i="69"/>
  <c r="E9" i="69"/>
  <c r="C7" i="69"/>
  <c r="W21" i="37"/>
  <c r="W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F13" i="1" s="1"/>
  <c r="G13" i="1" s="1"/>
  <c r="D15" i="4"/>
  <c r="F6" i="1" s="1"/>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7" i="12" s="1"/>
  <c r="E20" i="6"/>
  <c r="D3" i="36" s="1"/>
  <c r="F23" i="15"/>
  <c r="D24" i="15" s="1"/>
  <c r="E22" i="6"/>
  <c r="F7" i="12" s="1"/>
  <c r="E23" i="6"/>
  <c r="E24" i="6"/>
  <c r="E25" i="6"/>
  <c r="K12" i="1" s="1"/>
  <c r="E26" i="6"/>
  <c r="BB13" i="3"/>
  <c r="BC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H31" i="35"/>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H14" i="39" s="1"/>
  <c r="B84" i="39"/>
  <c r="F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J25" i="35" s="1"/>
  <c r="B75" i="35"/>
  <c r="J24" i="35"/>
  <c r="AC24" i="35" s="1"/>
  <c r="B73" i="35"/>
  <c r="H23" i="35" s="1"/>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H44" i="21" s="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K5" i="3"/>
  <c r="J5" i="3"/>
  <c r="BE10" i="3"/>
  <c r="BB585" i="3"/>
  <c r="BC585" i="3"/>
  <c r="BD585" i="3"/>
  <c r="BE585" i="3"/>
  <c r="BF585" i="3"/>
  <c r="BG585" i="3"/>
  <c r="BH585" i="3"/>
  <c r="BI585" i="3"/>
  <c r="BJ585" i="3"/>
  <c r="BK585" i="3"/>
  <c r="BK5" i="3" s="1"/>
  <c r="BM585" i="3"/>
  <c r="BN585" i="3"/>
  <c r="BN5" i="3" s="1"/>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c r="F26" i="21"/>
  <c r="S26" i="21"/>
  <c r="AB41" i="21"/>
  <c r="F45" i="39"/>
  <c r="S45" i="39" s="1"/>
  <c r="J45" i="39"/>
  <c r="W45" i="39" s="1"/>
  <c r="J44" i="39"/>
  <c r="AC44" i="39" s="1"/>
  <c r="J35" i="39"/>
  <c r="AC35" i="39" s="1"/>
  <c r="F35" i="39"/>
  <c r="AA35" i="39" s="1"/>
  <c r="W40" i="39"/>
  <c r="U30" i="37"/>
  <c r="E103" i="37"/>
  <c r="F103" i="37" s="1"/>
  <c r="G103" i="37" s="1"/>
  <c r="H103" i="37" s="1"/>
  <c r="I103" i="37" s="1"/>
  <c r="J103" i="37" s="1"/>
  <c r="K103" i="37" s="1"/>
  <c r="L103" i="37" s="1"/>
  <c r="M103" i="37" s="1"/>
  <c r="F39" i="37"/>
  <c r="S39" i="37" s="1"/>
  <c r="F29" i="36"/>
  <c r="AA29" i="36"/>
  <c r="W8" i="36"/>
  <c r="F16" i="36"/>
  <c r="AA16" i="36" s="1"/>
  <c r="U9" i="36"/>
  <c r="W28" i="36"/>
  <c r="S30" i="36"/>
  <c r="W31" i="36"/>
  <c r="U31" i="36"/>
  <c r="J33" i="36"/>
  <c r="W33" i="36" s="1"/>
  <c r="H22" i="35"/>
  <c r="AB22" i="35" s="1"/>
  <c r="U31" i="35"/>
  <c r="S34" i="35"/>
  <c r="W34" i="35"/>
  <c r="U34" i="35"/>
  <c r="F36" i="34"/>
  <c r="J35" i="34"/>
  <c r="W35" i="34" s="1"/>
  <c r="U34" i="34"/>
  <c r="H39" i="33"/>
  <c r="AB39" i="33" s="1"/>
  <c r="U33" i="33"/>
  <c r="W39" i="33"/>
  <c r="H39" i="37"/>
  <c r="AB39" i="37"/>
  <c r="F11" i="40"/>
  <c r="AA11" i="40" s="1"/>
  <c r="H11" i="40"/>
  <c r="AB11" i="40" s="1"/>
  <c r="W8" i="40"/>
  <c r="AC40" i="40"/>
  <c r="AA9" i="40"/>
  <c r="AC9" i="40"/>
  <c r="U9" i="40"/>
  <c r="S34" i="40"/>
  <c r="S40" i="40"/>
  <c r="U34" i="40"/>
  <c r="U40" i="40"/>
  <c r="F42" i="39"/>
  <c r="AA42" i="39"/>
  <c r="H40" i="39"/>
  <c r="AB40" i="39"/>
  <c r="H39" i="39"/>
  <c r="U39" i="39" s="1"/>
  <c r="E109" i="39"/>
  <c r="F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1" i="39"/>
  <c r="W31" i="39" s="1"/>
  <c r="F101" i="39"/>
  <c r="G101" i="39" s="1"/>
  <c r="H27" i="39"/>
  <c r="U27" i="39" s="1"/>
  <c r="J19" i="39"/>
  <c r="AC19" i="39" s="1"/>
  <c r="J17" i="39"/>
  <c r="J27" i="39"/>
  <c r="AC27" i="39" s="1"/>
  <c r="F27" i="39"/>
  <c r="S27" i="39" s="1"/>
  <c r="S40" i="21"/>
  <c r="U34" i="21"/>
  <c r="C27" i="39"/>
  <c r="C15" i="39"/>
  <c r="H32" i="33"/>
  <c r="AB32" i="33"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c r="H10" i="35"/>
  <c r="U10" i="35" s="1"/>
  <c r="AC16" i="36"/>
  <c r="F33" i="36"/>
  <c r="AA33" i="36" s="1"/>
  <c r="W30" i="36"/>
  <c r="H16" i="36"/>
  <c r="AB16" i="36"/>
  <c r="J29" i="36"/>
  <c r="AC29" i="36" s="1"/>
  <c r="F12" i="36"/>
  <c r="AA12" i="36" s="1"/>
  <c r="F24" i="36"/>
  <c r="AA24" i="36"/>
  <c r="F34" i="36"/>
  <c r="S34" i="36"/>
  <c r="S10" i="36"/>
  <c r="AB8" i="36"/>
  <c r="S8" i="36"/>
  <c r="U8" i="35"/>
  <c r="F14" i="35"/>
  <c r="AA14" i="35" s="1"/>
  <c r="F23" i="35"/>
  <c r="AA23" i="35" s="1"/>
  <c r="J32" i="35"/>
  <c r="AC32" i="35" s="1"/>
  <c r="H16" i="35"/>
  <c r="U16" i="35" s="1"/>
  <c r="H14" i="35"/>
  <c r="AB14"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AA19" i="34" s="1"/>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C34" i="36"/>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c r="J11" i="33"/>
  <c r="W11" i="33"/>
  <c r="H123" i="21"/>
  <c r="I123" i="21" s="1"/>
  <c r="J123" i="21" s="1"/>
  <c r="K123" i="21" s="1"/>
  <c r="L123" i="21" s="1"/>
  <c r="M123" i="21" s="1"/>
  <c r="J42" i="21"/>
  <c r="AC42" i="21" s="1"/>
  <c r="J44" i="34"/>
  <c r="AC44" i="34" s="1"/>
  <c r="F44" i="34"/>
  <c r="AA44" i="34"/>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F30" i="35"/>
  <c r="S30" i="35"/>
  <c r="E89" i="35"/>
  <c r="F89" i="35"/>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F27" i="33"/>
  <c r="AA27" i="33" s="1"/>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J37" i="37"/>
  <c r="AC37" i="37" s="1"/>
  <c r="H37" i="37"/>
  <c r="U37" i="37" s="1"/>
  <c r="H40" i="37"/>
  <c r="U40" i="37" s="1"/>
  <c r="J40" i="37"/>
  <c r="AC40" i="37" s="1"/>
  <c r="F40" i="37"/>
  <c r="AA40" i="37" s="1"/>
  <c r="W12" i="40"/>
  <c r="H14" i="33"/>
  <c r="U14" i="33"/>
  <c r="F14" i="33"/>
  <c r="S14" i="33"/>
  <c r="J14" i="33"/>
  <c r="H30" i="33"/>
  <c r="AB30" i="33" s="1"/>
  <c r="F30" i="33"/>
  <c r="J30" i="33"/>
  <c r="AC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F25" i="35"/>
  <c r="S25" i="35" s="1"/>
  <c r="J35" i="35"/>
  <c r="AC35" i="35" s="1"/>
  <c r="H35" i="35"/>
  <c r="AB35" i="35" s="1"/>
  <c r="F25" i="36"/>
  <c r="S25" i="36" s="1"/>
  <c r="H13" i="37"/>
  <c r="AB13" i="37" s="1"/>
  <c r="F13" i="37"/>
  <c r="S13" i="37" s="1"/>
  <c r="J13" i="37"/>
  <c r="W13" i="37" s="1"/>
  <c r="J28" i="37"/>
  <c r="AC28" i="37" s="1"/>
  <c r="H38" i="37"/>
  <c r="AB38" i="37" s="1"/>
  <c r="F38" i="37"/>
  <c r="S38" i="37" s="1"/>
  <c r="F43" i="39"/>
  <c r="AA43" i="39" s="1"/>
  <c r="H43" i="39"/>
  <c r="U43" i="39" s="1"/>
  <c r="J14" i="39"/>
  <c r="AC14" i="39" s="1"/>
  <c r="F14" i="39"/>
  <c r="AA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J13" i="39"/>
  <c r="W13" i="39" s="1"/>
  <c r="H13" i="39"/>
  <c r="U13" i="39" s="1"/>
  <c r="H14" i="40"/>
  <c r="AB14" i="40" s="1"/>
  <c r="J14" i="40"/>
  <c r="W14" i="40" s="1"/>
  <c r="F14" i="40"/>
  <c r="AA14" i="40" s="1"/>
  <c r="J14" i="37"/>
  <c r="AC14" i="37" s="1"/>
  <c r="J27" i="37"/>
  <c r="AC27" i="37" s="1"/>
  <c r="AA44" i="33"/>
  <c r="AA14" i="33"/>
  <c r="J36" i="37"/>
  <c r="AC36" i="37"/>
  <c r="G105" i="37"/>
  <c r="AB11" i="36"/>
  <c r="J10" i="36"/>
  <c r="AC10" i="36" s="1"/>
  <c r="W13" i="36"/>
  <c r="W11" i="36"/>
  <c r="AB46" i="34"/>
  <c r="AA14" i="34"/>
  <c r="AB45" i="33"/>
  <c r="U31" i="33"/>
  <c r="U13" i="33"/>
  <c r="S44" i="34"/>
  <c r="BA585" i="3"/>
  <c r="AZ585" i="3" s="1"/>
  <c r="F17" i="21"/>
  <c r="AA17" i="21" s="1"/>
  <c r="H17" i="21"/>
  <c r="AB17" i="21" s="1"/>
  <c r="F15" i="21"/>
  <c r="S15" i="21"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AZ520" i="3" s="1"/>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BQ541" i="3"/>
  <c r="BL541" i="3" s="1"/>
  <c r="AZ541" i="3" s="1"/>
  <c r="BQ539" i="3"/>
  <c r="BL539" i="3" s="1"/>
  <c r="AZ539" i="3" s="1"/>
  <c r="BQ537" i="3"/>
  <c r="BL537" i="3"/>
  <c r="AZ537" i="3" s="1"/>
  <c r="BQ535" i="3"/>
  <c r="BL535" i="3" s="1"/>
  <c r="BQ533" i="3"/>
  <c r="BL533" i="3" s="1"/>
  <c r="AZ533" i="3" s="1"/>
  <c r="BQ531" i="3"/>
  <c r="BL531" i="3" s="1"/>
  <c r="AZ531" i="3" s="1"/>
  <c r="BQ529" i="3"/>
  <c r="BL529" i="3"/>
  <c r="AZ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BQ501" i="3"/>
  <c r="BL501" i="3"/>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U35" i="35"/>
  <c r="W14" i="37"/>
  <c r="U33" i="37"/>
  <c r="U39" i="37"/>
  <c r="W26" i="37"/>
  <c r="AC8" i="37"/>
  <c r="W47" i="34"/>
  <c r="AB13" i="34"/>
  <c r="W37" i="34"/>
  <c r="AB37" i="34"/>
  <c r="AA13" i="33"/>
  <c r="AC45" i="33"/>
  <c r="U11" i="33"/>
  <c r="U26" i="21"/>
  <c r="AB38" i="21"/>
  <c r="F43" i="33"/>
  <c r="AA43" i="33"/>
  <c r="W15" i="34"/>
  <c r="AC15" i="34"/>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J15" i="37"/>
  <c r="W15" i="37" s="1"/>
  <c r="AT6" i="3"/>
  <c r="C12" i="43"/>
  <c r="H19" i="40"/>
  <c r="U19" i="40"/>
  <c r="F88" i="40"/>
  <c r="G88" i="40"/>
  <c r="F19" i="40"/>
  <c r="S19" i="40"/>
  <c r="S14" i="40"/>
  <c r="AC13" i="40"/>
  <c r="AB33" i="40"/>
  <c r="W23" i="39"/>
  <c r="AC43" i="39"/>
  <c r="W43" i="39"/>
  <c r="U45" i="39"/>
  <c r="AB45" i="39"/>
  <c r="AB44" i="39"/>
  <c r="U44" i="39"/>
  <c r="H37" i="39"/>
  <c r="AB37" i="39" s="1"/>
  <c r="H25" i="39"/>
  <c r="AB25" i="39" s="1"/>
  <c r="J25" i="39"/>
  <c r="W25" i="39" s="1"/>
  <c r="F25" i="39"/>
  <c r="AA25" i="39" s="1"/>
  <c r="H15" i="39"/>
  <c r="U15" i="39" s="1"/>
  <c r="W27" i="39"/>
  <c r="U40" i="39"/>
  <c r="S42"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G4" i="4"/>
  <c r="I4" i="4"/>
  <c r="F59" i="43"/>
  <c r="H62" i="43" s="1"/>
  <c r="AZ24" i="3"/>
  <c r="AZ28" i="3"/>
  <c r="BL549" i="3"/>
  <c r="AZ494" i="3"/>
  <c r="AZ502"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44" i="3"/>
  <c r="AZ160" i="3"/>
  <c r="AZ168" i="3"/>
  <c r="AZ176" i="3"/>
  <c r="AZ192" i="3"/>
  <c r="AZ200" i="3"/>
  <c r="AZ85" i="3"/>
  <c r="AZ93" i="3"/>
  <c r="AZ101" i="3"/>
  <c r="AZ109"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3"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F29" i="6" s="1"/>
  <c r="BJ5" i="3"/>
  <c r="AZ317" i="3"/>
  <c r="BQ5" i="3"/>
  <c r="F28" i="6" s="1"/>
  <c r="AZ549" i="3"/>
  <c r="AZ496" i="3"/>
  <c r="G548" i="3"/>
  <c r="G538" i="3"/>
  <c r="G520" i="3"/>
  <c r="G502" i="3"/>
  <c r="BS5" i="3"/>
  <c r="BP5" i="3"/>
  <c r="AZ343" i="3"/>
  <c r="G17" i="3"/>
  <c r="BA17" i="3"/>
  <c r="AZ360" i="3"/>
  <c r="BA15" i="3"/>
  <c r="BR5" i="3"/>
  <c r="AZ380" i="3"/>
  <c r="AZ396" i="3"/>
  <c r="AZ499" i="3"/>
  <c r="G509" i="3"/>
  <c r="BL493" i="3"/>
  <c r="AZ491" i="3"/>
  <c r="AZ493" i="3"/>
  <c r="F81" i="43"/>
  <c r="H83" i="43" s="1"/>
  <c r="H113" i="43"/>
  <c r="F48" i="43"/>
  <c r="H52" i="43" s="1"/>
  <c r="F70" i="43"/>
  <c r="H73" i="43" s="1"/>
  <c r="D17" i="43"/>
  <c r="I17" i="43"/>
  <c r="J17" i="43"/>
  <c r="U43" i="21"/>
  <c r="U35" i="21"/>
  <c r="U10" i="21"/>
  <c r="AZ501" i="3"/>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32" i="3"/>
  <c r="AZ243" i="3"/>
  <c r="AZ248" i="3"/>
  <c r="AZ251" i="3"/>
  <c r="AZ259" i="3"/>
  <c r="AZ268" i="3"/>
  <c r="AZ296" i="3"/>
  <c r="AZ114" i="3"/>
  <c r="AZ130" i="3"/>
  <c r="AZ21" i="3"/>
  <c r="AZ50" i="3"/>
  <c r="AZ53" i="3"/>
  <c r="AZ66" i="3"/>
  <c r="AZ69" i="3"/>
  <c r="AZ72" i="3"/>
  <c r="AZ74" i="3"/>
  <c r="AZ82" i="3"/>
  <c r="AZ86" i="3"/>
  <c r="AZ94" i="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D93" i="9"/>
  <c r="AC26" i="33"/>
  <c r="W26" i="33"/>
  <c r="W27" i="34"/>
  <c r="AB34" i="36"/>
  <c r="U34" i="36"/>
  <c r="AB33" i="36"/>
  <c r="U33" i="36"/>
  <c r="W12" i="39"/>
  <c r="AC39" i="40"/>
  <c r="W39" i="40"/>
  <c r="AZ401" i="3"/>
  <c r="AZ428" i="3"/>
  <c r="W12" i="33"/>
  <c r="AC12" i="33"/>
  <c r="AA32" i="36"/>
  <c r="S32" i="36"/>
  <c r="AZ437" i="3"/>
  <c r="AZ441" i="3"/>
  <c r="AZ490" i="3"/>
  <c r="AA39" i="34"/>
  <c r="BL14" i="3"/>
  <c r="AZ266" i="3"/>
  <c r="U30" i="33"/>
  <c r="AA47" i="34"/>
  <c r="S19" i="39"/>
  <c r="F12" i="33"/>
  <c r="H12" i="39"/>
  <c r="AB12" i="39" s="1"/>
  <c r="F39" i="40"/>
  <c r="BA14" i="3"/>
  <c r="AZ14" i="3" s="1"/>
  <c r="AZ367" i="3"/>
  <c r="AZ234" i="3"/>
  <c r="AZ250" i="3"/>
  <c r="AZ281" i="3"/>
  <c r="AZ149" i="3"/>
  <c r="AZ165" i="3"/>
  <c r="AZ181" i="3"/>
  <c r="AZ197" i="3"/>
  <c r="AZ19" i="3"/>
  <c r="AZ26" i="3"/>
  <c r="B12" i="1"/>
  <c r="E12" i="1" s="1"/>
  <c r="AZ80" i="3"/>
  <c r="AZ84" i="3"/>
  <c r="AZ88" i="3"/>
  <c r="AZ107" i="3"/>
  <c r="AZ111" i="3"/>
  <c r="J51" i="67"/>
  <c r="C42" i="1"/>
  <c r="H100" i="43"/>
  <c r="C30" i="66"/>
  <c r="AC34" i="33"/>
  <c r="B41" i="1"/>
  <c r="S22" i="31"/>
  <c r="J100" i="43"/>
  <c r="AB37" i="40"/>
  <c r="S35" i="40"/>
  <c r="U35" i="40"/>
  <c r="AA32" i="40"/>
  <c r="S17" i="40"/>
  <c r="S23" i="40"/>
  <c r="AC17" i="40"/>
  <c r="AC15" i="40"/>
  <c r="S30" i="40"/>
  <c r="AA19" i="40"/>
  <c r="S28" i="40"/>
  <c r="AB19" i="40"/>
  <c r="U37" i="39"/>
  <c r="S43" i="39"/>
  <c r="U35" i="39"/>
  <c r="F107" i="39"/>
  <c r="G107" i="39" s="1"/>
  <c r="H107" i="39" s="1"/>
  <c r="I107" i="39" s="1"/>
  <c r="J107" i="39" s="1"/>
  <c r="K107" i="39" s="1"/>
  <c r="L107" i="39" s="1"/>
  <c r="M107" i="39" s="1"/>
  <c r="U31" i="39"/>
  <c r="J21" i="39"/>
  <c r="W21" i="39" s="1"/>
  <c r="F21" i="39"/>
  <c r="S21" i="39" s="1"/>
  <c r="H21" i="39"/>
  <c r="AB21" i="39" s="1"/>
  <c r="W19" i="39"/>
  <c r="U19" i="39"/>
  <c r="S17" i="39"/>
  <c r="AA12" i="39"/>
  <c r="U13" i="36"/>
  <c r="U26" i="36"/>
  <c r="S33" i="36"/>
  <c r="S27" i="36"/>
  <c r="AA26" i="36"/>
  <c r="AA34" i="36"/>
  <c r="S29" i="36"/>
  <c r="AC26" i="36"/>
  <c r="W14" i="36"/>
  <c r="AB14" i="36"/>
  <c r="U22" i="36"/>
  <c r="S16" i="36"/>
  <c r="AA25" i="36"/>
  <c r="S24" i="36"/>
  <c r="U16" i="36"/>
  <c r="S14" i="36"/>
  <c r="U10" i="36"/>
  <c r="AA25" i="35"/>
  <c r="W24" i="35"/>
  <c r="U36" i="35"/>
  <c r="U32" i="35"/>
  <c r="AC30" i="35"/>
  <c r="S32" i="35"/>
  <c r="AA36" i="35"/>
  <c r="U22" i="35"/>
  <c r="S20" i="35"/>
  <c r="S22" i="35"/>
  <c r="AB10" i="35"/>
  <c r="S8" i="35"/>
  <c r="W13" i="35"/>
  <c r="F9" i="35"/>
  <c r="S9" i="35" s="1"/>
  <c r="F26" i="35"/>
  <c r="AA26" i="35" s="1"/>
  <c r="J26" i="35"/>
  <c r="W26" i="35" s="1"/>
  <c r="H26" i="35"/>
  <c r="U26" i="35" s="1"/>
  <c r="S25" i="37"/>
  <c r="W27" i="37"/>
  <c r="S26" i="37"/>
  <c r="AC29" i="37"/>
  <c r="U29" i="37"/>
  <c r="S32" i="37"/>
  <c r="W30" i="37"/>
  <c r="AA38" i="37"/>
  <c r="U32" i="37"/>
  <c r="AC35" i="37"/>
  <c r="W39" i="37"/>
  <c r="S30" i="37"/>
  <c r="S37" i="37"/>
  <c r="J17" i="37"/>
  <c r="W17" i="37" s="1"/>
  <c r="G73" i="37"/>
  <c r="F17" i="37"/>
  <c r="AA17" i="37" s="1"/>
  <c r="AB17" i="37"/>
  <c r="F75" i="37"/>
  <c r="F19" i="37"/>
  <c r="S19" i="37" s="1"/>
  <c r="F79" i="37"/>
  <c r="F23" i="37"/>
  <c r="S23" i="37" s="1"/>
  <c r="U23" i="37"/>
  <c r="U15" i="37"/>
  <c r="AC13" i="37"/>
  <c r="AA13" i="37"/>
  <c r="AA9" i="37"/>
  <c r="H10" i="37"/>
  <c r="H60" i="37"/>
  <c r="I60" i="37" s="1"/>
  <c r="F63" i="37"/>
  <c r="F11" i="37"/>
  <c r="S11" i="37" s="1"/>
  <c r="S27" i="34"/>
  <c r="AB8" i="34"/>
  <c r="AA33" i="34"/>
  <c r="U44" i="34"/>
  <c r="U43" i="34"/>
  <c r="AC39" i="34"/>
  <c r="AC42" i="34"/>
  <c r="AB35" i="34"/>
  <c r="U39" i="34"/>
  <c r="S43" i="34"/>
  <c r="AB41" i="34"/>
  <c r="W34" i="34"/>
  <c r="AA25" i="34"/>
  <c r="U28" i="34"/>
  <c r="AA29" i="34"/>
  <c r="S23" i="34"/>
  <c r="S10" i="34"/>
  <c r="H67" i="34"/>
  <c r="I67" i="34" s="1"/>
  <c r="H10" i="34"/>
  <c r="F11" i="34"/>
  <c r="S11" i="34" s="1"/>
  <c r="F70" i="34"/>
  <c r="W42" i="33"/>
  <c r="AA35"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U25" i="33" s="1"/>
  <c r="F25" i="33"/>
  <c r="J23" i="33"/>
  <c r="W23" i="33" s="1"/>
  <c r="F85" i="33"/>
  <c r="H23" i="33"/>
  <c r="U23" i="33" s="1"/>
  <c r="F81" i="33"/>
  <c r="F19" i="33"/>
  <c r="S19" i="33" s="1"/>
  <c r="J17" i="33"/>
  <c r="AC17" i="33" s="1"/>
  <c r="F79" i="33"/>
  <c r="S15" i="33"/>
  <c r="W15" i="33"/>
  <c r="U9" i="33"/>
  <c r="I66" i="33"/>
  <c r="J10" i="33"/>
  <c r="W10" i="33" s="1"/>
  <c r="H10" i="33"/>
  <c r="AA10" i="33"/>
  <c r="AC11" i="33"/>
  <c r="AB14" i="33"/>
  <c r="W43" i="21"/>
  <c r="W36" i="21"/>
  <c r="W41" i="21"/>
  <c r="AB39" i="21"/>
  <c r="S39" i="21"/>
  <c r="AA38" i="21"/>
  <c r="AA36" i="21"/>
  <c r="J15" i="21"/>
  <c r="W15" i="21" s="1"/>
  <c r="F77" i="21"/>
  <c r="G77" i="21" s="1"/>
  <c r="E85" i="21"/>
  <c r="F85" i="21" s="1"/>
  <c r="G85" i="21" s="1"/>
  <c r="AB8" i="21"/>
  <c r="M3" i="43"/>
  <c r="N8" i="43"/>
  <c r="D120" i="9"/>
  <c r="D121" i="9" s="1"/>
  <c r="D7" i="52" s="1"/>
  <c r="F34" i="67"/>
  <c r="F62" i="67" s="1"/>
  <c r="M20" i="67"/>
  <c r="F34" i="15"/>
  <c r="F62" i="15" s="1"/>
  <c r="BL17" i="3"/>
  <c r="BL13" i="3"/>
  <c r="J56" i="9"/>
  <c r="J57" i="9" s="1"/>
  <c r="J59" i="9" s="1"/>
  <c r="J61" i="9" s="1"/>
  <c r="U29" i="34"/>
  <c r="K1" i="12"/>
  <c r="E19" i="69"/>
  <c r="E19" i="68"/>
  <c r="E19" i="11"/>
  <c r="E1" i="73"/>
  <c r="G22" i="69"/>
  <c r="G22" i="68"/>
  <c r="G26" i="12"/>
  <c r="G22" i="11"/>
  <c r="C100" i="43"/>
  <c r="E11" i="43"/>
  <c r="E10" i="43"/>
  <c r="E9" i="43"/>
  <c r="E8" i="43"/>
  <c r="E81" i="43"/>
  <c r="B79" i="43" s="1"/>
  <c r="E48" i="43"/>
  <c r="B46" i="43"/>
  <c r="E70" i="43"/>
  <c r="B68" i="43"/>
  <c r="F100" i="43"/>
  <c r="H17" i="43"/>
  <c r="H88" i="43"/>
  <c r="C17" i="43"/>
  <c r="K17" i="43"/>
  <c r="N6" i="43"/>
  <c r="F37" i="43"/>
  <c r="N5" i="43"/>
  <c r="B19" i="53"/>
  <c r="B37" i="72"/>
  <c r="C7" i="39"/>
  <c r="C68" i="39" s="1"/>
  <c r="C7" i="35"/>
  <c r="C7" i="33"/>
  <c r="C58" i="33" s="1"/>
  <c r="C7" i="21"/>
  <c r="C7" i="40"/>
  <c r="C63" i="40" s="1"/>
  <c r="M47" i="9"/>
  <c r="G19" i="43"/>
  <c r="O19" i="43" s="1"/>
  <c r="C19" i="43" s="1"/>
  <c r="T35" i="4"/>
  <c r="A19" i="51" s="1"/>
  <c r="B14" i="72" s="1"/>
  <c r="C52" i="37"/>
  <c r="D52" i="37" s="1"/>
  <c r="H65" i="43"/>
  <c r="H63" i="43"/>
  <c r="H56" i="43"/>
  <c r="L20" i="6"/>
  <c r="B6" i="1"/>
  <c r="E6" i="1" s="1"/>
  <c r="K11" i="1"/>
  <c r="B9" i="1"/>
  <c r="E9" i="1" s="1"/>
  <c r="G1" i="69"/>
  <c r="W23" i="40"/>
  <c r="U32" i="40"/>
  <c r="AB31" i="40"/>
  <c r="S37" i="40"/>
  <c r="AB28" i="40"/>
  <c r="W28" i="40"/>
  <c r="W34" i="40"/>
  <c r="W27" i="40"/>
  <c r="S36" i="40"/>
  <c r="W37" i="40"/>
  <c r="S13" i="40"/>
  <c r="AA15" i="40"/>
  <c r="U11" i="40"/>
  <c r="S31" i="40"/>
  <c r="U15" i="40"/>
  <c r="AB17" i="40"/>
  <c r="U8" i="40"/>
  <c r="S8" i="40"/>
  <c r="U42" i="39"/>
  <c r="AC25" i="39"/>
  <c r="AB13" i="39"/>
  <c r="AB43" i="39"/>
  <c r="AA27" i="39"/>
  <c r="W17" i="39"/>
  <c r="AC17" i="39"/>
  <c r="AC31" i="39"/>
  <c r="S23" i="39"/>
  <c r="AA45" i="39"/>
  <c r="AB39" i="39"/>
  <c r="S8" i="39"/>
  <c r="S20" i="36"/>
  <c r="U32" i="36"/>
  <c r="W29" i="36"/>
  <c r="AC20" i="36"/>
  <c r="AB28" i="36"/>
  <c r="AA13" i="36"/>
  <c r="W9" i="36"/>
  <c r="W22" i="36"/>
  <c r="S9" i="36"/>
  <c r="AB20" i="35"/>
  <c r="AA30" i="35"/>
  <c r="U24" i="35"/>
  <c r="AA35" i="37"/>
  <c r="W36" i="37"/>
  <c r="S27" i="37"/>
  <c r="W32" i="37"/>
  <c r="S40" i="37"/>
  <c r="AB37" i="37"/>
  <c r="AC34" i="37"/>
  <c r="AA11" i="37"/>
  <c r="AA31" i="37"/>
  <c r="U19" i="37"/>
  <c r="AA29" i="37"/>
  <c r="AA8" i="37"/>
  <c r="U8" i="37"/>
  <c r="AA40" i="34"/>
  <c r="U19" i="34"/>
  <c r="W19" i="34"/>
  <c r="AB33" i="34"/>
  <c r="AC45" i="34"/>
  <c r="AA31" i="34"/>
  <c r="AB45" i="34"/>
  <c r="AB47" i="34"/>
  <c r="U25" i="34"/>
  <c r="W33" i="34"/>
  <c r="AC32" i="34"/>
  <c r="W29" i="34"/>
  <c r="U38" i="34"/>
  <c r="AC40" i="34"/>
  <c r="W40" i="34"/>
  <c r="S19" i="34"/>
  <c r="AA36" i="34"/>
  <c r="S36" i="34"/>
  <c r="AA8" i="34"/>
  <c r="S8" i="34"/>
  <c r="AB9" i="34"/>
  <c r="U9" i="34"/>
  <c r="AA46" i="34"/>
  <c r="AB32" i="34"/>
  <c r="AB14" i="34"/>
  <c r="AC43" i="34"/>
  <c r="W43" i="34"/>
  <c r="W23" i="34"/>
  <c r="AC23" i="34"/>
  <c r="AC35" i="34"/>
  <c r="AB28" i="33"/>
  <c r="W46" i="33"/>
  <c r="U39" i="33"/>
  <c r="U38" i="33"/>
  <c r="S33" i="33"/>
  <c r="AB34" i="33"/>
  <c r="U44" i="33"/>
  <c r="AB44" i="33"/>
  <c r="S30" i="33"/>
  <c r="AA30" i="33"/>
  <c r="AC14" i="33"/>
  <c r="W14" i="33"/>
  <c r="W30" i="33"/>
  <c r="S11" i="33"/>
  <c r="U37" i="33"/>
  <c r="AC28" i="33"/>
  <c r="W9" i="33"/>
  <c r="W8" i="33"/>
  <c r="S44" i="21"/>
  <c r="S45" i="21"/>
  <c r="AA26" i="21"/>
  <c r="AB14" i="21"/>
  <c r="AB46" i="21"/>
  <c r="U40" i="21"/>
  <c r="AB31" i="21"/>
  <c r="U31" i="21"/>
  <c r="AC15" i="21"/>
  <c r="U13" i="21"/>
  <c r="AB13" i="21"/>
  <c r="H15" i="21"/>
  <c r="U15" i="21" s="1"/>
  <c r="J17" i="21"/>
  <c r="AC17" i="21" s="1"/>
  <c r="AC19" i="21"/>
  <c r="W39" i="21"/>
  <c r="AC14" i="21"/>
  <c r="W30" i="21"/>
  <c r="S46" i="21"/>
  <c r="H45" i="21"/>
  <c r="U45" i="21" s="1"/>
  <c r="F29" i="21"/>
  <c r="S29" i="21" s="1"/>
  <c r="F13" i="21"/>
  <c r="AA13" i="21" s="1"/>
  <c r="AC38" i="21"/>
  <c r="H32" i="21"/>
  <c r="AB32" i="21" s="1"/>
  <c r="H9" i="21"/>
  <c r="U9" i="21" s="1"/>
  <c r="J9" i="21"/>
  <c r="J32" i="21"/>
  <c r="AC32" i="21" s="1"/>
  <c r="U17" i="21"/>
  <c r="W29" i="21"/>
  <c r="S19" i="21"/>
  <c r="S9" i="21"/>
  <c r="K141" i="21"/>
  <c r="K144" i="21"/>
  <c r="K143" i="21"/>
  <c r="AB25" i="21"/>
  <c r="AA30" i="21"/>
  <c r="AC45" i="21"/>
  <c r="F10" i="21"/>
  <c r="S10" i="21" s="1"/>
  <c r="K145" i="21"/>
  <c r="W25" i="21"/>
  <c r="W31" i="21"/>
  <c r="S17" i="21"/>
  <c r="AA15" i="21"/>
  <c r="AC27" i="21"/>
  <c r="AC26" i="21"/>
  <c r="AB29" i="21"/>
  <c r="S28"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AC21" i="39"/>
  <c r="AA9" i="35"/>
  <c r="S17" i="37"/>
  <c r="J19" i="37"/>
  <c r="W19" i="37" s="1"/>
  <c r="G75" i="37"/>
  <c r="AA19" i="37"/>
  <c r="J23" i="37"/>
  <c r="W23" i="37" s="1"/>
  <c r="G79" i="37"/>
  <c r="J10" i="37"/>
  <c r="W10" i="37" s="1"/>
  <c r="G63" i="37"/>
  <c r="H11" i="37"/>
  <c r="AB11" i="37" s="1"/>
  <c r="AB10" i="37"/>
  <c r="U10" i="37"/>
  <c r="G70" i="34"/>
  <c r="H11" i="34"/>
  <c r="AB11" i="34" s="1"/>
  <c r="AB10" i="34"/>
  <c r="U10" i="34"/>
  <c r="J10" i="34"/>
  <c r="W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W25" i="33" s="1"/>
  <c r="AB23" i="33"/>
  <c r="F23" i="33"/>
  <c r="AA23" i="33" s="1"/>
  <c r="G85" i="33"/>
  <c r="AC23" i="33"/>
  <c r="AA19" i="33"/>
  <c r="H19" i="33"/>
  <c r="AB19" i="33" s="1"/>
  <c r="G81" i="33"/>
  <c r="G79" i="33"/>
  <c r="H17" i="33"/>
  <c r="U17" i="33" s="1"/>
  <c r="F17" i="33"/>
  <c r="AA17" i="33" s="1"/>
  <c r="W17" i="33"/>
  <c r="U10" i="33"/>
  <c r="AB10" i="33"/>
  <c r="AC10" i="33"/>
  <c r="J23" i="21"/>
  <c r="AC23" i="21" s="1"/>
  <c r="S13" i="21"/>
  <c r="R22" i="31"/>
  <c r="AP7" i="1"/>
  <c r="AB45" i="21"/>
  <c r="W9" i="21"/>
  <c r="AC9" i="21"/>
  <c r="E6" i="70"/>
  <c r="AC19" i="37"/>
  <c r="AC23" i="37"/>
  <c r="U11" i="37"/>
  <c r="H63" i="37"/>
  <c r="I63" i="37" s="1"/>
  <c r="J63" i="37" s="1"/>
  <c r="K63" i="37" s="1"/>
  <c r="L63" i="37" s="1"/>
  <c r="M63" i="37" s="1"/>
  <c r="J11" i="37"/>
  <c r="W11" i="37" s="1"/>
  <c r="AC10" i="37"/>
  <c r="U11" i="34"/>
  <c r="AC10" i="34"/>
  <c r="H70" i="34"/>
  <c r="I70" i="34" s="1"/>
  <c r="J70" i="34" s="1"/>
  <c r="K70" i="34" s="1"/>
  <c r="L70" i="34" s="1"/>
  <c r="M70" i="34" s="1"/>
  <c r="J11" i="34"/>
  <c r="AC11" i="34" s="1"/>
  <c r="AC36" i="33"/>
  <c r="AB36" i="33"/>
  <c r="AC25" i="33"/>
  <c r="S23" i="33"/>
  <c r="U19" i="33"/>
  <c r="S17" i="33"/>
  <c r="AB17" i="33"/>
  <c r="AC11" i="37"/>
  <c r="W11" i="34"/>
  <c r="AE7" i="1"/>
  <c r="AE8" i="1"/>
  <c r="AE6" i="1"/>
  <c r="AG6" i="1"/>
  <c r="H109" i="9"/>
  <c r="H110" i="9"/>
  <c r="D18" i="53" s="1"/>
  <c r="B35" i="72" s="1"/>
  <c r="D16" i="53"/>
  <c r="AD3" i="71"/>
  <c r="C77" i="9"/>
  <c r="C74" i="9" s="1"/>
  <c r="H67" i="43"/>
  <c r="H60" i="43"/>
  <c r="M4" i="43"/>
  <c r="N12" i="43"/>
  <c r="M10" i="43"/>
  <c r="M7" i="43"/>
  <c r="H54" i="43"/>
  <c r="N9" i="43"/>
  <c r="N10" i="43"/>
  <c r="M6" i="43"/>
  <c r="N4" i="43"/>
  <c r="H49" i="43"/>
  <c r="L17" i="43"/>
  <c r="M17" i="43"/>
  <c r="AB17" i="71"/>
  <c r="X15" i="71"/>
  <c r="X14" i="71"/>
  <c r="AA15" i="71"/>
  <c r="AA14" i="71"/>
  <c r="X18" i="71"/>
  <c r="Y14" i="71"/>
  <c r="Z14" i="71" s="1"/>
  <c r="AB15" i="71"/>
  <c r="AB14" i="71"/>
  <c r="C94" i="9"/>
  <c r="C92" i="9"/>
  <c r="Y15" i="71"/>
  <c r="Z15" i="71" s="1"/>
  <c r="X3" i="71"/>
  <c r="E16" i="71"/>
  <c r="E15" i="71"/>
  <c r="G20" i="43"/>
  <c r="E41" i="43"/>
  <c r="C41" i="43" s="1"/>
  <c r="B12" i="76"/>
  <c r="D2" i="36"/>
  <c r="B9" i="76"/>
  <c r="D2" i="33"/>
  <c r="E11" i="76"/>
  <c r="E13" i="76"/>
  <c r="D2" i="37"/>
  <c r="B11" i="76"/>
  <c r="B8" i="76"/>
  <c r="F5" i="73"/>
  <c r="D2" i="21"/>
  <c r="AO6" i="1"/>
  <c r="E9" i="76"/>
  <c r="E10" i="76"/>
  <c r="AO11" i="1"/>
  <c r="F4" i="73"/>
  <c r="B10" i="76"/>
  <c r="F6" i="73"/>
  <c r="D2" i="34"/>
  <c r="E7" i="76"/>
  <c r="E2" i="69"/>
  <c r="F20" i="31"/>
  <c r="AO8" i="1"/>
  <c r="F7" i="73"/>
  <c r="AO10" i="1"/>
  <c r="B7" i="76"/>
  <c r="E8" i="76"/>
  <c r="B13" i="76"/>
  <c r="E2" i="68"/>
  <c r="E12" i="76"/>
  <c r="D2" i="35"/>
  <c r="F3" i="73"/>
  <c r="AO7" i="1"/>
  <c r="G29" i="6" l="1"/>
  <c r="E29" i="6" s="1"/>
  <c r="K15" i="1" s="1"/>
  <c r="K13" i="1"/>
  <c r="F30" i="6"/>
  <c r="AC38" i="39"/>
  <c r="J1" i="73"/>
  <c r="W13" i="33"/>
  <c r="AC13" i="33"/>
  <c r="S31" i="33"/>
  <c r="AA31" i="33"/>
  <c r="U30" i="34"/>
  <c r="AB30" i="34"/>
  <c r="S32" i="34"/>
  <c r="AA32" i="34"/>
  <c r="W46" i="34"/>
  <c r="AC46" i="34"/>
  <c r="W25" i="35"/>
  <c r="AC25" i="35"/>
  <c r="AA35" i="35"/>
  <c r="S35" i="35"/>
  <c r="AB26" i="37"/>
  <c r="U26" i="37"/>
  <c r="AA28" i="37"/>
  <c r="S28" i="37"/>
  <c r="AC38" i="37"/>
  <c r="W38" i="37"/>
  <c r="AZ509" i="3"/>
  <c r="U44" i="21"/>
  <c r="AB44" i="21"/>
  <c r="W25" i="36"/>
  <c r="AC25" i="36"/>
  <c r="C58" i="21"/>
  <c r="D58" i="21" s="1"/>
  <c r="I7" i="21"/>
  <c r="E7" i="21"/>
  <c r="G7" i="21"/>
  <c r="C48" i="35"/>
  <c r="D48" i="35" s="1"/>
  <c r="E48" i="35" s="1"/>
  <c r="G7" i="35"/>
  <c r="I7" i="35"/>
  <c r="E7" i="35"/>
  <c r="F23" i="21"/>
  <c r="AZ328" i="3"/>
  <c r="AZ495" i="3"/>
  <c r="AZ513" i="3"/>
  <c r="AZ517" i="3"/>
  <c r="B71" i="43"/>
  <c r="C21" i="39"/>
  <c r="AC9" i="34"/>
  <c r="W9" i="34"/>
  <c r="W12" i="34"/>
  <c r="AC12" i="34"/>
  <c r="AC36" i="35"/>
  <c r="W36" i="35"/>
  <c r="J12" i="35"/>
  <c r="H12" i="35"/>
  <c r="F12" i="35"/>
  <c r="J23" i="36"/>
  <c r="H23" i="36"/>
  <c r="F23" i="36"/>
  <c r="AC25" i="37"/>
  <c r="W25" i="37"/>
  <c r="AC31" i="37"/>
  <c r="W31" i="37"/>
  <c r="AA40" i="39"/>
  <c r="S40" i="39"/>
  <c r="J37" i="39"/>
  <c r="F37" i="39"/>
  <c r="F36" i="39"/>
  <c r="J36" i="39"/>
  <c r="H48" i="43"/>
  <c r="H61" i="43"/>
  <c r="H59" i="43"/>
  <c r="H51" i="43"/>
  <c r="AC27" i="33"/>
  <c r="D6" i="52"/>
  <c r="H23" i="21"/>
  <c r="AB15" i="21"/>
  <c r="AA23" i="37"/>
  <c r="AC17" i="37"/>
  <c r="H32" i="39"/>
  <c r="U32" i="39" s="1"/>
  <c r="AA29" i="21"/>
  <c r="W17" i="21"/>
  <c r="U27" i="21"/>
  <c r="AA31" i="21"/>
  <c r="W8" i="21"/>
  <c r="U28" i="21"/>
  <c r="S28" i="33"/>
  <c r="U15" i="33"/>
  <c r="AC37" i="33"/>
  <c r="AA11" i="34"/>
  <c r="S37" i="34"/>
  <c r="AC14" i="34"/>
  <c r="AB36" i="34"/>
  <c r="AA30" i="34"/>
  <c r="AB40" i="34"/>
  <c r="AB35" i="37"/>
  <c r="S33" i="37"/>
  <c r="U38" i="37"/>
  <c r="U36" i="37"/>
  <c r="W35" i="35"/>
  <c r="S24" i="35"/>
  <c r="S28" i="36"/>
  <c r="AB13" i="40"/>
  <c r="S33" i="40"/>
  <c r="AC14" i="40"/>
  <c r="W19" i="40"/>
  <c r="H55" i="43"/>
  <c r="H64" i="43"/>
  <c r="H66" i="43"/>
  <c r="H53" i="43"/>
  <c r="H81" i="43"/>
  <c r="C7" i="43"/>
  <c r="AZ17" i="3"/>
  <c r="S8" i="21"/>
  <c r="AA14" i="21"/>
  <c r="AC40" i="21"/>
  <c r="AA43" i="21"/>
  <c r="W19" i="33"/>
  <c r="W43" i="33"/>
  <c r="AA29" i="33"/>
  <c r="S27" i="33"/>
  <c r="S13" i="34"/>
  <c r="U15" i="34"/>
  <c r="U27" i="34"/>
  <c r="S17" i="34"/>
  <c r="AA45" i="34"/>
  <c r="W41" i="34"/>
  <c r="W25" i="34"/>
  <c r="AA12" i="37"/>
  <c r="U9" i="37"/>
  <c r="AC15" i="37"/>
  <c r="S36" i="37"/>
  <c r="AB31" i="37"/>
  <c r="AC9" i="37"/>
  <c r="AB40" i="37"/>
  <c r="AA11" i="35"/>
  <c r="U14" i="35"/>
  <c r="AB16" i="35"/>
  <c r="AB13" i="35"/>
  <c r="S23" i="35"/>
  <c r="W10" i="36"/>
  <c r="AB20" i="36"/>
  <c r="AA22" i="36"/>
  <c r="S25" i="39"/>
  <c r="U25" i="39"/>
  <c r="W42" i="39"/>
  <c r="U21" i="40"/>
  <c r="AB27" i="40"/>
  <c r="AC36" i="40"/>
  <c r="F48" i="9"/>
  <c r="O52" i="9" s="1"/>
  <c r="F32" i="91"/>
  <c r="F60" i="91" s="1"/>
  <c r="F28" i="91"/>
  <c r="C28" i="91" s="1"/>
  <c r="M18" i="91"/>
  <c r="F30" i="83"/>
  <c r="F30" i="82"/>
  <c r="D68" i="81"/>
  <c r="F53" i="81"/>
  <c r="D68" i="80"/>
  <c r="F54" i="80"/>
  <c r="F52" i="80"/>
  <c r="F48" i="80"/>
  <c r="O52" i="80" s="1"/>
  <c r="F54" i="81"/>
  <c r="F52" i="81"/>
  <c r="F48" i="81"/>
  <c r="O52" i="81" s="1"/>
  <c r="F53" i="80"/>
  <c r="C24" i="12"/>
  <c r="C77" i="81"/>
  <c r="C74" i="81" s="1"/>
  <c r="C77" i="80"/>
  <c r="C74" i="80" s="1"/>
  <c r="W28" i="37"/>
  <c r="AC13" i="34"/>
  <c r="H86" i="43"/>
  <c r="H50" i="43"/>
  <c r="J27" i="36"/>
  <c r="U13" i="37"/>
  <c r="W37" i="37"/>
  <c r="U36" i="40"/>
  <c r="BT5" i="3"/>
  <c r="G28" i="6" s="1"/>
  <c r="G30" i="6" s="1"/>
  <c r="AC5" i="3"/>
  <c r="AZ373" i="3"/>
  <c r="AZ382" i="3"/>
  <c r="AZ371" i="3"/>
  <c r="AZ364" i="3"/>
  <c r="AZ356" i="3"/>
  <c r="AZ342" i="3"/>
  <c r="AZ336" i="3"/>
  <c r="AZ321" i="3"/>
  <c r="AZ304" i="3"/>
  <c r="AZ394" i="3"/>
  <c r="AZ325" i="3"/>
  <c r="I7" i="36"/>
  <c r="E7" i="36"/>
  <c r="G7" i="36"/>
  <c r="W8" i="39"/>
  <c r="AA25" i="21"/>
  <c r="U12" i="37"/>
  <c r="W40" i="37"/>
  <c r="AC46" i="21"/>
  <c r="W44" i="21"/>
  <c r="W44" i="33"/>
  <c r="AC31" i="33"/>
  <c r="AC36" i="34"/>
  <c r="AC33" i="36"/>
  <c r="AA41" i="34"/>
  <c r="S21" i="40"/>
  <c r="AZ507" i="3"/>
  <c r="AZ527" i="3"/>
  <c r="AZ535" i="3"/>
  <c r="AZ543" i="3"/>
  <c r="AZ559" i="3"/>
  <c r="AZ526" i="3"/>
  <c r="AZ566" i="3"/>
  <c r="AZ574" i="3"/>
  <c r="AZ582" i="3"/>
  <c r="W44" i="39"/>
  <c r="AC28" i="21"/>
  <c r="W29" i="33"/>
  <c r="S45" i="33"/>
  <c r="AC30" i="34"/>
  <c r="W11" i="35"/>
  <c r="S11" i="36"/>
  <c r="AB26" i="33"/>
  <c r="AB11" i="35"/>
  <c r="U46" i="33"/>
  <c r="F14" i="37"/>
  <c r="H28" i="37"/>
  <c r="H25" i="36"/>
  <c r="H25" i="35"/>
  <c r="F27" i="21"/>
  <c r="J13" i="21"/>
  <c r="U23" i="40"/>
  <c r="S15" i="34"/>
  <c r="H33" i="35"/>
  <c r="AB33" i="35" s="1"/>
  <c r="F16" i="35"/>
  <c r="S16" i="35" s="1"/>
  <c r="J16" i="35"/>
  <c r="AC16" i="35" s="1"/>
  <c r="AA12" i="34"/>
  <c r="W31" i="40"/>
  <c r="S34" i="34"/>
  <c r="W22" i="35"/>
  <c r="AA31" i="36"/>
  <c r="H36" i="39"/>
  <c r="S41" i="21"/>
  <c r="B77" i="43"/>
  <c r="C25" i="39"/>
  <c r="F9" i="34"/>
  <c r="H12" i="34"/>
  <c r="AA40" i="33"/>
  <c r="S40" i="33"/>
  <c r="AA31" i="35"/>
  <c r="S31" i="35"/>
  <c r="W31" i="35"/>
  <c r="AC31" i="35"/>
  <c r="G551" i="3"/>
  <c r="BL550" i="3"/>
  <c r="BA550" i="3"/>
  <c r="AZ550" i="3" s="1"/>
  <c r="BL586" i="3"/>
  <c r="AZ586" i="3" s="1"/>
  <c r="F81" i="21"/>
  <c r="G81" i="21" s="1"/>
  <c r="H19" i="21"/>
  <c r="G578" i="3"/>
  <c r="G562" i="3"/>
  <c r="BA551" i="3"/>
  <c r="AZ551" i="3" s="1"/>
  <c r="BL548" i="3"/>
  <c r="AZ548" i="3" s="1"/>
  <c r="E19" i="83"/>
  <c r="E19" i="82"/>
  <c r="BG5" i="3"/>
  <c r="BE5" i="3"/>
  <c r="BC5" i="3"/>
  <c r="D78" i="9"/>
  <c r="D93" i="81"/>
  <c r="D78" i="81"/>
  <c r="D93" i="80"/>
  <c r="D78" i="80"/>
  <c r="F12" i="1"/>
  <c r="G12" i="1" s="1"/>
  <c r="F11" i="1"/>
  <c r="AZ402" i="3"/>
  <c r="AZ406" i="3"/>
  <c r="M20" i="15"/>
  <c r="F34" i="91"/>
  <c r="F62" i="91" s="1"/>
  <c r="M20" i="91"/>
  <c r="C5" i="11"/>
  <c r="BH5" i="3"/>
  <c r="BF5" i="3"/>
  <c r="BB5" i="3"/>
  <c r="G7" i="12"/>
  <c r="D3" i="92"/>
  <c r="BL15" i="3"/>
  <c r="AZ15" i="3" s="1"/>
  <c r="G41" i="69"/>
  <c r="G41" i="83"/>
  <c r="G41" i="82"/>
  <c r="G22" i="83"/>
  <c r="G22" i="82"/>
  <c r="F10" i="1"/>
  <c r="F9" i="1"/>
  <c r="G9" i="1" s="1"/>
  <c r="A15" i="62"/>
  <c r="B61" i="72" s="1"/>
  <c r="G400" i="3"/>
  <c r="BL400" i="3"/>
  <c r="AZ400" i="3" s="1"/>
  <c r="BA403" i="3"/>
  <c r="BL403" i="3"/>
  <c r="BA404" i="3"/>
  <c r="AZ404" i="3" s="1"/>
  <c r="BL408" i="3"/>
  <c r="AZ408" i="3" s="1"/>
  <c r="BA409" i="3"/>
  <c r="AZ409" i="3" s="1"/>
  <c r="AZ423" i="3"/>
  <c r="AZ442" i="3"/>
  <c r="AZ446" i="3"/>
  <c r="AZ481" i="3"/>
  <c r="AZ484" i="3"/>
  <c r="AZ228" i="3"/>
  <c r="AZ252" i="3"/>
  <c r="AZ264" i="3"/>
  <c r="AZ292" i="3"/>
  <c r="AZ113" i="3"/>
  <c r="AZ129" i="3"/>
  <c r="G410" i="3"/>
  <c r="BL410" i="3"/>
  <c r="BA411" i="3"/>
  <c r="AZ411" i="3" s="1"/>
  <c r="BA412" i="3"/>
  <c r="AZ412" i="3" s="1"/>
  <c r="G415" i="3"/>
  <c r="BL415" i="3"/>
  <c r="AZ415" i="3" s="1"/>
  <c r="BA416" i="3"/>
  <c r="AZ416" i="3" s="1"/>
  <c r="BA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BA212" i="3"/>
  <c r="AZ212" i="3" s="1"/>
  <c r="BA213" i="3"/>
  <c r="AZ213" i="3" s="1"/>
  <c r="BL214" i="3"/>
  <c r="AZ214" i="3" s="1"/>
  <c r="G217" i="3"/>
  <c r="BL217" i="3"/>
  <c r="AZ217" i="3" s="1"/>
  <c r="BA219" i="3"/>
  <c r="AZ219" i="3" s="1"/>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G252" i="3"/>
  <c r="BL252" i="3"/>
  <c r="BL254" i="3"/>
  <c r="AZ254" i="3" s="1"/>
  <c r="BA255" i="3"/>
  <c r="AZ255" i="3" s="1"/>
  <c r="BA256" i="3"/>
  <c r="AZ256" i="3" s="1"/>
  <c r="BL256" i="3"/>
  <c r="G259" i="3"/>
  <c r="G260" i="3"/>
  <c r="BL260" i="3"/>
  <c r="AZ260" i="3" s="1"/>
  <c r="G263" i="3"/>
  <c r="G264" i="3"/>
  <c r="BL264" i="3"/>
  <c r="G267" i="3"/>
  <c r="BL267" i="3"/>
  <c r="AZ267" i="3" s="1"/>
  <c r="BL269" i="3"/>
  <c r="AZ269" i="3" s="1"/>
  <c r="BA270" i="3"/>
  <c r="AZ270" i="3" s="1"/>
  <c r="BA271" i="3"/>
  <c r="AZ271" i="3" s="1"/>
  <c r="BL273" i="3"/>
  <c r="AZ273" i="3" s="1"/>
  <c r="BA274" i="3"/>
  <c r="AZ274" i="3" s="1"/>
  <c r="BA275" i="3"/>
  <c r="AZ275" i="3" s="1"/>
  <c r="BL278" i="3"/>
  <c r="AZ278" i="3" s="1"/>
  <c r="BL280" i="3"/>
  <c r="AZ280" i="3" s="1"/>
  <c r="G283" i="3"/>
  <c r="G284" i="3"/>
  <c r="BL284" i="3"/>
  <c r="AZ284" i="3" s="1"/>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AZ126" i="3" s="1"/>
  <c r="BA128" i="3"/>
  <c r="AZ128" i="3" s="1"/>
  <c r="BL129" i="3"/>
  <c r="AZ141" i="3"/>
  <c r="AZ56" i="3"/>
  <c r="AZ73"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C7" i="92"/>
  <c r="J51" i="91"/>
  <c r="M47" i="81"/>
  <c r="M47" i="80"/>
  <c r="E59" i="43"/>
  <c r="B57" i="43" s="1"/>
  <c r="I15" i="66"/>
  <c r="D1" i="66" s="1"/>
  <c r="E10" i="66" s="1"/>
  <c r="C32" i="66"/>
  <c r="E26" i="66" s="1"/>
  <c r="W21" i="33"/>
  <c r="U21" i="34"/>
  <c r="C61" i="71"/>
  <c r="D62" i="71"/>
  <c r="N61" i="71"/>
  <c r="N60" i="71"/>
  <c r="X20" i="71"/>
  <c r="X22" i="71"/>
  <c r="C25" i="71"/>
  <c r="Y21" i="71"/>
  <c r="Z21" i="71" s="1"/>
  <c r="Y23" i="71"/>
  <c r="Z23" i="71" s="1"/>
  <c r="F25" i="71"/>
  <c r="F26" i="71" s="1"/>
  <c r="F27" i="71" s="1"/>
  <c r="V27" i="71" s="1"/>
  <c r="AB24" i="71"/>
  <c r="AA20" i="71"/>
  <c r="AA22" i="71"/>
  <c r="C29" i="71"/>
  <c r="Y28" i="71"/>
  <c r="Z28" i="71" s="1"/>
  <c r="F29" i="71"/>
  <c r="F30" i="71" s="1"/>
  <c r="F31" i="71" s="1"/>
  <c r="V31" i="71" s="1"/>
  <c r="AB28" i="71"/>
  <c r="AB29" i="71"/>
  <c r="AA29" i="71"/>
  <c r="AA30" i="71"/>
  <c r="AA31" i="71"/>
  <c r="AB33" i="71"/>
  <c r="AB32" i="71"/>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BA112" i="3"/>
  <c r="AZ112" i="3" s="1"/>
  <c r="G1" i="91"/>
  <c r="J51" i="15"/>
  <c r="C29" i="39"/>
  <c r="B66" i="43"/>
  <c r="O62" i="71"/>
  <c r="AB20" i="71"/>
  <c r="F23" i="71"/>
  <c r="F22" i="71" s="1"/>
  <c r="F21" i="71" s="1"/>
  <c r="AB23" i="71"/>
  <c r="AA25" i="71"/>
  <c r="B33" i="71"/>
  <c r="B34" i="71" s="1"/>
  <c r="B35" i="71" s="1"/>
  <c r="S35" i="71" s="1"/>
  <c r="X32" i="71"/>
  <c r="B38" i="71"/>
  <c r="B39" i="71" s="1"/>
  <c r="S39" i="71" s="1"/>
  <c r="D63" i="71"/>
  <c r="E31" i="71"/>
  <c r="U31" i="71" s="1"/>
  <c r="B31" i="71"/>
  <c r="S31" i="71" s="1"/>
  <c r="B27" i="71"/>
  <c r="S27" i="71" s="1"/>
  <c r="E26" i="71"/>
  <c r="E27" i="71" s="1"/>
  <c r="U27" i="71" s="1"/>
  <c r="X25" i="71"/>
  <c r="AB25" i="71"/>
  <c r="Y26" i="71"/>
  <c r="Z26" i="71" s="1"/>
  <c r="AB26" i="71"/>
  <c r="AB30" i="71"/>
  <c r="F34" i="71"/>
  <c r="F35" i="71" s="1"/>
  <c r="V35" i="71" s="1"/>
  <c r="B54" i="71"/>
  <c r="B55" i="71" s="1"/>
  <c r="S55" i="71" s="1"/>
  <c r="AE10" i="43"/>
  <c r="M56" i="81"/>
  <c r="J56" i="81"/>
  <c r="J57" i="81" s="1"/>
  <c r="J59" i="81" s="1"/>
  <c r="J61" i="81" s="1"/>
  <c r="M56" i="80"/>
  <c r="J56" i="80"/>
  <c r="J57" i="80" s="1"/>
  <c r="J59" i="80" s="1"/>
  <c r="J61" i="80" s="1"/>
  <c r="N56" i="81"/>
  <c r="K56" i="81"/>
  <c r="N56" i="80"/>
  <c r="K56" i="80"/>
  <c r="V19" i="71"/>
  <c r="M12" i="1"/>
  <c r="O12" i="1" s="1"/>
  <c r="K5" i="4"/>
  <c r="B47" i="48" s="1"/>
  <c r="K9" i="1"/>
  <c r="M9" i="1" s="1"/>
  <c r="O9" i="1" s="1"/>
  <c r="P9" i="1" s="1"/>
  <c r="K10" i="1"/>
  <c r="M10" i="1" s="1"/>
  <c r="O10" i="1" s="1"/>
  <c r="P10" i="1" s="1"/>
  <c r="B10" i="1"/>
  <c r="E10" i="1" s="1"/>
  <c r="D7" i="12"/>
  <c r="F3" i="35"/>
  <c r="G1" i="83"/>
  <c r="G1" i="82"/>
  <c r="G1" i="68"/>
  <c r="K6" i="1"/>
  <c r="M6" i="1" s="1"/>
  <c r="O6" i="1" s="1"/>
  <c r="AA16" i="35"/>
  <c r="S27" i="35"/>
  <c r="P61" i="15"/>
  <c r="AC35" i="21"/>
  <c r="U32" i="21"/>
  <c r="W23" i="21"/>
  <c r="AC21" i="21"/>
  <c r="U21" i="21"/>
  <c r="W42" i="21"/>
  <c r="H42" i="21"/>
  <c r="F42" i="21"/>
  <c r="AA42" i="21" s="1"/>
  <c r="F32" i="21"/>
  <c r="AA32" i="21" s="1"/>
  <c r="H113" i="21"/>
  <c r="H37" i="21"/>
  <c r="F37" i="21"/>
  <c r="J37" i="21"/>
  <c r="W37" i="21" s="1"/>
  <c r="W32" i="21"/>
  <c r="S35" i="21"/>
  <c r="AC34" i="21"/>
  <c r="AA10" i="21"/>
  <c r="AB9" i="21"/>
  <c r="S28" i="35"/>
  <c r="U28" i="35"/>
  <c r="W28" i="35"/>
  <c r="AB27" i="35"/>
  <c r="AC27" i="35"/>
  <c r="J33" i="35"/>
  <c r="AA33" i="35"/>
  <c r="W32" i="35"/>
  <c r="U30" i="35"/>
  <c r="H87" i="35"/>
  <c r="I87" i="35" s="1"/>
  <c r="J87" i="35" s="1"/>
  <c r="K87" i="35" s="1"/>
  <c r="L87" i="35" s="1"/>
  <c r="M87" i="35" s="1"/>
  <c r="H29" i="35"/>
  <c r="J29" i="35"/>
  <c r="F29" i="35"/>
  <c r="AC20" i="35"/>
  <c r="S18" i="35"/>
  <c r="W16" i="35"/>
  <c r="AC14" i="35"/>
  <c r="S14" i="35"/>
  <c r="AB26" i="35"/>
  <c r="S26" i="35"/>
  <c r="AC9" i="35"/>
  <c r="AC8" i="35"/>
  <c r="H9" i="35"/>
  <c r="AC10" i="35"/>
  <c r="AA10" i="35"/>
  <c r="E32" i="6"/>
  <c r="K7" i="1"/>
  <c r="M18" i="80"/>
  <c r="B118" i="80" s="1"/>
  <c r="AB27" i="39"/>
  <c r="F124" i="39"/>
  <c r="G124" i="39" s="1"/>
  <c r="F41" i="39"/>
  <c r="S41" i="39" s="1"/>
  <c r="J32" i="39"/>
  <c r="W32" i="39" s="1"/>
  <c r="F32" i="39"/>
  <c r="J15" i="39"/>
  <c r="W15" i="39" s="1"/>
  <c r="F15" i="39"/>
  <c r="W14" i="39"/>
  <c r="U38" i="39"/>
  <c r="G109" i="39"/>
  <c r="F34" i="39" s="1"/>
  <c r="AA34" i="39" s="1"/>
  <c r="H76" i="43"/>
  <c r="AB23" i="39"/>
  <c r="AA21" i="39"/>
  <c r="U17" i="39"/>
  <c r="AB15" i="39"/>
  <c r="G10" i="1"/>
  <c r="G7" i="1"/>
  <c r="G11" i="1"/>
  <c r="S9" i="39"/>
  <c r="W9" i="39"/>
  <c r="U9" i="39"/>
  <c r="AC32" i="39"/>
  <c r="AB32" i="39"/>
  <c r="W39" i="39"/>
  <c r="AA39" i="39"/>
  <c r="S38" i="39"/>
  <c r="S14" i="39"/>
  <c r="U21" i="39"/>
  <c r="AC15" i="39"/>
  <c r="AB8" i="39"/>
  <c r="AB14" i="39"/>
  <c r="U14" i="39"/>
  <c r="AA13" i="39"/>
  <c r="S13" i="39"/>
  <c r="AC13" i="39"/>
  <c r="AC26" i="35"/>
  <c r="A24" i="51"/>
  <c r="B18" i="72" s="1"/>
  <c r="C51" i="10"/>
  <c r="A13" i="51" s="1"/>
  <c r="B11" i="72" s="1"/>
  <c r="A118" i="81"/>
  <c r="A2" i="81"/>
  <c r="A118" i="80"/>
  <c r="A2" i="80"/>
  <c r="F32" i="67"/>
  <c r="F60" i="67" s="1"/>
  <c r="F28" i="15"/>
  <c r="C28" i="15" s="1"/>
  <c r="F28" i="67"/>
  <c r="C28" i="67" s="1"/>
  <c r="D68" i="9"/>
  <c r="F32" i="15"/>
  <c r="F60" i="15" s="1"/>
  <c r="F52" i="9"/>
  <c r="F30" i="68"/>
  <c r="F54" i="9"/>
  <c r="M18" i="15"/>
  <c r="F30" i="69"/>
  <c r="C48" i="69" s="1"/>
  <c r="M18" i="67"/>
  <c r="F31" i="12"/>
  <c r="F30" i="11"/>
  <c r="C48" i="11" s="1"/>
  <c r="F53" i="9"/>
  <c r="C40" i="69"/>
  <c r="C21" i="69"/>
  <c r="D22" i="67"/>
  <c r="G8" i="1"/>
  <c r="G6" i="1"/>
  <c r="G1" i="67"/>
  <c r="G1" i="15"/>
  <c r="M11" i="1"/>
  <c r="O11" i="1" s="1"/>
  <c r="P11" i="1" s="1"/>
  <c r="N2" i="43"/>
  <c r="N7" i="43"/>
  <c r="M8" i="43"/>
  <c r="M2" i="43"/>
  <c r="N11" i="43"/>
  <c r="M5" i="43"/>
  <c r="M12" i="43"/>
  <c r="M9" i="43"/>
  <c r="N3" i="43"/>
  <c r="H78" i="43"/>
  <c r="M1" i="43"/>
  <c r="M11" i="43"/>
  <c r="E17" i="43"/>
  <c r="O17" i="43"/>
  <c r="N17" i="43"/>
  <c r="H74" i="43"/>
  <c r="H70" i="43"/>
  <c r="H77" i="43"/>
  <c r="H72" i="43"/>
  <c r="F38" i="43"/>
  <c r="C6" i="43"/>
  <c r="F34" i="43"/>
  <c r="F33" i="43"/>
  <c r="H71" i="43"/>
  <c r="H84" i="43"/>
  <c r="H85" i="43"/>
  <c r="H82" i="43"/>
  <c r="F35" i="43"/>
  <c r="F39" i="43"/>
  <c r="F36" i="43"/>
  <c r="A118" i="9"/>
  <c r="A2" i="9"/>
  <c r="A4" i="52"/>
  <c r="B41" i="72" s="1"/>
  <c r="D68" i="39"/>
  <c r="C70" i="39"/>
  <c r="B34" i="72"/>
  <c r="D17" i="53"/>
  <c r="B36" i="72" s="1"/>
  <c r="AZ503" i="3"/>
  <c r="E14" i="71"/>
  <c r="E13" i="71" s="1"/>
  <c r="E12" i="71" s="1"/>
  <c r="E11" i="71" s="1"/>
  <c r="V15" i="71"/>
  <c r="D124" i="9"/>
  <c r="AZ557" i="3"/>
  <c r="AZ567" i="3"/>
  <c r="AZ571" i="3"/>
  <c r="AZ575" i="3"/>
  <c r="AZ579" i="3"/>
  <c r="S13" i="35"/>
  <c r="AA13" i="35"/>
  <c r="U30" i="21"/>
  <c r="AB30" i="21"/>
  <c r="AB14" i="37"/>
  <c r="U14" i="37"/>
  <c r="AC32" i="40"/>
  <c r="W32" i="40"/>
  <c r="AB27" i="36"/>
  <c r="U12" i="39"/>
  <c r="AA27" i="40"/>
  <c r="AA34" i="33"/>
  <c r="H75" i="43"/>
  <c r="AZ581" i="3"/>
  <c r="U31" i="34"/>
  <c r="AC31" i="34"/>
  <c r="W31" i="34"/>
  <c r="S38" i="40"/>
  <c r="AA38" i="40"/>
  <c r="AZ398" i="3"/>
  <c r="AZ405" i="3"/>
  <c r="AZ407" i="3"/>
  <c r="AZ410" i="3"/>
  <c r="AZ421" i="3"/>
  <c r="AZ440" i="3"/>
  <c r="AZ453" i="3"/>
  <c r="AZ455" i="3"/>
  <c r="AZ460" i="3"/>
  <c r="AZ211" i="3"/>
  <c r="S28" i="34"/>
  <c r="S41" i="33"/>
  <c r="AB23" i="34"/>
  <c r="U33" i="35"/>
  <c r="S34" i="21"/>
  <c r="W33" i="33"/>
  <c r="U35" i="33"/>
  <c r="S9" i="33"/>
  <c r="F26" i="33"/>
  <c r="H12" i="21"/>
  <c r="J12" i="21"/>
  <c r="J23" i="35"/>
  <c r="H12" i="36"/>
  <c r="H24" i="36"/>
  <c r="H38" i="40"/>
  <c r="J38" i="40"/>
  <c r="H39" i="40"/>
  <c r="AZ425" i="3"/>
  <c r="AZ432" i="3"/>
  <c r="AZ464" i="3"/>
  <c r="AZ467" i="3"/>
  <c r="AZ474" i="3"/>
  <c r="AZ480" i="3"/>
  <c r="AZ482" i="3"/>
  <c r="AZ486" i="3"/>
  <c r="AZ488" i="3"/>
  <c r="AZ220" i="3"/>
  <c r="AZ225" i="3"/>
  <c r="AZ239" i="3"/>
  <c r="AZ272" i="3"/>
  <c r="AZ276" i="3"/>
  <c r="AZ277" i="3"/>
  <c r="AZ289" i="3"/>
  <c r="AZ294" i="3"/>
  <c r="AZ300" i="3"/>
  <c r="AZ118" i="3"/>
  <c r="AZ121" i="3"/>
  <c r="AZ134" i="3"/>
  <c r="AZ137" i="3"/>
  <c r="AZ145" i="3"/>
  <c r="AZ161" i="3"/>
  <c r="AZ177" i="3"/>
  <c r="AZ193" i="3"/>
  <c r="AZ34" i="3"/>
  <c r="AZ38" i="3"/>
  <c r="AZ44" i="3"/>
  <c r="AZ48" i="3"/>
  <c r="AZ60" i="3"/>
  <c r="AZ64" i="3"/>
  <c r="AZ78" i="3"/>
  <c r="AZ91" i="3"/>
  <c r="AZ108" i="3"/>
  <c r="M100" i="43"/>
  <c r="I100" i="43"/>
  <c r="E100" i="43"/>
  <c r="D100" i="43"/>
  <c r="C40" i="68"/>
  <c r="C21" i="68"/>
  <c r="AA5" i="71"/>
  <c r="AA34" i="71"/>
  <c r="V63" i="71"/>
  <c r="F62" i="71"/>
  <c r="X16" i="71"/>
  <c r="AA13" i="71"/>
  <c r="X13" i="71"/>
  <c r="D22" i="71"/>
  <c r="AB22" i="71"/>
  <c r="S23" i="71"/>
  <c r="AA24" i="71"/>
  <c r="Y27" i="71"/>
  <c r="Z27" i="71" s="1"/>
  <c r="AB27" i="71"/>
  <c r="Y30" i="71"/>
  <c r="Z30" i="71" s="1"/>
  <c r="Y31" i="71"/>
  <c r="Z31" i="71" s="1"/>
  <c r="Y5" i="71"/>
  <c r="Z5" i="71" s="1"/>
  <c r="Y34" i="71"/>
  <c r="Z34" i="71" s="1"/>
  <c r="V75" i="71"/>
  <c r="F74" i="71"/>
  <c r="F73" i="71" s="1"/>
  <c r="Z12" i="43"/>
  <c r="Z10" i="43"/>
  <c r="AD12" i="43"/>
  <c r="AD10" i="43"/>
  <c r="AF12" i="43"/>
  <c r="AF10" i="43"/>
  <c r="AH12" i="43"/>
  <c r="AH10" i="43"/>
  <c r="Y16" i="71"/>
  <c r="Z16" i="71" s="1"/>
  <c r="X5" i="71"/>
  <c r="AC12" i="43"/>
  <c r="AC10" i="43"/>
  <c r="AG12" i="43"/>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D23" i="67"/>
  <c r="G25" i="12"/>
  <c r="G41" i="11"/>
  <c r="G27" i="12"/>
  <c r="G41" i="68"/>
  <c r="K59" i="34"/>
  <c r="J46" i="36"/>
  <c r="E52" i="37"/>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B10" i="70"/>
  <c r="B6" i="70"/>
  <c r="B20" i="31"/>
  <c r="B21" i="31" s="1"/>
  <c r="I1" i="73"/>
  <c r="B39" i="1" s="1"/>
  <c r="B7" i="70"/>
  <c r="B11" i="70"/>
  <c r="B8" i="70"/>
  <c r="C36" i="83"/>
  <c r="D4" i="73"/>
  <c r="L47" i="15"/>
  <c r="M24" i="67"/>
  <c r="D5" i="73"/>
  <c r="M27" i="15"/>
  <c r="M28" i="15"/>
  <c r="M22" i="67"/>
  <c r="F36" i="67"/>
  <c r="F13" i="67"/>
  <c r="F9" i="15"/>
  <c r="M23" i="15"/>
  <c r="F8" i="67"/>
  <c r="D7" i="73"/>
  <c r="F16" i="15"/>
  <c r="F43" i="15"/>
  <c r="F6" i="15"/>
  <c r="D6" i="73"/>
  <c r="M29" i="15"/>
  <c r="J15" i="15"/>
  <c r="M9" i="15"/>
  <c r="F37" i="15"/>
  <c r="L47" i="67"/>
  <c r="F26" i="15"/>
  <c r="F43" i="96"/>
  <c r="L48" i="67"/>
  <c r="M8" i="15"/>
  <c r="F38" i="15"/>
  <c r="L48" i="15"/>
  <c r="F13" i="15"/>
  <c r="M28" i="67"/>
  <c r="F42" i="67"/>
  <c r="M26" i="67"/>
  <c r="M22" i="15"/>
  <c r="F7" i="96"/>
  <c r="C36" i="82"/>
  <c r="F7" i="67"/>
  <c r="F42" i="15"/>
  <c r="M6" i="15"/>
  <c r="F7" i="15"/>
  <c r="F38" i="67"/>
  <c r="D3" i="73"/>
  <c r="F40" i="15"/>
  <c r="F27" i="83"/>
  <c r="F8" i="15"/>
  <c r="M29" i="96"/>
  <c r="F36" i="15"/>
  <c r="M6" i="67"/>
  <c r="M29" i="67"/>
  <c r="F27" i="82"/>
  <c r="M26" i="15"/>
  <c r="C76" i="15"/>
  <c r="D9" i="82"/>
  <c r="M24" i="15"/>
  <c r="F71" i="96" l="1"/>
  <c r="M7" i="96"/>
  <c r="J6" i="96" s="1"/>
  <c r="J18" i="96" s="1"/>
  <c r="C6" i="96"/>
  <c r="F50" i="96"/>
  <c r="C49" i="96" s="1"/>
  <c r="M13" i="1"/>
  <c r="F11" i="96"/>
  <c r="M11" i="96"/>
  <c r="K1" i="73"/>
  <c r="E5" i="6"/>
  <c r="D9" i="69" s="1"/>
  <c r="C9" i="69" s="1"/>
  <c r="AP9" i="1"/>
  <c r="AP6" i="1"/>
  <c r="E8" i="6"/>
  <c r="K46" i="36"/>
  <c r="L59" i="34"/>
  <c r="M59" i="34" s="1"/>
  <c r="N59" i="34" s="1"/>
  <c r="O59" i="34" s="1"/>
  <c r="F52" i="37"/>
  <c r="G52" i="37" s="1"/>
  <c r="H52" i="37" s="1"/>
  <c r="I52" i="37" s="1"/>
  <c r="J52" i="37" s="1"/>
  <c r="K52" i="37" s="1"/>
  <c r="L52" i="37" s="1"/>
  <c r="M52" i="37" s="1"/>
  <c r="N52" i="37" s="1"/>
  <c r="O52" i="37" s="1"/>
  <c r="E28" i="6"/>
  <c r="K14" i="1" s="1"/>
  <c r="D29" i="71"/>
  <c r="C30" i="71"/>
  <c r="C58" i="92"/>
  <c r="D58" i="92" s="1"/>
  <c r="E58" i="92" s="1"/>
  <c r="F58" i="92" s="1"/>
  <c r="G58" i="92" s="1"/>
  <c r="H58" i="92" s="1"/>
  <c r="I58" i="92" s="1"/>
  <c r="J58" i="92" s="1"/>
  <c r="K58" i="92" s="1"/>
  <c r="L58" i="92" s="1"/>
  <c r="M58" i="92" s="1"/>
  <c r="N58" i="92" s="1"/>
  <c r="O58" i="92" s="1"/>
  <c r="G7" i="92"/>
  <c r="I7" i="92"/>
  <c r="J7" i="92" s="1"/>
  <c r="E7" i="92"/>
  <c r="AA9" i="34"/>
  <c r="S9" i="34"/>
  <c r="AB36" i="39"/>
  <c r="U36" i="39"/>
  <c r="AC13" i="21"/>
  <c r="W13" i="21"/>
  <c r="AB25" i="35"/>
  <c r="U25" i="35"/>
  <c r="U28" i="37"/>
  <c r="AB28" i="37"/>
  <c r="F48" i="82"/>
  <c r="C30" i="82"/>
  <c r="C48" i="82"/>
  <c r="AC36" i="39"/>
  <c r="W36" i="39"/>
  <c r="AA37" i="39"/>
  <c r="S37" i="39"/>
  <c r="S23" i="36"/>
  <c r="AA23" i="36"/>
  <c r="AC23" i="36"/>
  <c r="W23" i="36"/>
  <c r="AB12" i="35"/>
  <c r="U12" i="35"/>
  <c r="S23" i="21"/>
  <c r="AA23" i="21"/>
  <c r="BL5" i="3"/>
  <c r="C26" i="71"/>
  <c r="D25" i="71"/>
  <c r="O61" i="71"/>
  <c r="O60" i="71"/>
  <c r="D61" i="71"/>
  <c r="AZ462" i="3"/>
  <c r="AZ403" i="3"/>
  <c r="U19" i="21"/>
  <c r="AB19" i="21"/>
  <c r="AB12" i="34"/>
  <c r="U12" i="34"/>
  <c r="AA27" i="21"/>
  <c r="S27" i="21"/>
  <c r="AB25" i="36"/>
  <c r="U25" i="36"/>
  <c r="S14" i="37"/>
  <c r="AA14" i="37"/>
  <c r="W27" i="36"/>
  <c r="AC27" i="36"/>
  <c r="F48" i="83"/>
  <c r="C30" i="83"/>
  <c r="C48" i="83"/>
  <c r="AB23" i="21"/>
  <c r="U23" i="21"/>
  <c r="S36" i="39"/>
  <c r="AA36" i="39"/>
  <c r="W37" i="39"/>
  <c r="AC37" i="39"/>
  <c r="AB23" i="36"/>
  <c r="U23" i="36"/>
  <c r="AA12" i="35"/>
  <c r="S12" i="35"/>
  <c r="AC12" i="35"/>
  <c r="W12" i="35"/>
  <c r="F11" i="91"/>
  <c r="M11" i="91"/>
  <c r="AP10" i="1"/>
  <c r="P6" i="1"/>
  <c r="F45" i="83"/>
  <c r="C47" i="83"/>
  <c r="D45" i="83" s="1"/>
  <c r="C47" i="82"/>
  <c r="D45" i="82" s="1"/>
  <c r="F45" i="82"/>
  <c r="C9" i="82"/>
  <c r="L19" i="6"/>
  <c r="L22" i="6"/>
  <c r="S42" i="21"/>
  <c r="AA41" i="39"/>
  <c r="S32" i="21"/>
  <c r="U42" i="21"/>
  <c r="AB42" i="21"/>
  <c r="U37" i="21"/>
  <c r="AB37" i="21"/>
  <c r="AC37" i="21"/>
  <c r="AA37" i="21"/>
  <c r="S37" i="21"/>
  <c r="AC33" i="35"/>
  <c r="W33" i="35"/>
  <c r="S29" i="35"/>
  <c r="AA29" i="35"/>
  <c r="AB29" i="35"/>
  <c r="U29" i="35"/>
  <c r="W29" i="35"/>
  <c r="AC29" i="35"/>
  <c r="AB9" i="35"/>
  <c r="U9" i="35"/>
  <c r="H124" i="39"/>
  <c r="I124" i="39" s="1"/>
  <c r="J124" i="39" s="1"/>
  <c r="K124" i="39" s="1"/>
  <c r="L124" i="39" s="1"/>
  <c r="M124" i="39" s="1"/>
  <c r="J41" i="39"/>
  <c r="M7" i="1"/>
  <c r="AA32" i="39"/>
  <c r="S32" i="39"/>
  <c r="AA15" i="39"/>
  <c r="S15" i="39"/>
  <c r="S34" i="39"/>
  <c r="H109" i="39"/>
  <c r="I109" i="39" s="1"/>
  <c r="J109" i="39" s="1"/>
  <c r="K109" i="39" s="1"/>
  <c r="L109" i="39" s="1"/>
  <c r="M109" i="39" s="1"/>
  <c r="H34" i="39"/>
  <c r="J34" i="39"/>
  <c r="G17" i="43"/>
  <c r="C16" i="43" s="1"/>
  <c r="C5" i="43" s="1"/>
  <c r="C30" i="11"/>
  <c r="F48" i="68"/>
  <c r="C30" i="68"/>
  <c r="C48" i="68"/>
  <c r="F48" i="69"/>
  <c r="C30" i="69"/>
  <c r="C6" i="15"/>
  <c r="C32" i="15" s="1"/>
  <c r="F51" i="15"/>
  <c r="F66" i="15"/>
  <c r="F68" i="15"/>
  <c r="F71" i="15"/>
  <c r="C27" i="15"/>
  <c r="Q71" i="15"/>
  <c r="F64" i="15"/>
  <c r="F50" i="15"/>
  <c r="M7" i="15"/>
  <c r="J6" i="15" s="1"/>
  <c r="J18" i="15" s="1"/>
  <c r="F65" i="15"/>
  <c r="L58" i="15"/>
  <c r="Q73" i="15" s="1"/>
  <c r="N59" i="15"/>
  <c r="I54" i="15"/>
  <c r="J57" i="15"/>
  <c r="J55" i="15" s="1"/>
  <c r="J58" i="15" s="1"/>
  <c r="Q50" i="15" s="1"/>
  <c r="M7" i="67"/>
  <c r="F50" i="67"/>
  <c r="F66" i="67"/>
  <c r="L56" i="67"/>
  <c r="J57" i="67"/>
  <c r="J55" i="67" s="1"/>
  <c r="J58" i="67" s="1"/>
  <c r="Q50" i="67" s="1"/>
  <c r="I54" i="67"/>
  <c r="F70" i="67"/>
  <c r="L59" i="67"/>
  <c r="Q74" i="67" s="1"/>
  <c r="N59" i="67"/>
  <c r="L58" i="67"/>
  <c r="Q73" i="67" s="1"/>
  <c r="F64" i="67"/>
  <c r="F51" i="67"/>
  <c r="D5" i="43"/>
  <c r="D70" i="39"/>
  <c r="E68" i="39"/>
  <c r="B18" i="71"/>
  <c r="B17" i="71" s="1"/>
  <c r="B16" i="71" s="1"/>
  <c r="B15" i="71" s="1"/>
  <c r="S19" i="71"/>
  <c r="C18" i="71"/>
  <c r="D19" i="71"/>
  <c r="U19" i="71" s="1"/>
  <c r="T19" i="71"/>
  <c r="AC38" i="40"/>
  <c r="W38" i="40"/>
  <c r="AB24" i="36"/>
  <c r="U24" i="36"/>
  <c r="AC23" i="35"/>
  <c r="W23" i="35"/>
  <c r="AB12" i="21"/>
  <c r="U12" i="21"/>
  <c r="D10" i="52"/>
  <c r="D125" i="9"/>
  <c r="D11" i="52" s="1"/>
  <c r="H14" i="74"/>
  <c r="B7" i="74" s="1"/>
  <c r="F61" i="71"/>
  <c r="Q62" i="71"/>
  <c r="AB39" i="40"/>
  <c r="U39" i="40"/>
  <c r="U38" i="40"/>
  <c r="AB38" i="40"/>
  <c r="AB12" i="36"/>
  <c r="U12" i="36"/>
  <c r="AC12" i="21"/>
  <c r="W12" i="21"/>
  <c r="AA26" i="33"/>
  <c r="S26" i="33"/>
  <c r="P12" i="1"/>
  <c r="E10" i="71"/>
  <c r="E9" i="71" s="1"/>
  <c r="E8" i="71" s="1"/>
  <c r="E7" i="71" s="1"/>
  <c r="V11" i="71"/>
  <c r="E30" i="6"/>
  <c r="F59" i="67"/>
  <c r="H7" i="33"/>
  <c r="J7" i="33"/>
  <c r="D65" i="40"/>
  <c r="E63" i="40"/>
  <c r="F48" i="35"/>
  <c r="F7" i="33"/>
  <c r="E58" i="21"/>
  <c r="M17" i="67"/>
  <c r="M17" i="15"/>
  <c r="F59" i="15"/>
  <c r="P24" i="43"/>
  <c r="B66" i="40" s="1"/>
  <c r="P21" i="43"/>
  <c r="P25" i="43"/>
  <c r="P23" i="43"/>
  <c r="B71" i="39" s="1"/>
  <c r="M28" i="43"/>
  <c r="N28" i="43"/>
  <c r="O28" i="43"/>
  <c r="P28" i="43"/>
  <c r="M11" i="67"/>
  <c r="J10" i="67" s="1"/>
  <c r="F11" i="15"/>
  <c r="M11" i="15"/>
  <c r="F11" i="67"/>
  <c r="C16" i="96"/>
  <c r="M27" i="67"/>
  <c r="F9" i="67"/>
  <c r="F7" i="91"/>
  <c r="F36" i="91"/>
  <c r="M27" i="91"/>
  <c r="M9" i="67"/>
  <c r="F40" i="91"/>
  <c r="F42" i="91"/>
  <c r="M6" i="91"/>
  <c r="M24" i="91"/>
  <c r="F43" i="67"/>
  <c r="M29" i="91"/>
  <c r="F40" i="67"/>
  <c r="M21" i="67"/>
  <c r="F37" i="67"/>
  <c r="G1" i="73"/>
  <c r="C76" i="67"/>
  <c r="F6" i="67"/>
  <c r="J15" i="91"/>
  <c r="F35" i="67"/>
  <c r="M8" i="67"/>
  <c r="F6" i="91"/>
  <c r="F16" i="91"/>
  <c r="M22" i="91"/>
  <c r="F43" i="91"/>
  <c r="D9" i="83"/>
  <c r="F26" i="67"/>
  <c r="M23" i="91"/>
  <c r="F13" i="91"/>
  <c r="F16" i="67"/>
  <c r="F37" i="91"/>
  <c r="C16" i="15"/>
  <c r="C76" i="91"/>
  <c r="J15" i="67"/>
  <c r="M23" i="67"/>
  <c r="F26" i="91"/>
  <c r="M8" i="91"/>
  <c r="L48" i="91"/>
  <c r="F41" i="67"/>
  <c r="M28" i="91"/>
  <c r="M26" i="91"/>
  <c r="F8" i="91"/>
  <c r="M9" i="91"/>
  <c r="F38" i="91"/>
  <c r="F9" i="91"/>
  <c r="L47" i="91"/>
  <c r="C11" i="21" l="1"/>
  <c r="J11" i="39"/>
  <c r="H11" i="39"/>
  <c r="F11" i="39"/>
  <c r="J10" i="96"/>
  <c r="J5" i="96" s="1"/>
  <c r="J24" i="96" s="1"/>
  <c r="O13" i="1"/>
  <c r="P13" i="1" s="1"/>
  <c r="C33" i="96"/>
  <c r="C32" i="96"/>
  <c r="C53" i="96"/>
  <c r="C48" i="96" s="1"/>
  <c r="C10" i="96"/>
  <c r="C5" i="96" s="1"/>
  <c r="E56" i="39"/>
  <c r="D9" i="11"/>
  <c r="C9" i="11" s="1"/>
  <c r="D19" i="12"/>
  <c r="C19" i="12" s="1"/>
  <c r="D9" i="68"/>
  <c r="C9" i="68" s="1"/>
  <c r="E51" i="40"/>
  <c r="C36" i="69"/>
  <c r="F27" i="6"/>
  <c r="B40" i="1"/>
  <c r="J7" i="34"/>
  <c r="H7" i="34"/>
  <c r="F7" i="92"/>
  <c r="H7" i="92"/>
  <c r="AB7" i="92" s="1"/>
  <c r="F7" i="34"/>
  <c r="F71" i="91"/>
  <c r="F68" i="91"/>
  <c r="C6" i="91"/>
  <c r="C10" i="91" s="1"/>
  <c r="C5" i="91" s="1"/>
  <c r="C27" i="91"/>
  <c r="L58" i="91"/>
  <c r="N59" i="91"/>
  <c r="F66" i="91"/>
  <c r="F63" i="67"/>
  <c r="C62" i="67" s="1"/>
  <c r="C34" i="67"/>
  <c r="F69" i="67"/>
  <c r="Q71" i="67"/>
  <c r="J20" i="67"/>
  <c r="C27" i="67"/>
  <c r="F65" i="67"/>
  <c r="M7" i="91"/>
  <c r="J6" i="91" s="1"/>
  <c r="J18" i="91" s="1"/>
  <c r="F50" i="91"/>
  <c r="F64" i="91"/>
  <c r="Q71" i="91"/>
  <c r="L60" i="91"/>
  <c r="L56" i="91"/>
  <c r="I54" i="91"/>
  <c r="J60" i="91"/>
  <c r="Q48" i="91" s="1"/>
  <c r="J57" i="91"/>
  <c r="J55" i="91" s="1"/>
  <c r="J58" i="91" s="1"/>
  <c r="Q50" i="91" s="1"/>
  <c r="J59" i="91"/>
  <c r="F51" i="91"/>
  <c r="F65" i="91"/>
  <c r="C6" i="67"/>
  <c r="C32" i="67" s="1"/>
  <c r="F71" i="67"/>
  <c r="C9" i="83"/>
  <c r="F68" i="67"/>
  <c r="J6" i="67"/>
  <c r="J18" i="67" s="1"/>
  <c r="D26" i="71"/>
  <c r="C27" i="71"/>
  <c r="S7" i="92"/>
  <c r="AA7" i="92"/>
  <c r="D30" i="71"/>
  <c r="C31" i="71"/>
  <c r="F7" i="37"/>
  <c r="AA7" i="37" s="1"/>
  <c r="R42" i="37" s="1"/>
  <c r="H7" i="37"/>
  <c r="H41" i="39"/>
  <c r="W7" i="92"/>
  <c r="AC7" i="92"/>
  <c r="J7" i="37"/>
  <c r="L46" i="36"/>
  <c r="C53" i="91"/>
  <c r="L27" i="6"/>
  <c r="W41" i="39"/>
  <c r="AC41" i="39"/>
  <c r="O7" i="1"/>
  <c r="P7" i="1" s="1"/>
  <c r="U41" i="39"/>
  <c r="AB41" i="39"/>
  <c r="AC34" i="39"/>
  <c r="W34" i="39"/>
  <c r="U34" i="39"/>
  <c r="AB34" i="39"/>
  <c r="Q60" i="67"/>
  <c r="J10" i="15"/>
  <c r="J5" i="15" s="1"/>
  <c r="J26" i="15" s="1"/>
  <c r="C49" i="67"/>
  <c r="C49" i="15"/>
  <c r="Q60" i="15"/>
  <c r="Q61" i="67"/>
  <c r="C35" i="43"/>
  <c r="C39" i="43"/>
  <c r="C37" i="43"/>
  <c r="C34" i="43"/>
  <c r="C38" i="43"/>
  <c r="C36" i="43"/>
  <c r="C33" i="43"/>
  <c r="T14" i="43"/>
  <c r="V14" i="43" s="1"/>
  <c r="T11" i="43"/>
  <c r="V11" i="43" s="1"/>
  <c r="T15" i="43"/>
  <c r="V15" i="43" s="1"/>
  <c r="T16" i="43"/>
  <c r="V16" i="43" s="1"/>
  <c r="T8" i="43"/>
  <c r="V8" i="43" s="1"/>
  <c r="T12" i="43"/>
  <c r="V12" i="43" s="1"/>
  <c r="T9" i="43"/>
  <c r="V9" i="43" s="1"/>
  <c r="T10" i="43"/>
  <c r="V10" i="43" s="1"/>
  <c r="T13" i="43"/>
  <c r="V13" i="43" s="1"/>
  <c r="E70" i="39"/>
  <c r="F68" i="39"/>
  <c r="M14" i="1"/>
  <c r="E6" i="71"/>
  <c r="E5" i="71" s="1"/>
  <c r="V7" i="71"/>
  <c r="D18" i="71"/>
  <c r="C17" i="71"/>
  <c r="B14" i="71"/>
  <c r="B13" i="71" s="1"/>
  <c r="B12" i="71" s="1"/>
  <c r="B11" i="71" s="1"/>
  <c r="S15" i="71"/>
  <c r="D3" i="21"/>
  <c r="Q61" i="71"/>
  <c r="Q60" i="71"/>
  <c r="F58" i="21"/>
  <c r="F63" i="40"/>
  <c r="E65" i="40"/>
  <c r="W7" i="33"/>
  <c r="AC7" i="33"/>
  <c r="V48" i="33" s="1"/>
  <c r="I48" i="33" s="1"/>
  <c r="S7" i="37"/>
  <c r="S7" i="33"/>
  <c r="AA7" i="33"/>
  <c r="R48" i="33" s="1"/>
  <c r="G48" i="35"/>
  <c r="U7" i="33"/>
  <c r="AB7" i="33"/>
  <c r="T48" i="33" s="1"/>
  <c r="G48" i="33" s="1"/>
  <c r="C53" i="67"/>
  <c r="C10" i="67"/>
  <c r="C53" i="15"/>
  <c r="C10" i="15"/>
  <c r="C5" i="15" s="1"/>
  <c r="C14" i="67"/>
  <c r="C16" i="67"/>
  <c r="C17" i="67"/>
  <c r="C16" i="91"/>
  <c r="J26" i="96" l="1"/>
  <c r="AA11" i="39"/>
  <c r="S11" i="39"/>
  <c r="W11" i="39"/>
  <c r="AC11" i="39"/>
  <c r="U11" i="39"/>
  <c r="AB11" i="39"/>
  <c r="J11" i="21"/>
  <c r="H11" i="21"/>
  <c r="F11" i="21"/>
  <c r="F31" i="6"/>
  <c r="C66" i="96"/>
  <c r="C60" i="96"/>
  <c r="F24" i="91"/>
  <c r="C24" i="91" s="1"/>
  <c r="F24" i="96"/>
  <c r="C38" i="96"/>
  <c r="F24" i="15"/>
  <c r="C24" i="15" s="1"/>
  <c r="F22" i="11"/>
  <c r="F22" i="69"/>
  <c r="F41" i="69" s="1"/>
  <c r="F22" i="82"/>
  <c r="F41" i="82" s="1"/>
  <c r="F22" i="68"/>
  <c r="F41" i="68" s="1"/>
  <c r="F24" i="67"/>
  <c r="C24" i="67" s="1"/>
  <c r="F25" i="12"/>
  <c r="F22" i="83"/>
  <c r="F41" i="83" s="1"/>
  <c r="AB7" i="34"/>
  <c r="T49" i="34" s="1"/>
  <c r="G49" i="34" s="1"/>
  <c r="U7" i="34"/>
  <c r="U7" i="92"/>
  <c r="AC7" i="34"/>
  <c r="V49" i="34" s="1"/>
  <c r="I49" i="34" s="1"/>
  <c r="I53" i="34" s="1"/>
  <c r="J53" i="34" s="1"/>
  <c r="W7" i="34"/>
  <c r="C5" i="67"/>
  <c r="C38" i="67" s="1"/>
  <c r="J5" i="67"/>
  <c r="J26" i="67" s="1"/>
  <c r="J29" i="67" s="1"/>
  <c r="J10" i="91"/>
  <c r="J5" i="91" s="1"/>
  <c r="L46" i="91"/>
  <c r="AA7" i="34"/>
  <c r="R49" i="34" s="1"/>
  <c r="S7" i="34"/>
  <c r="C15" i="67"/>
  <c r="C18" i="67"/>
  <c r="W7" i="37"/>
  <c r="AC7" i="37"/>
  <c r="V42" i="37" s="1"/>
  <c r="I42" i="37" s="1"/>
  <c r="I46" i="37" s="1"/>
  <c r="J46" i="37" s="1"/>
  <c r="M46" i="36"/>
  <c r="C49" i="91"/>
  <c r="C48" i="91" s="1"/>
  <c r="AB7" i="37"/>
  <c r="T42" i="37" s="1"/>
  <c r="G42" i="37" s="1"/>
  <c r="U7" i="37"/>
  <c r="D31" i="71"/>
  <c r="T31" i="71"/>
  <c r="D27" i="71"/>
  <c r="T27" i="71"/>
  <c r="Q57" i="91"/>
  <c r="Q66" i="91"/>
  <c r="Q60" i="91"/>
  <c r="Q73" i="91"/>
  <c r="C33" i="91"/>
  <c r="C32" i="91"/>
  <c r="C38" i="91"/>
  <c r="J24" i="15"/>
  <c r="C48" i="67"/>
  <c r="C60" i="67" s="1"/>
  <c r="C48" i="15"/>
  <c r="C60" i="15" s="1"/>
  <c r="E36" i="43"/>
  <c r="G36" i="43"/>
  <c r="I36" i="43" s="1"/>
  <c r="E34" i="43"/>
  <c r="G34" i="43"/>
  <c r="I34" i="43" s="1"/>
  <c r="G39" i="43"/>
  <c r="I39" i="43" s="1"/>
  <c r="E39" i="43"/>
  <c r="E33" i="43"/>
  <c r="G33" i="43"/>
  <c r="I33" i="43" s="1"/>
  <c r="G38" i="43"/>
  <c r="I38" i="43" s="1"/>
  <c r="E38" i="43"/>
  <c r="E37" i="43"/>
  <c r="G37" i="43"/>
  <c r="I37" i="43" s="1"/>
  <c r="E35" i="43"/>
  <c r="G35" i="43"/>
  <c r="I35" i="43" s="1"/>
  <c r="F70" i="39"/>
  <c r="G68" i="39"/>
  <c r="D17" i="71"/>
  <c r="C16" i="71"/>
  <c r="O14" i="1"/>
  <c r="B10" i="71"/>
  <c r="B9" i="71" s="1"/>
  <c r="B8" i="71" s="1"/>
  <c r="B7" i="71" s="1"/>
  <c r="S11" i="71"/>
  <c r="R49" i="33"/>
  <c r="E48" i="33"/>
  <c r="I52" i="33"/>
  <c r="J52" i="33" s="1"/>
  <c r="I53" i="33"/>
  <c r="J53" i="33" s="1"/>
  <c r="G52" i="33"/>
  <c r="H52" i="33" s="1"/>
  <c r="G53" i="33"/>
  <c r="H53" i="33" s="1"/>
  <c r="H48" i="35"/>
  <c r="R43" i="37"/>
  <c r="E42" i="37"/>
  <c r="G63" i="40"/>
  <c r="F65" i="40"/>
  <c r="G58" i="21"/>
  <c r="C38" i="15"/>
  <c r="AB11" i="21" l="1"/>
  <c r="U11" i="21"/>
  <c r="AA11" i="21"/>
  <c r="S11" i="21"/>
  <c r="W11" i="21"/>
  <c r="AC11" i="21"/>
  <c r="F33" i="21"/>
  <c r="H33" i="21"/>
  <c r="J33" i="21"/>
  <c r="C24" i="96"/>
  <c r="C26" i="69"/>
  <c r="D22" i="69" s="1"/>
  <c r="C44" i="69"/>
  <c r="D41" i="69" s="1"/>
  <c r="J24" i="67"/>
  <c r="G53" i="34"/>
  <c r="H53" i="34" s="1"/>
  <c r="G54" i="34"/>
  <c r="H54" i="34" s="1"/>
  <c r="J26" i="91"/>
  <c r="J24" i="91"/>
  <c r="E49" i="34"/>
  <c r="R50" i="34"/>
  <c r="C19" i="67"/>
  <c r="C20" i="67" s="1"/>
  <c r="C26" i="67" s="1"/>
  <c r="C66" i="91"/>
  <c r="C60" i="91"/>
  <c r="N46" i="36"/>
  <c r="G46" i="37"/>
  <c r="H46" i="37" s="1"/>
  <c r="G47" i="37"/>
  <c r="H47" i="37" s="1"/>
  <c r="C66" i="67"/>
  <c r="C66" i="15"/>
  <c r="G70" i="39"/>
  <c r="H68" i="39"/>
  <c r="P14" i="1"/>
  <c r="D16" i="71"/>
  <c r="C15" i="71"/>
  <c r="B6" i="71"/>
  <c r="B5" i="71" s="1"/>
  <c r="S7" i="71"/>
  <c r="G65" i="40"/>
  <c r="H63" i="40"/>
  <c r="C43" i="37"/>
  <c r="C42" i="37"/>
  <c r="I48" i="35"/>
  <c r="C48" i="33"/>
  <c r="C49" i="33"/>
  <c r="H58" i="21"/>
  <c r="E47" i="37"/>
  <c r="F47" i="37" s="1"/>
  <c r="E46" i="37"/>
  <c r="F46" i="37" s="1"/>
  <c r="I47" i="37"/>
  <c r="J47" i="37" s="1"/>
  <c r="E53" i="33"/>
  <c r="F53" i="33" s="1"/>
  <c r="E52" i="33"/>
  <c r="F52" i="33" s="1"/>
  <c r="C33" i="15"/>
  <c r="J59" i="15"/>
  <c r="J60" i="15" s="1"/>
  <c r="D10" i="82"/>
  <c r="W33" i="21" l="1"/>
  <c r="AC33" i="21"/>
  <c r="S33" i="21"/>
  <c r="AA33" i="21"/>
  <c r="AB33" i="21"/>
  <c r="U33" i="21"/>
  <c r="H33" i="92"/>
  <c r="J33" i="92"/>
  <c r="F33" i="92"/>
  <c r="C23" i="67"/>
  <c r="C29" i="67" s="1"/>
  <c r="C33" i="67" s="1"/>
  <c r="C31" i="67" s="1"/>
  <c r="C49" i="34"/>
  <c r="C50" i="34"/>
  <c r="E54" i="34"/>
  <c r="F54" i="34" s="1"/>
  <c r="I54" i="34"/>
  <c r="J54" i="34" s="1"/>
  <c r="E53" i="34"/>
  <c r="F53" i="34" s="1"/>
  <c r="O46" i="36"/>
  <c r="H7" i="36" s="1"/>
  <c r="D19" i="82"/>
  <c r="D37" i="82" s="1"/>
  <c r="C10" i="82"/>
  <c r="L18" i="80"/>
  <c r="L19" i="80"/>
  <c r="M19" i="80"/>
  <c r="C118" i="80" s="1"/>
  <c r="H70" i="39"/>
  <c r="I68" i="39"/>
  <c r="C19" i="68"/>
  <c r="C14" i="71"/>
  <c r="T15" i="71"/>
  <c r="D15" i="71"/>
  <c r="U15" i="71" s="1"/>
  <c r="I63" i="40"/>
  <c r="H65" i="40"/>
  <c r="I58" i="21"/>
  <c r="J58" i="21" s="1"/>
  <c r="K58" i="21" s="1"/>
  <c r="L58" i="21" s="1"/>
  <c r="M58" i="21" s="1"/>
  <c r="N58" i="21" s="1"/>
  <c r="O58" i="21" s="1"/>
  <c r="H7" i="21" s="1"/>
  <c r="J48" i="35"/>
  <c r="Q48" i="15"/>
  <c r="L46" i="15"/>
  <c r="W33" i="92" l="1"/>
  <c r="AC33" i="92"/>
  <c r="V48" i="92" s="1"/>
  <c r="I48" i="92" s="1"/>
  <c r="S33" i="92"/>
  <c r="AA33" i="92"/>
  <c r="R48" i="92" s="1"/>
  <c r="AB33" i="92"/>
  <c r="T48" i="92" s="1"/>
  <c r="G48" i="92" s="1"/>
  <c r="U33" i="92"/>
  <c r="F7" i="21"/>
  <c r="J14" i="67"/>
  <c r="J13" i="67" s="1"/>
  <c r="J23" i="67" s="1"/>
  <c r="C57" i="67"/>
  <c r="C61" i="67" s="1"/>
  <c r="C59" i="67" s="1"/>
  <c r="J19" i="67"/>
  <c r="J17" i="67" s="1"/>
  <c r="C13" i="67"/>
  <c r="C75" i="67" s="1"/>
  <c r="J59" i="67"/>
  <c r="Q49" i="67"/>
  <c r="C36" i="67"/>
  <c r="AB7" i="36"/>
  <c r="U7" i="36"/>
  <c r="J7" i="21"/>
  <c r="AC7" i="21" s="1"/>
  <c r="V48" i="21" s="1"/>
  <c r="I48" i="21" s="1"/>
  <c r="J7" i="36"/>
  <c r="F7" i="36"/>
  <c r="I70" i="39"/>
  <c r="J68" i="39"/>
  <c r="C13" i="71"/>
  <c r="D14" i="71"/>
  <c r="U7" i="21"/>
  <c r="AB7" i="21"/>
  <c r="T48" i="21" s="1"/>
  <c r="G48" i="21" s="1"/>
  <c r="S7" i="21"/>
  <c r="AA7" i="21"/>
  <c r="R48" i="21" s="1"/>
  <c r="J63" i="40"/>
  <c r="I65" i="40"/>
  <c r="K48" i="35"/>
  <c r="L48" i="35" s="1"/>
  <c r="M48" i="35" s="1"/>
  <c r="N48" i="35" s="1"/>
  <c r="O48" i="35" s="1"/>
  <c r="H7" i="35" s="1"/>
  <c r="W7" i="21"/>
  <c r="J22" i="67" l="1"/>
  <c r="J16" i="67" s="1"/>
  <c r="J25" i="67" s="1"/>
  <c r="R49" i="92"/>
  <c r="E48" i="92"/>
  <c r="I52" i="92"/>
  <c r="J52" i="92" s="1"/>
  <c r="I53" i="92"/>
  <c r="J53" i="92" s="1"/>
  <c r="G52" i="92"/>
  <c r="H52" i="92" s="1"/>
  <c r="G53" i="92"/>
  <c r="H53" i="92" s="1"/>
  <c r="C64" i="67"/>
  <c r="C56" i="67"/>
  <c r="C65" i="67" s="1"/>
  <c r="C37" i="67"/>
  <c r="C30" i="67" s="1"/>
  <c r="C39" i="67" s="1"/>
  <c r="C40" i="67" s="1"/>
  <c r="C43" i="67" s="1"/>
  <c r="Q70" i="67"/>
  <c r="AC7" i="36"/>
  <c r="W7" i="36"/>
  <c r="AA7" i="36"/>
  <c r="S7" i="36"/>
  <c r="K68" i="39"/>
  <c r="J70" i="39"/>
  <c r="J7" i="35"/>
  <c r="W7" i="35" s="1"/>
  <c r="C12" i="71"/>
  <c r="D13" i="71"/>
  <c r="J65" i="40"/>
  <c r="K63" i="40"/>
  <c r="I52" i="21"/>
  <c r="J52" i="21" s="1"/>
  <c r="U7" i="35"/>
  <c r="AB7" i="35"/>
  <c r="T38" i="35" s="1"/>
  <c r="G38" i="35" s="1"/>
  <c r="R49" i="21"/>
  <c r="E48" i="21"/>
  <c r="G52" i="21"/>
  <c r="H52" i="21" s="1"/>
  <c r="G53" i="21"/>
  <c r="H53" i="21" s="1"/>
  <c r="F7" i="35"/>
  <c r="E53" i="92" l="1"/>
  <c r="F53" i="92" s="1"/>
  <c r="E52" i="92"/>
  <c r="F52" i="92" s="1"/>
  <c r="C48" i="92"/>
  <c r="G6" i="12" s="1"/>
  <c r="C49" i="92"/>
  <c r="C80" i="67"/>
  <c r="C79" i="67" s="1"/>
  <c r="Q65" i="67"/>
  <c r="Q47" i="67"/>
  <c r="C58" i="67"/>
  <c r="C67" i="67" s="1"/>
  <c r="C68" i="67" s="1"/>
  <c r="C45" i="67" s="1"/>
  <c r="C46" i="67" s="1"/>
  <c r="C83" i="67"/>
  <c r="C82" i="67" s="1"/>
  <c r="Q56" i="67"/>
  <c r="Q69" i="67"/>
  <c r="Q68" i="67" s="1"/>
  <c r="AC7" i="35"/>
  <c r="V38" i="35" s="1"/>
  <c r="I38" i="35" s="1"/>
  <c r="G43" i="35" s="1"/>
  <c r="H43" i="35" s="1"/>
  <c r="K70" i="39"/>
  <c r="L68" i="39"/>
  <c r="C11" i="71"/>
  <c r="D12" i="71"/>
  <c r="S7" i="35"/>
  <c r="AA7" i="35"/>
  <c r="R38" i="35" s="1"/>
  <c r="C49" i="21"/>
  <c r="B2" i="21" s="1"/>
  <c r="C8" i="12" s="1"/>
  <c r="C48" i="21"/>
  <c r="E35" i="36" s="1"/>
  <c r="E52" i="21"/>
  <c r="F52" i="21" s="1"/>
  <c r="E53" i="21"/>
  <c r="F53" i="21" s="1"/>
  <c r="G42" i="35"/>
  <c r="H42" i="35" s="1"/>
  <c r="I53" i="21"/>
  <c r="J53" i="21" s="1"/>
  <c r="K65" i="40"/>
  <c r="L63" i="40"/>
  <c r="L51" i="67"/>
  <c r="H6" i="12" l="1"/>
  <c r="H8" i="12" s="1"/>
  <c r="B2" i="92"/>
  <c r="G8" i="12" s="1"/>
  <c r="B3" i="92"/>
  <c r="Q67" i="67"/>
  <c r="L57" i="67"/>
  <c r="L60" i="67" s="1"/>
  <c r="Q66" i="67" s="1"/>
  <c r="Q75" i="67" s="1"/>
  <c r="C71" i="67"/>
  <c r="I42" i="35"/>
  <c r="J42" i="35" s="1"/>
  <c r="G35" i="36"/>
  <c r="E42" i="36" s="1"/>
  <c r="F42" i="36" s="1"/>
  <c r="I35" i="36"/>
  <c r="R35" i="36"/>
  <c r="R36" i="36" s="1"/>
  <c r="B3" i="21"/>
  <c r="M68" i="39"/>
  <c r="L70" i="39"/>
  <c r="C10" i="71"/>
  <c r="T11" i="71"/>
  <c r="D11" i="71"/>
  <c r="U11" i="71" s="1"/>
  <c r="R39" i="35"/>
  <c r="E38" i="35"/>
  <c r="M63" i="40"/>
  <c r="L65" i="40"/>
  <c r="C6" i="12" l="1"/>
  <c r="Q57" i="67"/>
  <c r="Q62" i="67" s="1"/>
  <c r="L57" i="91"/>
  <c r="E36" i="36"/>
  <c r="I42" i="36"/>
  <c r="J42" i="36" s="1"/>
  <c r="V35" i="36"/>
  <c r="V36" i="36" s="1"/>
  <c r="I36" i="36" s="1"/>
  <c r="G42" i="36"/>
  <c r="H42" i="36" s="1"/>
  <c r="T35" i="36"/>
  <c r="T36" i="36" s="1"/>
  <c r="G36" i="36" s="1"/>
  <c r="G40" i="36" s="1"/>
  <c r="H40" i="36" s="1"/>
  <c r="N68" i="39"/>
  <c r="M70" i="39"/>
  <c r="C9" i="71"/>
  <c r="D10" i="71"/>
  <c r="C39" i="35"/>
  <c r="B2" i="35" s="1"/>
  <c r="C38" i="35"/>
  <c r="N63" i="40"/>
  <c r="M65" i="40"/>
  <c r="E43" i="35"/>
  <c r="F43" i="35" s="1"/>
  <c r="E42" i="35"/>
  <c r="F42" i="35" s="1"/>
  <c r="I43" i="35"/>
  <c r="J43" i="35" s="1"/>
  <c r="D19" i="81"/>
  <c r="L7" i="12" l="1"/>
  <c r="D6" i="12"/>
  <c r="D8" i="12" s="1"/>
  <c r="R37" i="36"/>
  <c r="C36" i="36" s="1"/>
  <c r="I41" i="36"/>
  <c r="J41" i="36" s="1"/>
  <c r="G41" i="36"/>
  <c r="H41" i="36" s="1"/>
  <c r="I40" i="36"/>
  <c r="J40" i="36" s="1"/>
  <c r="E41" i="36"/>
  <c r="F41" i="36" s="1"/>
  <c r="E40" i="36"/>
  <c r="F40" i="36" s="1"/>
  <c r="D102" i="81"/>
  <c r="N70" i="39"/>
  <c r="O68" i="39"/>
  <c r="O70" i="39" s="1"/>
  <c r="F7" i="39" s="1"/>
  <c r="C8" i="71"/>
  <c r="D9" i="71"/>
  <c r="O63" i="40"/>
  <c r="O65" i="40" s="1"/>
  <c r="N65" i="40"/>
  <c r="D35" i="81"/>
  <c r="D34" i="81"/>
  <c r="C37" i="36" l="1"/>
  <c r="B2" i="36" s="1"/>
  <c r="J7" i="39"/>
  <c r="W7" i="39" s="1"/>
  <c r="B3" i="36"/>
  <c r="AA7" i="39"/>
  <c r="S7" i="39"/>
  <c r="H7" i="39"/>
  <c r="D8" i="71"/>
  <c r="C7" i="71"/>
  <c r="J7" i="40"/>
  <c r="F7" i="40"/>
  <c r="H7" i="40"/>
  <c r="D20" i="80"/>
  <c r="D19" i="80"/>
  <c r="D21" i="80" l="1"/>
  <c r="D102" i="80"/>
  <c r="AC7" i="39"/>
  <c r="D103" i="80"/>
  <c r="AB7" i="39"/>
  <c r="U7" i="39"/>
  <c r="C6" i="7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s="1"/>
  <c r="C42" i="40"/>
  <c r="C43" i="40"/>
  <c r="E47" i="40"/>
  <c r="F47" i="40" s="1"/>
  <c r="E46" i="40"/>
  <c r="F46" i="40" s="1"/>
  <c r="I47" i="40"/>
  <c r="J47" i="40" s="1"/>
  <c r="B55" i="40" l="1"/>
  <c r="F55" i="40" s="1"/>
  <c r="B58" i="40"/>
  <c r="B54" i="40"/>
  <c r="F54" i="40" s="1"/>
  <c r="B53" i="40"/>
  <c r="F53" i="40" s="1"/>
  <c r="B59" i="40"/>
  <c r="B52" i="40"/>
  <c r="F52" i="40" s="1"/>
  <c r="B56" i="40"/>
  <c r="B60" i="40"/>
  <c r="B57" i="40"/>
  <c r="B51" i="40"/>
  <c r="F51" i="40" s="1"/>
  <c r="H112" i="9"/>
  <c r="D21" i="53" s="1"/>
  <c r="B39" i="72" s="1"/>
  <c r="H111" i="9"/>
  <c r="D19" i="53" s="1"/>
  <c r="B38" i="72" l="1"/>
  <c r="D20" i="53"/>
  <c r="B40" i="72" s="1"/>
  <c r="D126" i="9"/>
  <c r="D127" i="9" l="1"/>
  <c r="D13" i="52" s="1"/>
  <c r="D12" i="52"/>
  <c r="I14" i="74"/>
  <c r="B8" i="74" s="1"/>
  <c r="F16" i="74" l="1"/>
  <c r="E16" i="74"/>
  <c r="G17" i="74" l="1"/>
  <c r="E17" i="74" l="1"/>
  <c r="F17" i="74"/>
  <c r="G16" i="74" l="1"/>
  <c r="L60" i="15"/>
  <c r="Q66" i="15" s="1"/>
  <c r="Q57" i="15" l="1"/>
  <c r="H13" i="3"/>
  <c r="G13" i="3" s="1"/>
  <c r="S183" i="88"/>
  <c r="S184" i="88" s="1"/>
  <c r="R5" i="87"/>
  <c r="R7" i="87" s="1"/>
  <c r="S187" i="88" l="1"/>
  <c r="U191" i="88"/>
  <c r="E21" i="6"/>
  <c r="G27" i="6"/>
  <c r="G31" i="6" s="1"/>
  <c r="M5" i="3"/>
  <c r="BD13" i="3"/>
  <c r="H5" i="3"/>
  <c r="G5" i="3"/>
  <c r="B3" i="3" s="1"/>
  <c r="BD5" i="3" l="1"/>
  <c r="BA13" i="3"/>
  <c r="K8" i="1"/>
  <c r="AH17" i="1" s="1"/>
  <c r="D3" i="35"/>
  <c r="B3" i="35" s="1"/>
  <c r="E7" i="12"/>
  <c r="M18" i="81"/>
  <c r="B118" i="81" s="1"/>
  <c r="S189" i="88"/>
  <c r="T189" i="88" s="1"/>
  <c r="T188" i="88"/>
  <c r="D20" i="81"/>
  <c r="D103" i="81" l="1"/>
  <c r="Q16" i="1"/>
  <c r="G16" i="1"/>
  <c r="C34" i="69"/>
  <c r="M8" i="1"/>
  <c r="K16" i="1"/>
  <c r="H16" i="1"/>
  <c r="AZ13" i="3"/>
  <c r="AZ5" i="3" s="1"/>
  <c r="BA5" i="3"/>
  <c r="E27" i="6" s="1"/>
  <c r="E11" i="6"/>
  <c r="E13" i="6"/>
  <c r="E10" i="6"/>
  <c r="E14" i="6"/>
  <c r="E12" i="6"/>
  <c r="E15" i="6"/>
  <c r="E60" i="40" l="1"/>
  <c r="F60" i="40" s="1"/>
  <c r="E65" i="39"/>
  <c r="E59" i="40"/>
  <c r="F59" i="40" s="1"/>
  <c r="E64" i="39"/>
  <c r="E63" i="39"/>
  <c r="E58" i="40"/>
  <c r="F58" i="40" s="1"/>
  <c r="E3" i="6"/>
  <c r="M16" i="1"/>
  <c r="L16" i="1" s="1"/>
  <c r="O8" i="1"/>
  <c r="O16" i="1" s="1"/>
  <c r="J10" i="40"/>
  <c r="J10" i="39"/>
  <c r="F10" i="40"/>
  <c r="H10" i="39"/>
  <c r="F10" i="39"/>
  <c r="H10" i="40"/>
  <c r="E57" i="40"/>
  <c r="F57" i="40" s="1"/>
  <c r="E62" i="39"/>
  <c r="E16" i="6"/>
  <c r="E61" i="39"/>
  <c r="E56" i="40"/>
  <c r="F56" i="40" s="1"/>
  <c r="E31" i="6"/>
  <c r="K20" i="6"/>
  <c r="K19" i="6"/>
  <c r="K25" i="6"/>
  <c r="K23" i="6"/>
  <c r="K24" i="6"/>
  <c r="K22" i="6"/>
  <c r="K26" i="6"/>
  <c r="K21" i="6"/>
  <c r="C38" i="69"/>
  <c r="C35" i="69"/>
  <c r="F28" i="12"/>
  <c r="F27" i="11"/>
  <c r="F27" i="69"/>
  <c r="F27" i="68"/>
  <c r="I4" i="6" l="1"/>
  <c r="G3" i="43" s="1"/>
  <c r="E13" i="3"/>
  <c r="AD6" i="3"/>
  <c r="E412" i="3"/>
  <c r="E273" i="3"/>
  <c r="E287" i="3"/>
  <c r="T6" i="3"/>
  <c r="E519" i="3"/>
  <c r="E107" i="3"/>
  <c r="E279" i="3"/>
  <c r="E394" i="3"/>
  <c r="Z6" i="3"/>
  <c r="E408" i="3"/>
  <c r="E75" i="3"/>
  <c r="E345" i="3"/>
  <c r="E579" i="3"/>
  <c r="E249" i="3"/>
  <c r="E569" i="3"/>
  <c r="E194" i="3"/>
  <c r="E177" i="3"/>
  <c r="E35" i="3"/>
  <c r="E540" i="3"/>
  <c r="E128" i="3"/>
  <c r="E142" i="3"/>
  <c r="E384" i="3"/>
  <c r="E48" i="3"/>
  <c r="E425" i="3"/>
  <c r="E270" i="3"/>
  <c r="E257" i="3"/>
  <c r="E340" i="3"/>
  <c r="E145" i="3"/>
  <c r="E440" i="3"/>
  <c r="E290" i="3"/>
  <c r="E509" i="3"/>
  <c r="E216" i="3"/>
  <c r="E512" i="3"/>
  <c r="E14" i="3"/>
  <c r="E148" i="3"/>
  <c r="E537" i="3"/>
  <c r="E344" i="3"/>
  <c r="AK6" i="3"/>
  <c r="E518" i="3"/>
  <c r="E489" i="3"/>
  <c r="E459" i="3"/>
  <c r="E472" i="3"/>
  <c r="E485" i="3"/>
  <c r="E422" i="3"/>
  <c r="E393" i="3"/>
  <c r="E218" i="3"/>
  <c r="E338" i="3"/>
  <c r="E317" i="3"/>
  <c r="E448" i="3"/>
  <c r="E224" i="3"/>
  <c r="E117" i="3"/>
  <c r="E129" i="3"/>
  <c r="Q6" i="3"/>
  <c r="E89" i="3"/>
  <c r="E71" i="3"/>
  <c r="E297" i="3"/>
  <c r="E576" i="3"/>
  <c r="E359" i="3"/>
  <c r="E463" i="3"/>
  <c r="E370" i="3"/>
  <c r="E549" i="3"/>
  <c r="E552" i="3"/>
  <c r="E121" i="3"/>
  <c r="E80" i="3"/>
  <c r="E527" i="3"/>
  <c r="E436" i="3"/>
  <c r="AJ6" i="3"/>
  <c r="AM6" i="3"/>
  <c r="E286" i="3"/>
  <c r="E314" i="3"/>
  <c r="K6" i="3"/>
  <c r="E484" i="3"/>
  <c r="E377" i="3"/>
  <c r="E118" i="3"/>
  <c r="E159" i="3"/>
  <c r="E501" i="3"/>
  <c r="E356" i="3"/>
  <c r="E280" i="3"/>
  <c r="E386" i="3"/>
  <c r="I3" i="6"/>
  <c r="E39" i="3"/>
  <c r="E114" i="3"/>
  <c r="I6" i="3"/>
  <c r="E559" i="3"/>
  <c r="E546" i="3"/>
  <c r="E505" i="3"/>
  <c r="E217" i="3"/>
  <c r="AR6" i="3"/>
  <c r="E210" i="3"/>
  <c r="E460" i="3"/>
  <c r="E251" i="3"/>
  <c r="E339" i="3"/>
  <c r="E70" i="3"/>
  <c r="E245" i="3"/>
  <c r="E123" i="3"/>
  <c r="E335" i="3"/>
  <c r="E199" i="3"/>
  <c r="E98" i="3"/>
  <c r="Y6" i="3"/>
  <c r="E481" i="3"/>
  <c r="E495" i="3"/>
  <c r="E520" i="3"/>
  <c r="E83" i="3"/>
  <c r="E40" i="3"/>
  <c r="E154" i="3"/>
  <c r="E263" i="3"/>
  <c r="E62" i="3"/>
  <c r="E165" i="3"/>
  <c r="E66" i="3"/>
  <c r="E301" i="3"/>
  <c r="E47" i="3"/>
  <c r="E185" i="3"/>
  <c r="E53" i="3"/>
  <c r="E337" i="3"/>
  <c r="E20" i="3"/>
  <c r="E171" i="3"/>
  <c r="E213" i="3"/>
  <c r="E320" i="3"/>
  <c r="E587" i="3"/>
  <c r="E575" i="3"/>
  <c r="E404" i="3"/>
  <c r="E90" i="3"/>
  <c r="E351" i="3"/>
  <c r="E551" i="3"/>
  <c r="E415" i="3"/>
  <c r="E536" i="3"/>
  <c r="E178" i="3"/>
  <c r="E207" i="3"/>
  <c r="E465" i="3"/>
  <c r="E225" i="3"/>
  <c r="E493" i="3"/>
  <c r="E496" i="3"/>
  <c r="E308" i="3"/>
  <c r="E572" i="3"/>
  <c r="E379" i="3"/>
  <c r="E539" i="3"/>
  <c r="E343" i="3"/>
  <c r="E32" i="3"/>
  <c r="E43" i="3"/>
  <c r="E184" i="3"/>
  <c r="E212" i="3"/>
  <c r="E192" i="3"/>
  <c r="E151" i="3"/>
  <c r="E530" i="3"/>
  <c r="E166" i="3"/>
  <c r="E143" i="3"/>
  <c r="E427" i="3"/>
  <c r="E220" i="3"/>
  <c r="E67" i="3"/>
  <c r="E50" i="3"/>
  <c r="E157" i="3"/>
  <c r="E214" i="3"/>
  <c r="E34" i="3"/>
  <c r="E92" i="3"/>
  <c r="E382" i="3"/>
  <c r="E278" i="3"/>
  <c r="E312" i="3"/>
  <c r="E391" i="3"/>
  <c r="E85" i="3"/>
  <c r="E453" i="3"/>
  <c r="E311" i="3"/>
  <c r="AO6" i="3"/>
  <c r="E103" i="3"/>
  <c r="E332" i="3"/>
  <c r="E411" i="3"/>
  <c r="E100" i="3"/>
  <c r="E55" i="3"/>
  <c r="E264" i="3"/>
  <c r="E96" i="3"/>
  <c r="E268" i="3"/>
  <c r="E421" i="3"/>
  <c r="E140" i="3"/>
  <c r="E110" i="3"/>
  <c r="E538" i="3"/>
  <c r="AQ6" i="3"/>
  <c r="E349" i="3"/>
  <c r="E27" i="3"/>
  <c r="E449" i="3"/>
  <c r="E181" i="3"/>
  <c r="E24" i="3"/>
  <c r="E456" i="3"/>
  <c r="E571" i="3"/>
  <c r="E462" i="3"/>
  <c r="E226" i="3"/>
  <c r="E189" i="3"/>
  <c r="E144" i="3"/>
  <c r="E498" i="3"/>
  <c r="E348" i="3"/>
  <c r="E570" i="3"/>
  <c r="E331" i="3"/>
  <c r="E267" i="3"/>
  <c r="E256" i="3"/>
  <c r="E416" i="3"/>
  <c r="E433" i="3"/>
  <c r="E406" i="3"/>
  <c r="E193" i="3"/>
  <c r="E104" i="3"/>
  <c r="E372" i="3"/>
  <c r="E238" i="3"/>
  <c r="E234" i="3"/>
  <c r="E26" i="3"/>
  <c r="E81" i="3"/>
  <c r="E365" i="3"/>
  <c r="R6" i="3"/>
  <c r="E313" i="3"/>
  <c r="E139" i="3"/>
  <c r="E368" i="3"/>
  <c r="E172" i="3"/>
  <c r="E38" i="3"/>
  <c r="E49" i="3"/>
  <c r="E471" i="3"/>
  <c r="E141" i="3"/>
  <c r="E583" i="3"/>
  <c r="W6" i="3"/>
  <c r="E399" i="3"/>
  <c r="E122" i="3"/>
  <c r="E476" i="3"/>
  <c r="E562" i="3"/>
  <c r="E482" i="3"/>
  <c r="E167" i="3"/>
  <c r="E132" i="3"/>
  <c r="E439" i="3"/>
  <c r="E309" i="3"/>
  <c r="E211" i="3"/>
  <c r="E175" i="3"/>
  <c r="E111" i="3"/>
  <c r="E44" i="3"/>
  <c r="E18" i="3"/>
  <c r="E392" i="3"/>
  <c r="E93" i="3"/>
  <c r="O6" i="3"/>
  <c r="E400" i="3"/>
  <c r="E358" i="3"/>
  <c r="E119" i="3"/>
  <c r="E361" i="3"/>
  <c r="E564" i="3"/>
  <c r="E357" i="3"/>
  <c r="E37" i="3"/>
  <c r="E396" i="3"/>
  <c r="E316" i="3"/>
  <c r="E426" i="3"/>
  <c r="E446" i="3"/>
  <c r="E467" i="3"/>
  <c r="E457" i="3"/>
  <c r="E277" i="3"/>
  <c r="E531" i="3"/>
  <c r="E526" i="3"/>
  <c r="E401" i="3"/>
  <c r="E432" i="3"/>
  <c r="E155" i="3"/>
  <c r="E494" i="3"/>
  <c r="E506" i="3"/>
  <c r="E305" i="3"/>
  <c r="E153" i="3"/>
  <c r="E409" i="3"/>
  <c r="E322" i="3"/>
  <c r="E492" i="3"/>
  <c r="E281" i="3"/>
  <c r="L6" i="3"/>
  <c r="E516" i="3"/>
  <c r="E566" i="3"/>
  <c r="E200" i="3"/>
  <c r="E326" i="3"/>
  <c r="AG6" i="3"/>
  <c r="E402" i="3"/>
  <c r="E475" i="3"/>
  <c r="E72" i="3"/>
  <c r="E371" i="3"/>
  <c r="E86" i="3"/>
  <c r="E42" i="3"/>
  <c r="E101" i="3"/>
  <c r="E315" i="3"/>
  <c r="E515" i="3"/>
  <c r="E486" i="3"/>
  <c r="E545" i="3"/>
  <c r="E334" i="3"/>
  <c r="AN6" i="3"/>
  <c r="E56" i="3"/>
  <c r="E208" i="3"/>
  <c r="E152" i="3"/>
  <c r="E324" i="3"/>
  <c r="E478" i="3"/>
  <c r="AS6" i="3"/>
  <c r="E521" i="3"/>
  <c r="E233" i="3"/>
  <c r="E206" i="3"/>
  <c r="E443" i="3"/>
  <c r="E133" i="3"/>
  <c r="E418" i="3"/>
  <c r="E329" i="3"/>
  <c r="E487" i="3"/>
  <c r="E131" i="3"/>
  <c r="E497" i="3"/>
  <c r="E161" i="3"/>
  <c r="E191" i="3"/>
  <c r="E288" i="3"/>
  <c r="E236" i="3"/>
  <c r="AL6" i="3"/>
  <c r="E94" i="3"/>
  <c r="E97" i="3"/>
  <c r="E265" i="3"/>
  <c r="E580" i="3"/>
  <c r="E302" i="3"/>
  <c r="E242" i="3"/>
  <c r="E367" i="3"/>
  <c r="E470" i="3"/>
  <c r="E466" i="3"/>
  <c r="E347" i="3"/>
  <c r="E156" i="3"/>
  <c r="E319" i="3"/>
  <c r="E255" i="3"/>
  <c r="E205" i="3"/>
  <c r="E447" i="3"/>
  <c r="E65" i="3"/>
  <c r="E215" i="3"/>
  <c r="E560" i="3"/>
  <c r="E241" i="3"/>
  <c r="E246" i="3"/>
  <c r="E247" i="3"/>
  <c r="AP6" i="3"/>
  <c r="P6" i="3"/>
  <c r="E219" i="3"/>
  <c r="E258" i="3"/>
  <c r="E274" i="3"/>
  <c r="E183" i="3"/>
  <c r="E64" i="3"/>
  <c r="V6" i="3"/>
  <c r="U6" i="3"/>
  <c r="E202" i="3"/>
  <c r="E29" i="3"/>
  <c r="AB6" i="3"/>
  <c r="E91" i="3"/>
  <c r="E565" i="3"/>
  <c r="E325" i="3"/>
  <c r="E578" i="3"/>
  <c r="E158" i="3"/>
  <c r="E198" i="3"/>
  <c r="E124" i="3"/>
  <c r="E419" i="3"/>
  <c r="E52" i="3"/>
  <c r="X6" i="3"/>
  <c r="E477" i="3"/>
  <c r="E514" i="3"/>
  <c r="E196" i="3"/>
  <c r="E480" i="3"/>
  <c r="E405" i="3"/>
  <c r="E228" i="3"/>
  <c r="E454" i="3"/>
  <c r="E120" i="3"/>
  <c r="E364" i="3"/>
  <c r="E113" i="3"/>
  <c r="E115" i="3"/>
  <c r="E352" i="3"/>
  <c r="E483" i="3"/>
  <c r="E134" i="3"/>
  <c r="E221" i="3"/>
  <c r="E397" i="3"/>
  <c r="E300" i="3"/>
  <c r="E294" i="3"/>
  <c r="E542" i="3"/>
  <c r="E563" i="3"/>
  <c r="E204" i="3"/>
  <c r="E231" i="3"/>
  <c r="E522" i="3"/>
  <c r="E507" i="3"/>
  <c r="E500" i="3"/>
  <c r="E424" i="3"/>
  <c r="E69" i="3"/>
  <c r="E464" i="3"/>
  <c r="E499" i="3"/>
  <c r="E362" i="3"/>
  <c r="E423" i="3"/>
  <c r="E60" i="3"/>
  <c r="E350" i="3"/>
  <c r="E57" i="3"/>
  <c r="E190" i="3"/>
  <c r="E366" i="3"/>
  <c r="E577" i="3"/>
  <c r="E163" i="3"/>
  <c r="E548" i="3"/>
  <c r="E510" i="3"/>
  <c r="E136" i="3"/>
  <c r="E88" i="3"/>
  <c r="E79" i="3"/>
  <c r="E555" i="3"/>
  <c r="E283" i="3"/>
  <c r="E541" i="3"/>
  <c r="E237" i="3"/>
  <c r="E54" i="3"/>
  <c r="E513" i="3"/>
  <c r="E403" i="3"/>
  <c r="E410" i="3"/>
  <c r="E491" i="3"/>
  <c r="E272" i="3"/>
  <c r="AF6" i="3"/>
  <c r="E533" i="3"/>
  <c r="E556" i="3"/>
  <c r="E293" i="3"/>
  <c r="E23" i="3"/>
  <c r="E534" i="3"/>
  <c r="E490" i="3"/>
  <c r="AH6" i="3"/>
  <c r="E554" i="3"/>
  <c r="E383" i="3"/>
  <c r="E291" i="3"/>
  <c r="E524" i="3"/>
  <c r="E51" i="3"/>
  <c r="E420" i="3"/>
  <c r="E28" i="3"/>
  <c r="E87" i="3"/>
  <c r="E561" i="3"/>
  <c r="E275" i="3"/>
  <c r="E108" i="3"/>
  <c r="E235" i="3"/>
  <c r="E203" i="3"/>
  <c r="E353" i="3"/>
  <c r="E15" i="3"/>
  <c r="E428" i="3"/>
  <c r="E232" i="3"/>
  <c r="E318" i="3"/>
  <c r="E126" i="3"/>
  <c r="E529" i="3"/>
  <c r="E296" i="3"/>
  <c r="E82" i="3"/>
  <c r="E99" i="3"/>
  <c r="E573" i="3"/>
  <c r="E307" i="3"/>
  <c r="E289" i="3"/>
  <c r="E323" i="3"/>
  <c r="E445" i="3"/>
  <c r="E77" i="3"/>
  <c r="E116" i="3"/>
  <c r="J6" i="3"/>
  <c r="E474" i="3"/>
  <c r="E271" i="3"/>
  <c r="E147" i="3"/>
  <c r="E557" i="3"/>
  <c r="E373" i="3"/>
  <c r="E188" i="3"/>
  <c r="E186" i="3"/>
  <c r="E254" i="3"/>
  <c r="E197" i="3"/>
  <c r="E342" i="3"/>
  <c r="E102" i="3"/>
  <c r="E230" i="3"/>
  <c r="E179" i="3"/>
  <c r="E162" i="3"/>
  <c r="E112" i="3"/>
  <c r="E398" i="3"/>
  <c r="E455" i="3"/>
  <c r="E328" i="3"/>
  <c r="E504" i="3"/>
  <c r="E229" i="3"/>
  <c r="E222" i="3"/>
  <c r="E434" i="3"/>
  <c r="E61" i="3"/>
  <c r="E437" i="3"/>
  <c r="E276" i="3"/>
  <c r="E327" i="3"/>
  <c r="E130" i="3"/>
  <c r="E30" i="3"/>
  <c r="E135" i="3"/>
  <c r="E438" i="3"/>
  <c r="E441" i="3"/>
  <c r="E284" i="3"/>
  <c r="E452" i="3"/>
  <c r="E299" i="3"/>
  <c r="E407" i="3"/>
  <c r="E444" i="3"/>
  <c r="E517" i="3"/>
  <c r="E395" i="3"/>
  <c r="E282" i="3"/>
  <c r="E341" i="3"/>
  <c r="E378" i="3"/>
  <c r="E74" i="3"/>
  <c r="E558" i="3"/>
  <c r="E346" i="3"/>
  <c r="E503" i="3"/>
  <c r="E31" i="3"/>
  <c r="E581" i="3"/>
  <c r="E376" i="3"/>
  <c r="E413" i="3"/>
  <c r="E385" i="3"/>
  <c r="E321" i="3"/>
  <c r="E170" i="3"/>
  <c r="E429" i="3"/>
  <c r="E354" i="3"/>
  <c r="E269" i="3"/>
  <c r="E59" i="3"/>
  <c r="E21" i="3"/>
  <c r="AE6" i="3"/>
  <c r="E544" i="3"/>
  <c r="E266" i="3"/>
  <c r="E46" i="3"/>
  <c r="E252" i="3"/>
  <c r="E146" i="3"/>
  <c r="E160" i="3"/>
  <c r="E511" i="3"/>
  <c r="N6" i="3"/>
  <c r="E227" i="3"/>
  <c r="E73" i="3"/>
  <c r="E25" i="3"/>
  <c r="E553" i="3"/>
  <c r="E106" i="3"/>
  <c r="E95" i="3"/>
  <c r="E525" i="3"/>
  <c r="E550" i="3"/>
  <c r="E41" i="3"/>
  <c r="E63" i="3"/>
  <c r="E574" i="3"/>
  <c r="E150" i="3"/>
  <c r="E355" i="3"/>
  <c r="E138" i="3"/>
  <c r="E567" i="3"/>
  <c r="E285" i="3"/>
  <c r="E547" i="3"/>
  <c r="E369" i="3"/>
  <c r="E223" i="3"/>
  <c r="E451" i="3"/>
  <c r="E380" i="3"/>
  <c r="E195" i="3"/>
  <c r="E390" i="3"/>
  <c r="E176" i="3"/>
  <c r="E586" i="3"/>
  <c r="E244" i="3"/>
  <c r="E417" i="3"/>
  <c r="E523" i="3"/>
  <c r="E243" i="3"/>
  <c r="E430" i="3"/>
  <c r="E479" i="3"/>
  <c r="E109" i="3"/>
  <c r="E239" i="3"/>
  <c r="E442" i="3"/>
  <c r="E78" i="3"/>
  <c r="E105" i="3"/>
  <c r="E36" i="3"/>
  <c r="E387" i="3"/>
  <c r="E502" i="3"/>
  <c r="E33" i="3"/>
  <c r="S6" i="3"/>
  <c r="E431" i="3"/>
  <c r="E582" i="3"/>
  <c r="E261" i="3"/>
  <c r="E149" i="3"/>
  <c r="E22" i="3"/>
  <c r="E568" i="3"/>
  <c r="E201" i="3"/>
  <c r="E16" i="3"/>
  <c r="E164" i="3"/>
  <c r="E45" i="3"/>
  <c r="E76" i="3"/>
  <c r="E388" i="3"/>
  <c r="E260" i="3"/>
  <c r="E584" i="3"/>
  <c r="E360" i="3"/>
  <c r="E253" i="3"/>
  <c r="E84" i="3"/>
  <c r="E169" i="3"/>
  <c r="E180" i="3"/>
  <c r="E414" i="3"/>
  <c r="E488" i="3"/>
  <c r="E458" i="3"/>
  <c r="E389" i="3"/>
  <c r="E19" i="3"/>
  <c r="E508" i="3"/>
  <c r="E292" i="3"/>
  <c r="E468" i="3"/>
  <c r="E168" i="3"/>
  <c r="E187" i="3"/>
  <c r="E125" i="3"/>
  <c r="E435" i="3"/>
  <c r="E68" i="3"/>
  <c r="E381" i="3"/>
  <c r="E182" i="3"/>
  <c r="E303" i="3"/>
  <c r="E473" i="3"/>
  <c r="E375" i="3"/>
  <c r="E248" i="3"/>
  <c r="E295" i="3"/>
  <c r="E209" i="3"/>
  <c r="E535" i="3"/>
  <c r="E330" i="3"/>
  <c r="E127" i="3"/>
  <c r="E450" i="3"/>
  <c r="E304" i="3"/>
  <c r="E240" i="3"/>
  <c r="E336" i="3"/>
  <c r="E306" i="3"/>
  <c r="E543" i="3"/>
  <c r="E250" i="3"/>
  <c r="E262" i="3"/>
  <c r="E137" i="3"/>
  <c r="E58" i="3"/>
  <c r="AI6" i="3"/>
  <c r="E298" i="3"/>
  <c r="E469" i="3"/>
  <c r="E310" i="3"/>
  <c r="E259" i="3"/>
  <c r="E333" i="3"/>
  <c r="E532" i="3"/>
  <c r="E374" i="3"/>
  <c r="E174" i="3"/>
  <c r="E585" i="3"/>
  <c r="E363" i="3"/>
  <c r="E461" i="3"/>
  <c r="AA6" i="3"/>
  <c r="E528" i="3"/>
  <c r="E173" i="3"/>
  <c r="E17" i="3"/>
  <c r="M6" i="3"/>
  <c r="AY6" i="3"/>
  <c r="AY370" i="3" s="1"/>
  <c r="M26" i="6"/>
  <c r="I26" i="6" s="1"/>
  <c r="S26" i="6" s="1"/>
  <c r="S13" i="1"/>
  <c r="E66" i="39"/>
  <c r="C29" i="69"/>
  <c r="D27" i="69" s="1"/>
  <c r="C47" i="69"/>
  <c r="D45" i="69" s="1"/>
  <c r="F45" i="69"/>
  <c r="S8" i="1"/>
  <c r="M21" i="6"/>
  <c r="I21" i="6" s="1"/>
  <c r="S9" i="1"/>
  <c r="M22" i="6"/>
  <c r="I22" i="6" s="1"/>
  <c r="S22" i="6" s="1"/>
  <c r="S10" i="1"/>
  <c r="M23" i="6"/>
  <c r="I23" i="6" s="1"/>
  <c r="S23" i="6" s="1"/>
  <c r="S6" i="1"/>
  <c r="M19" i="6"/>
  <c r="K27" i="6"/>
  <c r="U10" i="40"/>
  <c r="AB10" i="40"/>
  <c r="AB10" i="39"/>
  <c r="T47" i="39" s="1"/>
  <c r="G47" i="39" s="1"/>
  <c r="U10" i="39"/>
  <c r="AC10" i="39"/>
  <c r="V47" i="39" s="1"/>
  <c r="I47" i="39" s="1"/>
  <c r="W10" i="39"/>
  <c r="P8" i="1"/>
  <c r="P16" i="1" s="1"/>
  <c r="C11" i="12" s="1"/>
  <c r="AY75" i="3"/>
  <c r="AY491" i="3"/>
  <c r="AY354" i="3"/>
  <c r="AY204" i="3"/>
  <c r="AY251" i="3"/>
  <c r="AY478" i="3"/>
  <c r="AY341" i="3"/>
  <c r="AY233" i="3"/>
  <c r="AY286" i="3"/>
  <c r="BE6" i="3"/>
  <c r="AY190" i="3"/>
  <c r="AY208" i="3"/>
  <c r="AY445" i="3"/>
  <c r="AY576" i="3"/>
  <c r="AY479" i="3"/>
  <c r="AY119" i="3"/>
  <c r="AY222" i="3"/>
  <c r="AY531" i="3"/>
  <c r="AY189" i="3"/>
  <c r="AY522" i="3"/>
  <c r="BI6" i="3"/>
  <c r="AY504" i="3"/>
  <c r="AY421" i="3"/>
  <c r="AY397" i="3"/>
  <c r="AY417" i="3"/>
  <c r="AY577" i="3"/>
  <c r="AY48" i="3"/>
  <c r="BT6" i="3"/>
  <c r="AY317" i="3"/>
  <c r="AY374" i="3"/>
  <c r="AY489" i="3"/>
  <c r="AY105" i="3"/>
  <c r="AY186" i="3"/>
  <c r="AY358" i="3"/>
  <c r="AY301" i="3"/>
  <c r="AY324" i="3"/>
  <c r="AY493" i="3"/>
  <c r="AY287" i="3"/>
  <c r="AY109" i="3"/>
  <c r="AY41" i="3"/>
  <c r="AY127" i="3"/>
  <c r="AY163" i="3"/>
  <c r="AY143" i="3"/>
  <c r="AY202" i="3"/>
  <c r="AY267" i="3"/>
  <c r="BJ6" i="3"/>
  <c r="AY248" i="3"/>
  <c r="AY415" i="3"/>
  <c r="AY488" i="3"/>
  <c r="AY343" i="3"/>
  <c r="AY167" i="3"/>
  <c r="AY30" i="3"/>
  <c r="AY359" i="3"/>
  <c r="AY538" i="3"/>
  <c r="AY200" i="3"/>
  <c r="AY386" i="3"/>
  <c r="AY549" i="3"/>
  <c r="AY434" i="3"/>
  <c r="AY330" i="3"/>
  <c r="AY55" i="3"/>
  <c r="AY107" i="3"/>
  <c r="AY320" i="3"/>
  <c r="AY291" i="3"/>
  <c r="AY295" i="3"/>
  <c r="AY511" i="3"/>
  <c r="AY298" i="3"/>
  <c r="AY449" i="3"/>
  <c r="AY542" i="3"/>
  <c r="AY278" i="3"/>
  <c r="AY269" i="3"/>
  <c r="AY366" i="3"/>
  <c r="AY13" i="3"/>
  <c r="AY80" i="3"/>
  <c r="AY566" i="3"/>
  <c r="AY422" i="3"/>
  <c r="AY145" i="3"/>
  <c r="AY407" i="3"/>
  <c r="AY43" i="3"/>
  <c r="AY241" i="3"/>
  <c r="AY212" i="3"/>
  <c r="AY37" i="3"/>
  <c r="AY290" i="3"/>
  <c r="AY499" i="3"/>
  <c r="AY517" i="3"/>
  <c r="AY570" i="3"/>
  <c r="AY24" i="3"/>
  <c r="AY64" i="3"/>
  <c r="AY264" i="3"/>
  <c r="AY294" i="3"/>
  <c r="AY256" i="3"/>
  <c r="AY416" i="3"/>
  <c r="AY446" i="3"/>
  <c r="AY128" i="3"/>
  <c r="AY81" i="3"/>
  <c r="AY405" i="3"/>
  <c r="AY181" i="3"/>
  <c r="AY473" i="3"/>
  <c r="AY191" i="3"/>
  <c r="AY525" i="3"/>
  <c r="AY35" i="3"/>
  <c r="AY583" i="3"/>
  <c r="AY398" i="3"/>
  <c r="AY325" i="3"/>
  <c r="AY271" i="3"/>
  <c r="AY219" i="3"/>
  <c r="AY89" i="3"/>
  <c r="AY86" i="3"/>
  <c r="AY456" i="3"/>
  <c r="AY268" i="3"/>
  <c r="AY85" i="3"/>
  <c r="AY404" i="3"/>
  <c r="AY455" i="3"/>
  <c r="AY116" i="3"/>
  <c r="AY292" i="3"/>
  <c r="AY276" i="3"/>
  <c r="AY520" i="3"/>
  <c r="AY450" i="3"/>
  <c r="AY270" i="3"/>
  <c r="AY150" i="3"/>
  <c r="AY523" i="3"/>
  <c r="AY539" i="3"/>
  <c r="AY545" i="3"/>
  <c r="F45" i="68"/>
  <c r="C47" i="68"/>
  <c r="D45" i="68" s="1"/>
  <c r="C47" i="11"/>
  <c r="D45" i="11" s="1"/>
  <c r="S11" i="1"/>
  <c r="M24" i="6"/>
  <c r="I24" i="6" s="1"/>
  <c r="S24" i="6" s="1"/>
  <c r="S12" i="1"/>
  <c r="M25" i="6"/>
  <c r="I25" i="6" s="1"/>
  <c r="S25" i="6" s="1"/>
  <c r="S7" i="1"/>
  <c r="M20" i="6"/>
  <c r="I20" i="6" s="1"/>
  <c r="S20" i="6" s="1"/>
  <c r="AA10" i="39"/>
  <c r="R47" i="39" s="1"/>
  <c r="S10" i="39"/>
  <c r="AA10" i="40"/>
  <c r="S10" i="40"/>
  <c r="W10" i="40"/>
  <c r="AC10" i="40"/>
  <c r="N16" i="1"/>
  <c r="D37" i="11"/>
  <c r="E6" i="6"/>
  <c r="M18" i="9"/>
  <c r="B118" i="9" s="1"/>
  <c r="B14" i="74" s="1"/>
  <c r="D19" i="11"/>
  <c r="C19" i="11" s="1"/>
  <c r="D14" i="12"/>
  <c r="D3" i="33"/>
  <c r="B2" i="33" s="1"/>
  <c r="B3" i="33" s="1"/>
  <c r="D3" i="34"/>
  <c r="B2" i="34" s="1"/>
  <c r="B3" i="34" s="1"/>
  <c r="C17" i="4"/>
  <c r="B4" i="52" s="1"/>
  <c r="B43" i="72" s="1"/>
  <c r="D3" i="37"/>
  <c r="B2" i="37" s="1"/>
  <c r="B3" i="37" s="1"/>
  <c r="L18" i="9"/>
  <c r="C17" i="96"/>
  <c r="C17" i="15"/>
  <c r="D10" i="83"/>
  <c r="C17" i="91"/>
  <c r="AY411" i="3" l="1"/>
  <c r="AY46" i="3"/>
  <c r="AY132" i="3"/>
  <c r="AY586" i="3"/>
  <c r="AY471" i="3"/>
  <c r="AY495" i="3"/>
  <c r="AY469" i="3"/>
  <c r="AY94" i="3"/>
  <c r="AY63" i="3"/>
  <c r="AY49" i="3"/>
  <c r="AY388" i="3"/>
  <c r="AY529" i="3"/>
  <c r="AY435" i="3"/>
  <c r="AY302" i="3"/>
  <c r="AY42" i="3"/>
  <c r="AY106" i="3"/>
  <c r="AY152" i="3"/>
  <c r="AY331" i="3"/>
  <c r="AY96" i="3"/>
  <c r="AY104" i="3"/>
  <c r="AY54" i="3"/>
  <c r="AY122" i="3"/>
  <c r="AY170" i="3"/>
  <c r="AY396" i="3"/>
  <c r="AY97" i="3"/>
  <c r="AY149" i="3"/>
  <c r="AY494" i="3"/>
  <c r="AY228" i="3"/>
  <c r="AY281" i="3"/>
  <c r="AY327" i="3"/>
  <c r="AY79" i="3"/>
  <c r="AY70" i="3"/>
  <c r="AY436" i="3"/>
  <c r="AY166" i="3"/>
  <c r="AY454" i="3"/>
  <c r="AY27" i="3"/>
  <c r="AY340" i="3"/>
  <c r="AY543" i="3"/>
  <c r="AY51" i="3"/>
  <c r="AY337" i="3"/>
  <c r="AY482" i="3"/>
  <c r="AY229" i="3"/>
  <c r="AY205" i="3"/>
  <c r="AY339" i="3"/>
  <c r="AY198" i="3"/>
  <c r="AY257" i="3"/>
  <c r="AY244" i="3"/>
  <c r="D3" i="6"/>
  <c r="AY316" i="3"/>
  <c r="AY393" i="3"/>
  <c r="AY460" i="3"/>
  <c r="AY103" i="3"/>
  <c r="AY153" i="3"/>
  <c r="AY342" i="3"/>
  <c r="AY17" i="3"/>
  <c r="AY568" i="3"/>
  <c r="AY453" i="3"/>
  <c r="BC6" i="3"/>
  <c r="AY518" i="3"/>
  <c r="AY311" i="3"/>
  <c r="AY245" i="3"/>
  <c r="AY438" i="3"/>
  <c r="AY250" i="3"/>
  <c r="AY414" i="3"/>
  <c r="AY560" i="3"/>
  <c r="AY14" i="3"/>
  <c r="AY373" i="3"/>
  <c r="AY383" i="3"/>
  <c r="AY66" i="3"/>
  <c r="AY125" i="3"/>
  <c r="AY262" i="3"/>
  <c r="AY533" i="3"/>
  <c r="AY129" i="3"/>
  <c r="AY536" i="3"/>
  <c r="AY118" i="3"/>
  <c r="AY209" i="3"/>
  <c r="AY69" i="3"/>
  <c r="AY52" i="3"/>
  <c r="AY246" i="3"/>
  <c r="BO6" i="3"/>
  <c r="AY28" i="3"/>
  <c r="AY100" i="3"/>
  <c r="AY527" i="3"/>
  <c r="AY45" i="3"/>
  <c r="AY84" i="3"/>
  <c r="AY481" i="3"/>
  <c r="AY147" i="3"/>
  <c r="AY487" i="3"/>
  <c r="AY53" i="3"/>
  <c r="AY265" i="3"/>
  <c r="AY512" i="3"/>
  <c r="AY530" i="3"/>
  <c r="AY175" i="3"/>
  <c r="AY171" i="3"/>
  <c r="AY335" i="3"/>
  <c r="AY238" i="3"/>
  <c r="AY441" i="3"/>
  <c r="AY21" i="3"/>
  <c r="AY328" i="3"/>
  <c r="AY432" i="3"/>
  <c r="AY377" i="3"/>
  <c r="AY120" i="3"/>
  <c r="AY468" i="3"/>
  <c r="AY95" i="3"/>
  <c r="AY466" i="3"/>
  <c r="AY288" i="3"/>
  <c r="AY552" i="3"/>
  <c r="AY336" i="3"/>
  <c r="AY146" i="3"/>
  <c r="AY497" i="3"/>
  <c r="AY535" i="3"/>
  <c r="AY553" i="3"/>
  <c r="AY137" i="3"/>
  <c r="AY98" i="3"/>
  <c r="AY387" i="3"/>
  <c r="AY391" i="3"/>
  <c r="AY443" i="3"/>
  <c r="AY338" i="3"/>
  <c r="AY509" i="3"/>
  <c r="AY395" i="3"/>
  <c r="AY289" i="3"/>
  <c r="AY459" i="3"/>
  <c r="AY378" i="3"/>
  <c r="AY380" i="3"/>
  <c r="AY32" i="3"/>
  <c r="AY156" i="3"/>
  <c r="AY544" i="3"/>
  <c r="AY261" i="3"/>
  <c r="AY392" i="3"/>
  <c r="AY47" i="3"/>
  <c r="AY306" i="3"/>
  <c r="AY59" i="3"/>
  <c r="AY57" i="3"/>
  <c r="AY357" i="3"/>
  <c r="AY534" i="3"/>
  <c r="AY296" i="3"/>
  <c r="AY243" i="3"/>
  <c r="AY526" i="3"/>
  <c r="AY23" i="3"/>
  <c r="AY254" i="3"/>
  <c r="AY159" i="3"/>
  <c r="AY420" i="3"/>
  <c r="AY565" i="3"/>
  <c r="AY312" i="3"/>
  <c r="AY72" i="3"/>
  <c r="BG6" i="3"/>
  <c r="AY332" i="3"/>
  <c r="AY505" i="3"/>
  <c r="AY182" i="3"/>
  <c r="AY307" i="3"/>
  <c r="AY516" i="3"/>
  <c r="AY249" i="3"/>
  <c r="AY196" i="3"/>
  <c r="AY394" i="3"/>
  <c r="AY76" i="3"/>
  <c r="AY197" i="3"/>
  <c r="AY368" i="3"/>
  <c r="AY361" i="3"/>
  <c r="AY351" i="3"/>
  <c r="AY485" i="3"/>
  <c r="AY551" i="3"/>
  <c r="AY112" i="3"/>
  <c r="AY461" i="3"/>
  <c r="AY141" i="3"/>
  <c r="AY277" i="3"/>
  <c r="AY562" i="3"/>
  <c r="AY390" i="3"/>
  <c r="AY38" i="3"/>
  <c r="AY220" i="3"/>
  <c r="AY236" i="3"/>
  <c r="AY135" i="3"/>
  <c r="AY462" i="3"/>
  <c r="AY65" i="3"/>
  <c r="AY382" i="3"/>
  <c r="AY58" i="3"/>
  <c r="AY90" i="3"/>
  <c r="AY303" i="3"/>
  <c r="AY389" i="3"/>
  <c r="AY61" i="3"/>
  <c r="AY550" i="3"/>
  <c r="AY483" i="3"/>
  <c r="AY582" i="3"/>
  <c r="AY234" i="3"/>
  <c r="AY101" i="3"/>
  <c r="AY144" i="3"/>
  <c r="AY427" i="3"/>
  <c r="AY444" i="3"/>
  <c r="AY115" i="3"/>
  <c r="AY424" i="3"/>
  <c r="AY62" i="3"/>
  <c r="AY242" i="3"/>
  <c r="BF6" i="3"/>
  <c r="AY300" i="3"/>
  <c r="AY365" i="3"/>
  <c r="AY457" i="3"/>
  <c r="AY547" i="3"/>
  <c r="AY113" i="3"/>
  <c r="AY329" i="3"/>
  <c r="AY500" i="3"/>
  <c r="AY508" i="3"/>
  <c r="AY569" i="3"/>
  <c r="AY178" i="3"/>
  <c r="AY585" i="3"/>
  <c r="AY177" i="3"/>
  <c r="BQ6" i="3"/>
  <c r="AY284" i="3"/>
  <c r="AY240" i="3"/>
  <c r="AY362" i="3"/>
  <c r="AY230" i="3"/>
  <c r="AY323" i="3"/>
  <c r="AY87" i="3"/>
  <c r="AY151" i="3"/>
  <c r="AY283" i="3"/>
  <c r="AY15" i="3"/>
  <c r="BR6" i="3"/>
  <c r="AY472" i="3"/>
  <c r="AY430" i="3"/>
  <c r="AY225" i="3"/>
  <c r="AY293" i="3"/>
  <c r="AY193" i="3"/>
  <c r="AY239" i="3"/>
  <c r="AY334" i="3"/>
  <c r="BK6" i="3"/>
  <c r="AY475" i="3"/>
  <c r="BS6" i="3"/>
  <c r="AY364" i="3"/>
  <c r="AY567" i="3"/>
  <c r="AY110" i="3"/>
  <c r="AY148" i="3"/>
  <c r="BL6" i="3"/>
  <c r="AY155" i="3"/>
  <c r="AY401" i="3"/>
  <c r="AY412" i="3"/>
  <c r="AY237" i="3"/>
  <c r="AY160" i="3"/>
  <c r="AY579" i="3"/>
  <c r="AY353" i="3"/>
  <c r="AY20" i="3"/>
  <c r="AY83" i="3"/>
  <c r="AY345" i="3"/>
  <c r="AY557" i="3"/>
  <c r="AY384" i="3"/>
  <c r="AY213" i="3"/>
  <c r="AY452" i="3"/>
  <c r="AY480" i="3"/>
  <c r="AY274" i="3"/>
  <c r="BA6" i="3"/>
  <c r="AY490" i="3"/>
  <c r="AY309" i="3"/>
  <c r="AY546" i="3"/>
  <c r="AY470" i="3"/>
  <c r="AY142" i="3"/>
  <c r="AY232" i="3"/>
  <c r="AY541" i="3"/>
  <c r="AY501" i="3"/>
  <c r="AY221" i="3"/>
  <c r="AY93" i="3"/>
  <c r="AY440" i="3"/>
  <c r="AY587" i="3"/>
  <c r="AY319" i="3"/>
  <c r="AY413" i="3"/>
  <c r="AY465" i="3"/>
  <c r="AY561" i="3"/>
  <c r="AY123" i="3"/>
  <c r="AY154" i="3"/>
  <c r="AY39" i="3"/>
  <c r="AY580" i="3"/>
  <c r="AY184" i="3"/>
  <c r="AY255" i="3"/>
  <c r="AY313" i="3"/>
  <c r="AY199" i="3"/>
  <c r="AY56" i="3"/>
  <c r="AY492" i="3"/>
  <c r="AY173" i="3"/>
  <c r="AY131" i="3"/>
  <c r="AY33" i="3"/>
  <c r="AY185" i="3"/>
  <c r="AY99" i="3"/>
  <c r="AY36" i="3"/>
  <c r="BH6" i="3"/>
  <c r="AY402" i="3"/>
  <c r="AY223" i="3"/>
  <c r="AY409" i="3"/>
  <c r="AY433" i="3"/>
  <c r="AY524" i="3"/>
  <c r="AY423" i="3"/>
  <c r="AY273" i="3"/>
  <c r="AY216" i="3"/>
  <c r="AY218" i="3"/>
  <c r="AY564" i="3"/>
  <c r="AY140" i="3"/>
  <c r="AY117" i="3"/>
  <c r="AY297" i="3"/>
  <c r="AY203" i="3"/>
  <c r="AY355" i="3"/>
  <c r="AY78" i="3"/>
  <c r="AY346" i="3"/>
  <c r="AY162" i="3"/>
  <c r="AY16" i="3"/>
  <c r="AY448" i="3"/>
  <c r="AY321" i="3"/>
  <c r="AY399" i="3"/>
  <c r="AY367" i="3"/>
  <c r="AY304" i="3"/>
  <c r="AY584" i="3"/>
  <c r="AY165" i="3"/>
  <c r="AY418" i="3"/>
  <c r="AY136" i="3"/>
  <c r="AY247" i="3"/>
  <c r="AY314" i="3"/>
  <c r="AY537" i="3"/>
  <c r="BD6" i="3"/>
  <c r="AY463" i="3"/>
  <c r="AY201" i="3"/>
  <c r="AY360" i="3"/>
  <c r="AY385" i="3"/>
  <c r="AY572" i="3"/>
  <c r="BB6" i="3"/>
  <c r="AY498" i="3"/>
  <c r="AY192" i="3"/>
  <c r="BM6" i="3"/>
  <c r="AY44" i="3"/>
  <c r="AY558" i="3"/>
  <c r="AY315" i="3"/>
  <c r="AY108" i="3"/>
  <c r="AY187" i="3"/>
  <c r="AY82" i="3"/>
  <c r="AY195" i="3"/>
  <c r="AY379" i="3"/>
  <c r="AY139" i="3"/>
  <c r="AY279" i="3"/>
  <c r="AY428" i="3"/>
  <c r="AY502" i="3"/>
  <c r="AY126" i="3"/>
  <c r="AY158" i="3"/>
  <c r="AY253" i="3"/>
  <c r="AY437" i="3"/>
  <c r="AY169" i="3"/>
  <c r="AY74" i="3"/>
  <c r="AY282" i="3"/>
  <c r="AY515" i="3"/>
  <c r="AY408" i="3"/>
  <c r="AY554" i="3"/>
  <c r="AY121" i="3"/>
  <c r="AY348" i="3"/>
  <c r="AY22" i="3"/>
  <c r="AY369" i="3"/>
  <c r="AY266" i="3"/>
  <c r="AY352" i="3"/>
  <c r="AY521" i="3"/>
  <c r="AY211" i="3"/>
  <c r="AY540" i="3"/>
  <c r="AY519" i="3"/>
  <c r="AY555" i="3"/>
  <c r="AY157" i="3"/>
  <c r="AY425" i="3"/>
  <c r="AY29" i="3"/>
  <c r="AY174" i="3"/>
  <c r="AY310" i="3"/>
  <c r="AY344" i="3"/>
  <c r="AY299" i="3"/>
  <c r="BN6" i="3"/>
  <c r="AY400" i="3"/>
  <c r="AY179" i="3"/>
  <c r="AY88" i="3"/>
  <c r="AY168" i="3"/>
  <c r="AY496" i="3"/>
  <c r="AY371" i="3"/>
  <c r="AY138" i="3"/>
  <c r="AY164" i="3"/>
  <c r="AY442" i="3"/>
  <c r="AY263" i="3"/>
  <c r="AY275" i="3"/>
  <c r="AY349" i="3"/>
  <c r="AY102" i="3"/>
  <c r="AY214" i="3"/>
  <c r="AY305" i="3"/>
  <c r="AY25" i="3"/>
  <c r="AY188" i="3"/>
  <c r="AY403" i="3"/>
  <c r="AY68" i="3"/>
  <c r="AY235" i="3"/>
  <c r="AY476" i="3"/>
  <c r="AY215" i="3"/>
  <c r="AY431" i="3"/>
  <c r="AY356" i="3"/>
  <c r="AY375" i="3"/>
  <c r="AY308" i="3"/>
  <c r="AY133" i="3"/>
  <c r="AY210" i="3"/>
  <c r="AY258" i="3"/>
  <c r="AY322" i="3"/>
  <c r="AY172" i="3"/>
  <c r="AY176" i="3"/>
  <c r="AY347" i="3"/>
  <c r="AY363" i="3"/>
  <c r="AY507" i="3"/>
  <c r="AY272" i="3"/>
  <c r="AY439" i="3"/>
  <c r="AY419" i="3"/>
  <c r="AY563" i="3"/>
  <c r="AY130" i="3"/>
  <c r="AY260" i="3"/>
  <c r="AY447" i="3"/>
  <c r="AY514" i="3"/>
  <c r="AY429" i="3"/>
  <c r="AY506" i="3"/>
  <c r="AY510" i="3"/>
  <c r="AY285" i="3"/>
  <c r="AY111" i="3"/>
  <c r="AY372" i="3"/>
  <c r="AY180" i="3"/>
  <c r="AY231" i="3"/>
  <c r="AY477" i="3"/>
  <c r="AY206" i="3"/>
  <c r="AY67" i="3"/>
  <c r="AY503" i="3"/>
  <c r="AY124" i="3"/>
  <c r="AY77" i="3"/>
  <c r="AY426" i="3"/>
  <c r="AY556" i="3"/>
  <c r="AY578" i="3"/>
  <c r="AY60" i="3"/>
  <c r="AY559" i="3"/>
  <c r="AY581" i="3"/>
  <c r="AY252" i="3"/>
  <c r="AY114" i="3"/>
  <c r="AY71" i="3"/>
  <c r="AY26" i="3"/>
  <c r="AY207" i="3"/>
  <c r="BP6" i="3"/>
  <c r="AY451" i="3"/>
  <c r="AY227" i="3"/>
  <c r="AY34" i="3"/>
  <c r="AY381" i="3"/>
  <c r="AY91" i="3"/>
  <c r="AY217" i="3"/>
  <c r="AY574" i="3"/>
  <c r="AY183" i="3"/>
  <c r="AY280" i="3"/>
  <c r="AY259" i="3"/>
  <c r="AY73" i="3"/>
  <c r="AY40" i="3"/>
  <c r="AY464" i="3"/>
  <c r="AY571" i="3"/>
  <c r="AY18" i="3"/>
  <c r="AY406" i="3"/>
  <c r="AY458" i="3"/>
  <c r="AY513" i="3"/>
  <c r="AY19" i="3"/>
  <c r="AY50" i="3"/>
  <c r="AY326" i="3"/>
  <c r="AY532" i="3"/>
  <c r="AY92" i="3"/>
  <c r="AY224" i="3"/>
  <c r="AY333" i="3"/>
  <c r="AY548" i="3"/>
  <c r="AY575" i="3"/>
  <c r="AY350" i="3"/>
  <c r="AY226" i="3"/>
  <c r="AY410" i="3"/>
  <c r="AY467" i="3"/>
  <c r="AY573" i="3"/>
  <c r="AY134" i="3"/>
  <c r="AY376" i="3"/>
  <c r="AY318" i="3"/>
  <c r="AY528" i="3"/>
  <c r="AY486" i="3"/>
  <c r="AY484" i="3"/>
  <c r="AY474" i="3"/>
  <c r="AY161" i="3"/>
  <c r="AY31" i="3"/>
  <c r="AY194" i="3"/>
  <c r="H6" i="3"/>
  <c r="AC6" i="3"/>
  <c r="H101" i="43"/>
  <c r="H22" i="43"/>
  <c r="G22" i="43"/>
  <c r="AH11" i="43"/>
  <c r="AH13" i="43" s="1"/>
  <c r="AB11" i="43"/>
  <c r="AB13" i="43" s="1"/>
  <c r="AA11" i="43"/>
  <c r="AA13" i="43" s="1"/>
  <c r="L101" i="43"/>
  <c r="E22" i="43"/>
  <c r="F101" i="43"/>
  <c r="Z11" i="43"/>
  <c r="Z13" i="43" s="1"/>
  <c r="M101" i="43"/>
  <c r="AF11" i="43"/>
  <c r="AF13" i="43" s="1"/>
  <c r="C101" i="43"/>
  <c r="Z7" i="43"/>
  <c r="AJ11" i="43"/>
  <c r="AJ13" i="43" s="1"/>
  <c r="G101" i="43"/>
  <c r="AC11" i="43"/>
  <c r="AC13" i="43" s="1"/>
  <c r="F22" i="43"/>
  <c r="J101" i="43"/>
  <c r="AD11" i="43"/>
  <c r="AD13" i="43" s="1"/>
  <c r="E101" i="43"/>
  <c r="D101" i="43"/>
  <c r="N101" i="43"/>
  <c r="N104" i="46"/>
  <c r="AI11" i="43"/>
  <c r="AI13" i="43" s="1"/>
  <c r="K101" i="43"/>
  <c r="I101" i="43"/>
  <c r="J22" i="43"/>
  <c r="B113" i="43"/>
  <c r="AE11" i="43"/>
  <c r="AE13" i="43" s="1"/>
  <c r="Y11" i="43"/>
  <c r="Y13" i="43" s="1"/>
  <c r="AG11" i="43"/>
  <c r="AG13" i="43" s="1"/>
  <c r="E13" i="70"/>
  <c r="C21" i="1"/>
  <c r="C13" i="12" s="1"/>
  <c r="AR13" i="1"/>
  <c r="T13" i="1"/>
  <c r="AQ13" i="1"/>
  <c r="C10" i="83"/>
  <c r="D19" i="83"/>
  <c r="D37" i="83" s="1"/>
  <c r="T7" i="1"/>
  <c r="AQ7" i="1"/>
  <c r="AR7" i="1"/>
  <c r="T12" i="1"/>
  <c r="AR12" i="1"/>
  <c r="AQ12" i="1"/>
  <c r="E12" i="70"/>
  <c r="C15" i="12"/>
  <c r="C12" i="12"/>
  <c r="I51" i="39"/>
  <c r="J51" i="39" s="1"/>
  <c r="G52" i="39"/>
  <c r="H52" i="39" s="1"/>
  <c r="G51" i="39"/>
  <c r="H51" i="39" s="1"/>
  <c r="T6" i="1"/>
  <c r="AR6" i="1"/>
  <c r="AQ6" i="1"/>
  <c r="S16" i="1"/>
  <c r="AR10" i="1"/>
  <c r="AQ10" i="1"/>
  <c r="T10" i="1"/>
  <c r="T9" i="1"/>
  <c r="AQ9" i="1"/>
  <c r="AR9" i="1"/>
  <c r="E9" i="70"/>
  <c r="T8" i="1"/>
  <c r="AR8" i="1"/>
  <c r="AQ8" i="1"/>
  <c r="C20" i="11"/>
  <c r="C28" i="11" s="1"/>
  <c r="C27" i="11" s="1"/>
  <c r="C24" i="11"/>
  <c r="D10" i="69"/>
  <c r="D10" i="68"/>
  <c r="D10" i="11"/>
  <c r="C10" i="11" s="1"/>
  <c r="D20" i="12"/>
  <c r="C20" i="12" s="1"/>
  <c r="C18" i="12" s="1"/>
  <c r="B23" i="1"/>
  <c r="B24" i="1"/>
  <c r="C24" i="83"/>
  <c r="C29" i="82"/>
  <c r="D27" i="82" s="1"/>
  <c r="C44" i="82"/>
  <c r="D41" i="82" s="1"/>
  <c r="C24" i="68"/>
  <c r="C44" i="11"/>
  <c r="D41" i="11" s="1"/>
  <c r="C24" i="82"/>
  <c r="C44" i="83"/>
  <c r="D41" i="83" s="1"/>
  <c r="C29" i="83"/>
  <c r="D27" i="83" s="1"/>
  <c r="C44" i="68"/>
  <c r="D41" i="68" s="1"/>
  <c r="E47" i="39"/>
  <c r="R48" i="39"/>
  <c r="AQ11" i="1"/>
  <c r="AR11" i="1"/>
  <c r="T11" i="1"/>
  <c r="C29" i="11"/>
  <c r="D27" i="11" s="1"/>
  <c r="D17" i="12"/>
  <c r="C17" i="12" s="1"/>
  <c r="C29" i="68"/>
  <c r="D27" i="68" s="1"/>
  <c r="D19" i="6"/>
  <c r="D25" i="6"/>
  <c r="D26" i="6"/>
  <c r="D8" i="6"/>
  <c r="D21" i="6"/>
  <c r="D28" i="6"/>
  <c r="M19" i="9"/>
  <c r="C118" i="9" s="1"/>
  <c r="C14" i="74" s="1"/>
  <c r="C18" i="4"/>
  <c r="D22" i="6"/>
  <c r="H25" i="6"/>
  <c r="D5" i="6"/>
  <c r="D14" i="6"/>
  <c r="D10" i="6"/>
  <c r="H23" i="6"/>
  <c r="D11" i="6"/>
  <c r="H24" i="6"/>
  <c r="D15" i="6"/>
  <c r="H20" i="6"/>
  <c r="D20" i="6"/>
  <c r="D23" i="6"/>
  <c r="R23" i="6" s="1"/>
  <c r="R10" i="1" s="1"/>
  <c r="H21" i="6"/>
  <c r="D6" i="6"/>
  <c r="D12" i="6"/>
  <c r="L19" i="9"/>
  <c r="H26" i="6"/>
  <c r="D29" i="6"/>
  <c r="H22" i="6"/>
  <c r="D9" i="6"/>
  <c r="D13" i="6"/>
  <c r="E61" i="40"/>
  <c r="F61" i="40" s="1"/>
  <c r="B2" i="40" s="1"/>
  <c r="B3" i="40" s="1"/>
  <c r="D24" i="6"/>
  <c r="I19" i="6"/>
  <c r="M27" i="6"/>
  <c r="S21" i="6"/>
  <c r="L18" i="81"/>
  <c r="C14" i="91"/>
  <c r="F34" i="83"/>
  <c r="C14" i="96"/>
  <c r="C14" i="15"/>
  <c r="F34" i="82"/>
  <c r="E6" i="3" l="1"/>
  <c r="D109" i="43"/>
  <c r="D105" i="43"/>
  <c r="D107" i="43"/>
  <c r="D102" i="43"/>
  <c r="D104" i="43"/>
  <c r="D106" i="43"/>
  <c r="D103" i="43"/>
  <c r="G105" i="43"/>
  <c r="G109" i="43"/>
  <c r="G103" i="43"/>
  <c r="G106" i="43"/>
  <c r="G104" i="43"/>
  <c r="G107" i="43"/>
  <c r="G102" i="43"/>
  <c r="D22" i="43"/>
  <c r="K103" i="43"/>
  <c r="K107" i="43"/>
  <c r="K104" i="43"/>
  <c r="K105" i="43"/>
  <c r="K106" i="43"/>
  <c r="K102" i="43"/>
  <c r="K109" i="43"/>
  <c r="E2" i="70"/>
  <c r="B115" i="43"/>
  <c r="I115" i="43"/>
  <c r="J115" i="43" s="1"/>
  <c r="K115" i="43" s="1"/>
  <c r="L115" i="43" s="1"/>
  <c r="M115" i="43" s="1"/>
  <c r="D115" i="43"/>
  <c r="E115" i="43" s="1"/>
  <c r="F115" i="43" s="1"/>
  <c r="G115" i="43" s="1"/>
  <c r="H115" i="43" s="1"/>
  <c r="G118" i="43"/>
  <c r="H118" i="43" s="1"/>
  <c r="D117" i="43"/>
  <c r="E117" i="43" s="1"/>
  <c r="F117" i="43" s="1"/>
  <c r="G117" i="43" s="1"/>
  <c r="H117" i="43" s="1"/>
  <c r="I117" i="43"/>
  <c r="J117" i="43" s="1"/>
  <c r="K117" i="43" s="1"/>
  <c r="L117" i="43" s="1"/>
  <c r="M117" i="43" s="1"/>
  <c r="B117" i="43"/>
  <c r="C117" i="43" s="1"/>
  <c r="D116" i="43"/>
  <c r="E116" i="43" s="1"/>
  <c r="F116" i="43" s="1"/>
  <c r="G116" i="43" s="1"/>
  <c r="H116" i="43" s="1"/>
  <c r="I118" i="43"/>
  <c r="J118" i="43" s="1"/>
  <c r="K118" i="43" s="1"/>
  <c r="L118" i="43" s="1"/>
  <c r="M118" i="43" s="1"/>
  <c r="B116" i="43"/>
  <c r="C116" i="43" s="1"/>
  <c r="B118" i="43"/>
  <c r="C118" i="43" s="1"/>
  <c r="I116" i="43"/>
  <c r="J116" i="43" s="1"/>
  <c r="K116" i="43" s="1"/>
  <c r="L116" i="43" s="1"/>
  <c r="M116" i="43" s="1"/>
  <c r="D118" i="43"/>
  <c r="E118" i="43" s="1"/>
  <c r="F118" i="43" s="1"/>
  <c r="I109" i="43"/>
  <c r="I105" i="43"/>
  <c r="I104" i="43"/>
  <c r="I103" i="43"/>
  <c r="I107" i="43"/>
  <c r="I102" i="43"/>
  <c r="I106" i="43"/>
  <c r="N105" i="43"/>
  <c r="N106" i="43"/>
  <c r="N103" i="43"/>
  <c r="N104" i="43"/>
  <c r="N102" i="43"/>
  <c r="N107" i="43"/>
  <c r="N109" i="43"/>
  <c r="E106" i="43"/>
  <c r="E102" i="43"/>
  <c r="E107" i="43"/>
  <c r="E109" i="43"/>
  <c r="E104" i="43"/>
  <c r="E103" i="43"/>
  <c r="E105" i="43"/>
  <c r="J104" i="43"/>
  <c r="J102" i="43"/>
  <c r="J106" i="43"/>
  <c r="J103" i="43"/>
  <c r="J105" i="43"/>
  <c r="J107" i="43"/>
  <c r="J109" i="43"/>
  <c r="C104" i="43"/>
  <c r="C103" i="43"/>
  <c r="C109" i="43"/>
  <c r="C102" i="43"/>
  <c r="C106" i="43"/>
  <c r="C105" i="43"/>
  <c r="C107" i="43"/>
  <c r="M109" i="43"/>
  <c r="M106" i="43"/>
  <c r="M102" i="43"/>
  <c r="M104" i="43"/>
  <c r="M105" i="43"/>
  <c r="M103" i="43"/>
  <c r="M107" i="43"/>
  <c r="F104" i="43"/>
  <c r="F107" i="43"/>
  <c r="F105" i="43"/>
  <c r="F103" i="43"/>
  <c r="F106" i="43"/>
  <c r="F102" i="43"/>
  <c r="F109" i="43"/>
  <c r="L109" i="43"/>
  <c r="L102" i="43"/>
  <c r="L105" i="43"/>
  <c r="L103" i="43"/>
  <c r="L104" i="43"/>
  <c r="L106" i="43"/>
  <c r="L107" i="43"/>
  <c r="H103" i="43"/>
  <c r="H102" i="43"/>
  <c r="H107" i="43"/>
  <c r="H104" i="43"/>
  <c r="H105" i="43"/>
  <c r="H109" i="43"/>
  <c r="H106" i="43"/>
  <c r="M59" i="96"/>
  <c r="L59" i="96" s="1"/>
  <c r="J53" i="96"/>
  <c r="C15" i="96"/>
  <c r="C18" i="96"/>
  <c r="R24" i="6"/>
  <c r="R11" i="1" s="1"/>
  <c r="R20" i="6"/>
  <c r="R7" i="1" s="1"/>
  <c r="D30" i="6"/>
  <c r="R25" i="6"/>
  <c r="R12" i="1" s="1"/>
  <c r="C34" i="82"/>
  <c r="C37" i="82"/>
  <c r="C15" i="15"/>
  <c r="C18" i="15"/>
  <c r="C15" i="91"/>
  <c r="C18" i="91"/>
  <c r="R22" i="6"/>
  <c r="R9" i="1" s="1"/>
  <c r="S19" i="6"/>
  <c r="S27" i="6" s="1"/>
  <c r="I27" i="6"/>
  <c r="H19" i="6"/>
  <c r="H27" i="6" s="1"/>
  <c r="L19" i="81"/>
  <c r="D21" i="81" s="1"/>
  <c r="R21" i="6"/>
  <c r="R8" i="1" s="1"/>
  <c r="M19" i="81"/>
  <c r="C118" i="81" s="1"/>
  <c r="R26" i="6"/>
  <c r="R13" i="1" s="1"/>
  <c r="D27" i="6"/>
  <c r="E52" i="39"/>
  <c r="F52" i="39" s="1"/>
  <c r="E51" i="39"/>
  <c r="F51" i="39" s="1"/>
  <c r="J53" i="91"/>
  <c r="M59" i="15"/>
  <c r="L59" i="15" s="1"/>
  <c r="J53" i="15"/>
  <c r="F34" i="11"/>
  <c r="F34" i="68"/>
  <c r="M59" i="91"/>
  <c r="L59" i="91" s="1"/>
  <c r="J53" i="67"/>
  <c r="F50" i="68"/>
  <c r="F11" i="12"/>
  <c r="C14" i="12" s="1"/>
  <c r="C16" i="12" s="1"/>
  <c r="C21" i="12" s="1"/>
  <c r="F50" i="83"/>
  <c r="F50" i="69"/>
  <c r="F50" i="82"/>
  <c r="F50" i="11"/>
  <c r="M59" i="67"/>
  <c r="C26" i="12"/>
  <c r="D25" i="12" s="1"/>
  <c r="C29" i="12"/>
  <c r="D28" i="12" s="1"/>
  <c r="D19" i="68"/>
  <c r="D37" i="68" s="1"/>
  <c r="C10" i="68"/>
  <c r="C37" i="83"/>
  <c r="A10" i="51"/>
  <c r="B9" i="72" s="1"/>
  <c r="A7" i="51"/>
  <c r="B7" i="72" s="1"/>
  <c r="C4" i="52"/>
  <c r="B45" i="72" s="1"/>
  <c r="D16" i="6"/>
  <c r="C48" i="39"/>
  <c r="C47" i="39"/>
  <c r="C26" i="11"/>
  <c r="D22" i="11" s="1"/>
  <c r="C23" i="11"/>
  <c r="C26" i="68"/>
  <c r="D22" i="68" s="1"/>
  <c r="C26" i="82"/>
  <c r="D22" i="82" s="1"/>
  <c r="C26" i="83"/>
  <c r="D22" i="83" s="1"/>
  <c r="C10" i="69"/>
  <c r="C8" i="69" s="1"/>
  <c r="C5" i="69" s="1"/>
  <c r="D19" i="69"/>
  <c r="C25" i="11"/>
  <c r="T16" i="1"/>
  <c r="I52" i="39"/>
  <c r="J52" i="39" s="1"/>
  <c r="F35" i="96"/>
  <c r="M21" i="96"/>
  <c r="C34" i="83"/>
  <c r="M21" i="15"/>
  <c r="M21" i="91"/>
  <c r="F35" i="91"/>
  <c r="F35" i="15"/>
  <c r="S6" i="43" l="1"/>
  <c r="T6" i="43" s="1"/>
  <c r="V6" i="43" s="1"/>
  <c r="S2" i="43"/>
  <c r="T2" i="43" s="1"/>
  <c r="V2" i="43" s="1"/>
  <c r="C26" i="43" s="1"/>
  <c r="B2" i="43" s="1"/>
  <c r="S5" i="43"/>
  <c r="T5" i="43" s="1"/>
  <c r="V5" i="43" s="1"/>
  <c r="S4" i="43"/>
  <c r="T4" i="43" s="1"/>
  <c r="V4" i="43" s="1"/>
  <c r="S7" i="43"/>
  <c r="T7" i="43" s="1"/>
  <c r="V7" i="43" s="1"/>
  <c r="C23" i="43"/>
  <c r="C21" i="43" s="1"/>
  <c r="S3" i="43"/>
  <c r="T3" i="43" s="1"/>
  <c r="V3" i="43" s="1"/>
  <c r="C115" i="43"/>
  <c r="D113" i="43"/>
  <c r="F1" i="96"/>
  <c r="Q52" i="96"/>
  <c r="Q61" i="96"/>
  <c r="Q74" i="96"/>
  <c r="C19" i="96"/>
  <c r="C20" i="96" s="1"/>
  <c r="C26" i="96" s="1"/>
  <c r="J20" i="96"/>
  <c r="F63" i="96"/>
  <c r="C62" i="96" s="1"/>
  <c r="C34" i="96"/>
  <c r="C31" i="96" s="1"/>
  <c r="D31" i="6"/>
  <c r="R19" i="6"/>
  <c r="R27" i="6" s="1"/>
  <c r="C37" i="68"/>
  <c r="C38" i="83"/>
  <c r="C35" i="83"/>
  <c r="C19" i="15"/>
  <c r="C20" i="15" s="1"/>
  <c r="F63" i="91"/>
  <c r="C62" i="91" s="1"/>
  <c r="C34" i="91"/>
  <c r="C31" i="91" s="1"/>
  <c r="J20" i="91"/>
  <c r="C19" i="91"/>
  <c r="C20" i="91" s="1"/>
  <c r="C26" i="91" s="1"/>
  <c r="C34" i="15"/>
  <c r="C31" i="15" s="1"/>
  <c r="F63" i="15"/>
  <c r="C62" i="15" s="1"/>
  <c r="J20" i="15"/>
  <c r="C22" i="12"/>
  <c r="C34" i="68"/>
  <c r="C36" i="68"/>
  <c r="C33" i="82"/>
  <c r="C35" i="82"/>
  <c r="C38" i="82"/>
  <c r="C23" i="69"/>
  <c r="C22" i="11"/>
  <c r="C31" i="11" s="1"/>
  <c r="J60" i="67"/>
  <c r="F1" i="67"/>
  <c r="Q52" i="67"/>
  <c r="F1" i="15"/>
  <c r="Q52" i="15"/>
  <c r="L56" i="15"/>
  <c r="F1" i="91"/>
  <c r="Q52" i="91"/>
  <c r="I6" i="6"/>
  <c r="I5" i="6"/>
  <c r="C19" i="69"/>
  <c r="C24" i="69" s="1"/>
  <c r="D37" i="69"/>
  <c r="C37" i="69" s="1"/>
  <c r="C33" i="69" s="1"/>
  <c r="B62" i="39"/>
  <c r="F62" i="39" s="1"/>
  <c r="C6" i="82" s="1"/>
  <c r="B63" i="39"/>
  <c r="F63" i="39" s="1"/>
  <c r="C6" i="83" s="1"/>
  <c r="B56" i="39"/>
  <c r="F56" i="39" s="1"/>
  <c r="B61" i="39"/>
  <c r="F61" i="39" s="1"/>
  <c r="B57" i="39"/>
  <c r="F57" i="39" s="1"/>
  <c r="B58" i="39"/>
  <c r="F58" i="39" s="1"/>
  <c r="B64" i="39"/>
  <c r="F64" i="39" s="1"/>
  <c r="B60" i="39"/>
  <c r="F60" i="39" s="1"/>
  <c r="B59" i="39"/>
  <c r="F59" i="39" s="1"/>
  <c r="B65" i="39"/>
  <c r="F65" i="39" s="1"/>
  <c r="Q74" i="91"/>
  <c r="Q61" i="91"/>
  <c r="C34" i="11"/>
  <c r="C36" i="11"/>
  <c r="C37" i="11"/>
  <c r="Q74" i="15"/>
  <c r="Q61" i="15"/>
  <c r="B6" i="76"/>
  <c r="AE12" i="1"/>
  <c r="AE13" i="1"/>
  <c r="AE9" i="1"/>
  <c r="B2" i="76" l="1"/>
  <c r="C29" i="43"/>
  <c r="B3" i="43"/>
  <c r="C23" i="96"/>
  <c r="C29" i="96" s="1"/>
  <c r="C57" i="96" s="1"/>
  <c r="R6" i="1"/>
  <c r="R16" i="1" s="1"/>
  <c r="C33" i="83"/>
  <c r="C42" i="83" s="1"/>
  <c r="C20" i="69"/>
  <c r="C25" i="69" s="1"/>
  <c r="C22" i="69" s="1"/>
  <c r="C7" i="83"/>
  <c r="C5" i="83" s="1"/>
  <c r="C42" i="69"/>
  <c r="C39" i="69"/>
  <c r="C43" i="69" s="1"/>
  <c r="C26" i="15"/>
  <c r="C23" i="15"/>
  <c r="C38" i="11"/>
  <c r="C35" i="11"/>
  <c r="F66" i="39"/>
  <c r="C6" i="68" s="1"/>
  <c r="C7" i="82"/>
  <c r="C5" i="82" s="1"/>
  <c r="L46" i="67"/>
  <c r="D2" i="67" s="1"/>
  <c r="Q48" i="67"/>
  <c r="Q53" i="67" s="1"/>
  <c r="C39" i="82"/>
  <c r="C43" i="82" s="1"/>
  <c r="C42" i="82"/>
  <c r="C41" i="82" s="1"/>
  <c r="C38" i="68"/>
  <c r="C35" i="68"/>
  <c r="C23" i="91"/>
  <c r="C29" i="91" s="1"/>
  <c r="F41" i="96"/>
  <c r="F41" i="15"/>
  <c r="F41" i="91"/>
  <c r="E29" i="43" l="1"/>
  <c r="C30" i="43"/>
  <c r="E30" i="43" s="1"/>
  <c r="C27" i="43" s="1"/>
  <c r="F69" i="96"/>
  <c r="J29" i="96"/>
  <c r="C36" i="96"/>
  <c r="J14" i="96"/>
  <c r="J13" i="96" s="1"/>
  <c r="J23" i="96" s="1"/>
  <c r="C13" i="96"/>
  <c r="C56" i="96" s="1"/>
  <c r="C65" i="96" s="1"/>
  <c r="J19" i="96"/>
  <c r="J17" i="96" s="1"/>
  <c r="Q49" i="96"/>
  <c r="J22" i="96"/>
  <c r="C61" i="96"/>
  <c r="C59" i="96" s="1"/>
  <c r="C64" i="96"/>
  <c r="C33" i="11"/>
  <c r="C42" i="11" s="1"/>
  <c r="C39" i="83"/>
  <c r="C43" i="83" s="1"/>
  <c r="C41" i="83" s="1"/>
  <c r="F69" i="15"/>
  <c r="J29" i="15"/>
  <c r="J29" i="91"/>
  <c r="F69" i="91"/>
  <c r="C28" i="69"/>
  <c r="C27" i="69" s="1"/>
  <c r="C31" i="69" s="1"/>
  <c r="C46" i="82"/>
  <c r="C45" i="82" s="1"/>
  <c r="C49" i="82" s="1"/>
  <c r="C51" i="82" s="1"/>
  <c r="C29" i="15"/>
  <c r="J19" i="15" s="1"/>
  <c r="J17" i="15" s="1"/>
  <c r="C33" i="68"/>
  <c r="C42" i="68" s="1"/>
  <c r="C23" i="82"/>
  <c r="C20" i="82"/>
  <c r="C25" i="82" s="1"/>
  <c r="C39" i="11"/>
  <c r="C43" i="11" s="1"/>
  <c r="C13" i="91"/>
  <c r="C57" i="91"/>
  <c r="J19" i="91"/>
  <c r="J17" i="91" s="1"/>
  <c r="J14" i="91"/>
  <c r="Q49" i="91"/>
  <c r="C36" i="91"/>
  <c r="C23" i="83"/>
  <c r="C20" i="83"/>
  <c r="C25" i="83" s="1"/>
  <c r="B2" i="67"/>
  <c r="B3" i="67"/>
  <c r="C41" i="69"/>
  <c r="B2" i="39"/>
  <c r="B3" i="39" s="1"/>
  <c r="C46" i="69"/>
  <c r="C45" i="69" s="1"/>
  <c r="E6" i="76"/>
  <c r="E2" i="76" l="1"/>
  <c r="B3" i="76" s="1"/>
  <c r="C75" i="96"/>
  <c r="C37" i="96"/>
  <c r="C30" i="96" s="1"/>
  <c r="C39" i="96" s="1"/>
  <c r="Q69" i="96" s="1"/>
  <c r="Q70" i="96"/>
  <c r="C58" i="96"/>
  <c r="C67" i="96" s="1"/>
  <c r="C68" i="96" s="1"/>
  <c r="C71" i="96" s="1"/>
  <c r="J16" i="96"/>
  <c r="J25" i="96" s="1"/>
  <c r="C46" i="11"/>
  <c r="C45" i="11" s="1"/>
  <c r="C13" i="15"/>
  <c r="C56" i="15" s="1"/>
  <c r="C65" i="15" s="1"/>
  <c r="C46" i="83"/>
  <c r="C45" i="83" s="1"/>
  <c r="C49" i="83" s="1"/>
  <c r="C51" i="83" s="1"/>
  <c r="Q49" i="15"/>
  <c r="J14" i="15"/>
  <c r="J13" i="15" s="1"/>
  <c r="J23" i="15" s="1"/>
  <c r="C36" i="15"/>
  <c r="C57" i="15"/>
  <c r="C64" i="15" s="1"/>
  <c r="C49" i="69"/>
  <c r="C51" i="69" s="1"/>
  <c r="C52" i="69" s="1"/>
  <c r="B2" i="69" s="1"/>
  <c r="B3" i="69" s="1"/>
  <c r="C39" i="68"/>
  <c r="C43" i="68" s="1"/>
  <c r="C41" i="68" s="1"/>
  <c r="C28" i="83"/>
  <c r="C27" i="83" s="1"/>
  <c r="C7" i="68"/>
  <c r="C5" i="68" s="1"/>
  <c r="C22" i="83"/>
  <c r="Q70" i="91"/>
  <c r="C56" i="91"/>
  <c r="C65" i="91" s="1"/>
  <c r="C75" i="91"/>
  <c r="C37" i="91"/>
  <c r="C30" i="91" s="1"/>
  <c r="C39" i="91" s="1"/>
  <c r="C41" i="11"/>
  <c r="C28" i="82"/>
  <c r="C27" i="82" s="1"/>
  <c r="J13" i="91"/>
  <c r="J23" i="91" s="1"/>
  <c r="J22" i="91"/>
  <c r="C61" i="91"/>
  <c r="C59" i="91" s="1"/>
  <c r="C64" i="91"/>
  <c r="C22" i="82"/>
  <c r="L51" i="96"/>
  <c r="L51" i="91"/>
  <c r="C40" i="96" l="1"/>
  <c r="C43" i="96" s="1"/>
  <c r="Q68" i="96"/>
  <c r="Q67" i="96"/>
  <c r="C80" i="96"/>
  <c r="C79" i="96" s="1"/>
  <c r="C49" i="11"/>
  <c r="C51" i="11" s="1"/>
  <c r="C75" i="15"/>
  <c r="C37" i="15"/>
  <c r="C30" i="15" s="1"/>
  <c r="C39" i="15" s="1"/>
  <c r="Q70" i="15"/>
  <c r="J22" i="15"/>
  <c r="J16" i="15" s="1"/>
  <c r="J25" i="15" s="1"/>
  <c r="C31" i="82"/>
  <c r="C52" i="82" s="1"/>
  <c r="C57" i="82" s="1"/>
  <c r="C56" i="82" s="1"/>
  <c r="C61" i="15"/>
  <c r="C59" i="15" s="1"/>
  <c r="C58" i="15" s="1"/>
  <c r="C67" i="15" s="1"/>
  <c r="C68" i="15" s="1"/>
  <c r="C46" i="68"/>
  <c r="C45" i="68" s="1"/>
  <c r="C49" i="68" s="1"/>
  <c r="C51" i="68" s="1"/>
  <c r="C31" i="83"/>
  <c r="C52" i="83" s="1"/>
  <c r="B2" i="83" s="1"/>
  <c r="J16" i="91"/>
  <c r="J25" i="91" s="1"/>
  <c r="C58" i="91"/>
  <c r="C67" i="91" s="1"/>
  <c r="C68" i="91" s="1"/>
  <c r="C71" i="91" s="1"/>
  <c r="Q67" i="91"/>
  <c r="C23" i="68"/>
  <c r="C20" i="68"/>
  <c r="C25" i="68" s="1"/>
  <c r="C40" i="91"/>
  <c r="Q69" i="91"/>
  <c r="Q68" i="91" s="1"/>
  <c r="C52" i="11"/>
  <c r="B2" i="11" s="1"/>
  <c r="B3" i="11" s="1"/>
  <c r="C80" i="91"/>
  <c r="C79" i="91" s="1"/>
  <c r="C57" i="69"/>
  <c r="C56" i="69" s="1"/>
  <c r="C19" i="81"/>
  <c r="B3" i="83"/>
  <c r="L51" i="15"/>
  <c r="F35" i="9" l="1"/>
  <c r="Q47" i="96"/>
  <c r="Q53" i="96" s="1"/>
  <c r="B2" i="96"/>
  <c r="J8" i="12" s="1"/>
  <c r="Q65" i="96"/>
  <c r="Q75" i="96" s="1"/>
  <c r="C83" i="96"/>
  <c r="C82" i="96" s="1"/>
  <c r="Q56" i="96"/>
  <c r="Q62" i="96" s="1"/>
  <c r="C46" i="96"/>
  <c r="C80" i="15"/>
  <c r="C79" i="15" s="1"/>
  <c r="Q69" i="15"/>
  <c r="Q68" i="15" s="1"/>
  <c r="B2" i="82"/>
  <c r="C40" i="15"/>
  <c r="B2" i="15" s="1"/>
  <c r="Q67" i="15"/>
  <c r="L57" i="15"/>
  <c r="C57" i="83"/>
  <c r="C56" i="83" s="1"/>
  <c r="C46" i="91"/>
  <c r="C56" i="11"/>
  <c r="C57" i="11" s="1"/>
  <c r="G19" i="81"/>
  <c r="C102" i="81"/>
  <c r="D22" i="81"/>
  <c r="C21" i="81"/>
  <c r="C71" i="15"/>
  <c r="C22" i="68"/>
  <c r="B2" i="91"/>
  <c r="I8" i="12" s="1"/>
  <c r="Q47" i="91"/>
  <c r="Q53" i="91" s="1"/>
  <c r="Q65" i="91"/>
  <c r="Q75" i="91" s="1"/>
  <c r="Q56" i="91"/>
  <c r="Q62" i="91" s="1"/>
  <c r="C43" i="91"/>
  <c r="C83" i="91"/>
  <c r="C82" i="91" s="1"/>
  <c r="C28" i="68"/>
  <c r="C27" i="68" s="1"/>
  <c r="C19" i="80"/>
  <c r="AO13" i="1"/>
  <c r="AO12" i="1"/>
  <c r="AO9" i="1"/>
  <c r="C20" i="81"/>
  <c r="B3" i="82"/>
  <c r="B3" i="96" l="1"/>
  <c r="J6" i="12" s="1"/>
  <c r="B13" i="70"/>
  <c r="C43" i="15"/>
  <c r="C46" i="15"/>
  <c r="C103" i="81"/>
  <c r="G20" i="81"/>
  <c r="A27" i="81" s="1"/>
  <c r="Q65" i="15"/>
  <c r="Q75" i="15" s="1"/>
  <c r="G19" i="80"/>
  <c r="C32" i="80" s="1"/>
  <c r="C102" i="80"/>
  <c r="C21" i="80"/>
  <c r="D22" i="80"/>
  <c r="C31" i="68"/>
  <c r="C52" i="68" s="1"/>
  <c r="B2" i="68" s="1"/>
  <c r="Q56" i="15"/>
  <c r="Q62" i="15" s="1"/>
  <c r="C83" i="15"/>
  <c r="C82" i="15" s="1"/>
  <c r="Q47" i="15"/>
  <c r="Q53" i="15" s="1"/>
  <c r="B9" i="70"/>
  <c r="B12" i="70"/>
  <c r="F8" i="12"/>
  <c r="B3" i="15"/>
  <c r="F6" i="12" s="1"/>
  <c r="B3" i="91"/>
  <c r="I6" i="12" s="1"/>
  <c r="C32" i="81"/>
  <c r="G21" i="81"/>
  <c r="C20" i="80"/>
  <c r="C19" i="9"/>
  <c r="G21" i="80" l="1"/>
  <c r="G20" i="80"/>
  <c r="C103" i="80"/>
  <c r="C57" i="68"/>
  <c r="C56" i="68" s="1"/>
  <c r="C4" i="12"/>
  <c r="C31" i="12" s="1"/>
  <c r="B2" i="70"/>
  <c r="B3" i="70" s="1"/>
  <c r="C21" i="9"/>
  <c r="C102" i="9"/>
  <c r="B3" i="68"/>
  <c r="C35" i="81"/>
  <c r="F118" i="81" s="1"/>
  <c r="H118" i="81"/>
  <c r="C35" i="80"/>
  <c r="F118" i="80" s="1"/>
  <c r="H118" i="80"/>
  <c r="C20" i="9"/>
  <c r="C23" i="12" l="1"/>
  <c r="C30" i="12" s="1"/>
  <c r="C28" i="12" s="1"/>
  <c r="C34" i="81"/>
  <c r="D118" i="81" s="1"/>
  <c r="D119" i="81" s="1"/>
  <c r="C34" i="80"/>
  <c r="D118" i="80" s="1"/>
  <c r="D119" i="80" s="1"/>
  <c r="C103" i="9"/>
  <c r="I118" i="80"/>
  <c r="H119" i="80"/>
  <c r="C104" i="80"/>
  <c r="H101" i="80"/>
  <c r="F119" i="80"/>
  <c r="G118" i="80"/>
  <c r="I118" i="81"/>
  <c r="H101" i="81"/>
  <c r="C104" i="81"/>
  <c r="H119" i="81"/>
  <c r="C27" i="12"/>
  <c r="C25" i="12" s="1"/>
  <c r="F119" i="81"/>
  <c r="G118" i="81"/>
  <c r="C32" i="12" l="1"/>
  <c r="B2" i="12" s="1"/>
  <c r="B3" i="12" s="1"/>
  <c r="D45" i="81"/>
  <c r="M48" i="81"/>
  <c r="H107" i="81"/>
  <c r="H107" i="80"/>
  <c r="D45" i="80"/>
  <c r="M48" i="80"/>
  <c r="H102" i="81"/>
  <c r="C105" i="81"/>
  <c r="E118" i="81"/>
  <c r="H102" i="80"/>
  <c r="C105" i="80"/>
  <c r="E118" i="80"/>
  <c r="D20" i="9"/>
  <c r="D19" i="9"/>
  <c r="D102" i="9" l="1"/>
  <c r="D22" i="9"/>
  <c r="D21" i="9"/>
  <c r="G19" i="9"/>
  <c r="D103" i="9"/>
  <c r="G20" i="9"/>
  <c r="D55" i="80"/>
  <c r="M53" i="80" s="1"/>
  <c r="C64" i="80"/>
  <c r="C63" i="80" s="1"/>
  <c r="C67" i="80" s="1"/>
  <c r="C85" i="80"/>
  <c r="C72" i="80"/>
  <c r="D52" i="80"/>
  <c r="C78" i="80"/>
  <c r="C73" i="80" s="1"/>
  <c r="C93" i="80"/>
  <c r="C86" i="80" s="1"/>
  <c r="D53" i="80"/>
  <c r="M49" i="81"/>
  <c r="H108" i="81"/>
  <c r="D122" i="81"/>
  <c r="D123" i="81" s="1"/>
  <c r="D55" i="81"/>
  <c r="M53" i="81" s="1"/>
  <c r="C72" i="81"/>
  <c r="D52" i="81"/>
  <c r="C78" i="81"/>
  <c r="C73" i="81" s="1"/>
  <c r="C85" i="81"/>
  <c r="C64" i="81"/>
  <c r="C63" i="81" s="1"/>
  <c r="C67" i="81" s="1"/>
  <c r="C93" i="81"/>
  <c r="C86" i="81" s="1"/>
  <c r="D53" i="81"/>
  <c r="M49" i="80"/>
  <c r="H108" i="80"/>
  <c r="D122" i="80"/>
  <c r="D123" i="80" s="1"/>
  <c r="C32" i="9" l="1"/>
  <c r="F34" i="9"/>
  <c r="G21" i="9"/>
  <c r="C68" i="81"/>
  <c r="D54" i="81" s="1"/>
  <c r="D59" i="81"/>
  <c r="M55" i="81" s="1"/>
  <c r="C79" i="81"/>
  <c r="L68" i="80"/>
  <c r="M68" i="80" s="1"/>
  <c r="L65" i="80"/>
  <c r="M65" i="80" s="1"/>
  <c r="L67" i="80"/>
  <c r="M67" i="80" s="1"/>
  <c r="L66" i="80"/>
  <c r="M66" i="80" s="1"/>
  <c r="L64" i="80"/>
  <c r="M64" i="80" s="1"/>
  <c r="L63" i="80"/>
  <c r="M63" i="80" s="1"/>
  <c r="M69" i="80" s="1"/>
  <c r="N69" i="80" s="1"/>
  <c r="C95" i="81"/>
  <c r="C79" i="80"/>
  <c r="C68" i="80"/>
  <c r="D54" i="80" s="1"/>
  <c r="D59" i="80"/>
  <c r="M55" i="80" s="1"/>
  <c r="L65" i="81"/>
  <c r="M65" i="81" s="1"/>
  <c r="L67" i="81"/>
  <c r="M67" i="81" s="1"/>
  <c r="L64" i="81"/>
  <c r="M64" i="81" s="1"/>
  <c r="L68" i="81"/>
  <c r="M68" i="81" s="1"/>
  <c r="L63" i="81"/>
  <c r="M63" i="81" s="1"/>
  <c r="L66" i="81"/>
  <c r="M66" i="81" s="1"/>
  <c r="C95" i="80"/>
  <c r="H118" i="9" l="1"/>
  <c r="C96" i="80"/>
  <c r="E96" i="80" s="1"/>
  <c r="E97" i="80" s="1"/>
  <c r="C97" i="80"/>
  <c r="D58" i="80" s="1"/>
  <c r="D56" i="80" s="1"/>
  <c r="M54" i="80" s="1"/>
  <c r="N57" i="80" s="1"/>
  <c r="M69" i="81"/>
  <c r="N69" i="81" s="1"/>
  <c r="C81" i="80"/>
  <c r="C80" i="80"/>
  <c r="E80" i="80" s="1"/>
  <c r="E81" i="80" s="1"/>
  <c r="C96" i="81"/>
  <c r="E96" i="81" s="1"/>
  <c r="E97" i="81" s="1"/>
  <c r="C80" i="81"/>
  <c r="E80" i="81" s="1"/>
  <c r="E81" i="81" s="1"/>
  <c r="I118" i="9"/>
  <c r="Q4" i="97" s="1"/>
  <c r="D14" i="74" l="1"/>
  <c r="P4" i="97"/>
  <c r="H4" i="52"/>
  <c r="C104" i="9"/>
  <c r="H101" i="9"/>
  <c r="H119" i="9"/>
  <c r="H5" i="52" s="1"/>
  <c r="C35" i="9"/>
  <c r="C81" i="81"/>
  <c r="C97" i="81"/>
  <c r="D58" i="81" s="1"/>
  <c r="D56" i="81" s="1"/>
  <c r="M54" i="81" s="1"/>
  <c r="N57" i="81" s="1"/>
  <c r="P57" i="81" s="1"/>
  <c r="D45" i="9"/>
  <c r="M48" i="9"/>
  <c r="H107" i="9"/>
  <c r="D5" i="53"/>
  <c r="C105" i="9"/>
  <c r="I4" i="52"/>
  <c r="H102" i="9"/>
  <c r="D7" i="53" s="1"/>
  <c r="B21" i="72" s="1"/>
  <c r="E14" i="74"/>
  <c r="F14" i="74"/>
  <c r="P57" i="80"/>
  <c r="N58" i="80"/>
  <c r="N59" i="80"/>
  <c r="D35" i="9"/>
  <c r="P6" i="97" l="1"/>
  <c r="P7" i="97" s="1"/>
  <c r="F118" i="9"/>
  <c r="N4" i="97" s="1"/>
  <c r="N6" i="97" s="1"/>
  <c r="C34" i="9"/>
  <c r="D34" i="9" s="1"/>
  <c r="N58" i="81"/>
  <c r="N59" i="81"/>
  <c r="N60" i="81" s="1"/>
  <c r="D6" i="53"/>
  <c r="B22" i="72" s="1"/>
  <c r="B20" i="72"/>
  <c r="N60" i="80"/>
  <c r="N61" i="80"/>
  <c r="H108" i="9"/>
  <c r="D15" i="53" s="1"/>
  <c r="B31" i="72" s="1"/>
  <c r="M49" i="9"/>
  <c r="D122" i="9"/>
  <c r="D13" i="53"/>
  <c r="C85" i="9"/>
  <c r="C64" i="9"/>
  <c r="C63" i="9" s="1"/>
  <c r="C67" i="9" s="1"/>
  <c r="D52" i="9"/>
  <c r="C78" i="9"/>
  <c r="C73" i="9" s="1"/>
  <c r="C72" i="9"/>
  <c r="D55" i="9"/>
  <c r="M53" i="9" s="1"/>
  <c r="D53" i="9"/>
  <c r="C93" i="9"/>
  <c r="C86" i="9" s="1"/>
  <c r="N7" i="97" l="1"/>
  <c r="D118" i="9"/>
  <c r="G118" i="9"/>
  <c r="O4" i="97" s="1"/>
  <c r="F119" i="9"/>
  <c r="F5" i="52" s="1"/>
  <c r="B53" i="72" s="1"/>
  <c r="F4" i="52"/>
  <c r="B51" i="72" s="1"/>
  <c r="N61" i="81"/>
  <c r="C79" i="9"/>
  <c r="C80" i="9" s="1"/>
  <c r="E80" i="9" s="1"/>
  <c r="E81" i="9" s="1"/>
  <c r="C95" i="9"/>
  <c r="C96" i="9" s="1"/>
  <c r="E96" i="9" s="1"/>
  <c r="E97" i="9" s="1"/>
  <c r="D123" i="9"/>
  <c r="D9" i="52" s="1"/>
  <c r="G14" i="74"/>
  <c r="D8" i="52"/>
  <c r="C68" i="9"/>
  <c r="D54" i="9" s="1"/>
  <c r="D59" i="9"/>
  <c r="M55" i="9" s="1"/>
  <c r="D14" i="53"/>
  <c r="B32" i="72" s="1"/>
  <c r="B30" i="72"/>
  <c r="L64" i="9"/>
  <c r="M64" i="9" s="1"/>
  <c r="L63" i="9"/>
  <c r="M63" i="9" s="1"/>
  <c r="L65" i="9"/>
  <c r="M65" i="9" s="1"/>
  <c r="L66" i="9"/>
  <c r="M66" i="9" s="1"/>
  <c r="L67" i="9"/>
  <c r="M67" i="9" s="1"/>
  <c r="L68" i="9"/>
  <c r="M68" i="9" s="1"/>
  <c r="D4" i="52" l="1"/>
  <c r="B47" i="72" s="1"/>
  <c r="L4" i="97"/>
  <c r="L6" i="97" s="1"/>
  <c r="D119" i="9"/>
  <c r="D5" i="52" s="1"/>
  <c r="B49" i="72" s="1"/>
  <c r="G4" i="52"/>
  <c r="B52" i="72" s="1"/>
  <c r="E118" i="9"/>
  <c r="C81" i="9"/>
  <c r="C97" i="9"/>
  <c r="D58" i="9" s="1"/>
  <c r="D56" i="9" s="1"/>
  <c r="M54" i="9" s="1"/>
  <c r="N57" i="9" s="1"/>
  <c r="M69" i="9"/>
  <c r="N69" i="9" s="1"/>
  <c r="L7" i="97" l="1"/>
  <c r="E4" i="52"/>
  <c r="B48" i="72" s="1"/>
  <c r="M4" i="97"/>
  <c r="N58" i="9"/>
  <c r="P57" i="9"/>
  <c r="N59" i="9"/>
  <c r="N61" i="9" s="1"/>
  <c r="N60" i="9" l="1"/>
  <c r="B1" i="74" l="1"/>
  <c r="C7" i="74" l="1"/>
  <c r="C8" i="74"/>
  <c r="B2" i="74"/>
  <c r="D8" i="74" l="1"/>
  <c r="D7" i="74"/>
  <c r="G15" i="74" l="1"/>
  <c r="B6" i="74" s="1"/>
  <c r="E15" i="74"/>
  <c r="F15" i="74"/>
  <c r="B5" i="74"/>
  <c r="C5" i="74" l="1"/>
  <c r="D5" i="74"/>
  <c r="C6" i="74"/>
  <c r="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A00-00000300000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L2" authorId="0" shapeId="0" xr:uid="{00000000-0006-0000-1F00-000001000000}">
      <text>
        <r>
          <rPr>
            <b/>
            <sz val="9"/>
            <color indexed="81"/>
            <rFont val="宋体"/>
            <family val="3"/>
            <charset val="134"/>
          </rPr>
          <t>sony:</t>
        </r>
        <r>
          <rPr>
            <sz val="9"/>
            <color indexed="81"/>
            <rFont val="宋体"/>
            <family val="3"/>
            <charset val="134"/>
          </rPr>
          <t xml:space="preserve">
46576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在建项目均选择“是”</t>
        </r>
      </text>
    </comment>
    <comment ref="F59" authorId="1" shapeId="0" xr:uid="{00000000-0006-0000-2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A00-000006000000}">
      <text>
        <r>
          <rPr>
            <sz val="10"/>
            <color indexed="81"/>
            <rFont val="宋体"/>
            <family val="3"/>
            <charset val="134"/>
          </rPr>
          <t xml:space="preserve">在建
</t>
        </r>
      </text>
    </comment>
    <comment ref="N59" authorId="0" shapeId="0" xr:uid="{00000000-0006-0000-2A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345E712-61CC-4E5A-BE9C-8698F63B81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3D07B98-7E52-4709-A158-5882E98B054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93842E7-CAA2-4FA1-80B2-E1AF59FC6DB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D39B324-6F45-44AE-A91F-5C074CC7F3EB}">
      <text>
        <r>
          <rPr>
            <sz val="11"/>
            <color indexed="81"/>
            <rFont val="宋体"/>
            <family val="3"/>
            <charset val="134"/>
          </rPr>
          <t>在建项目均选择“是”</t>
        </r>
      </text>
    </comment>
    <comment ref="F59" authorId="1" shapeId="0" xr:uid="{6217FCD6-8E36-42B3-9567-AD2114E01C5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823C6F5-3333-4059-87C2-95EC6D51BA6D}">
      <text>
        <r>
          <rPr>
            <sz val="10"/>
            <color indexed="81"/>
            <rFont val="宋体"/>
            <family val="3"/>
            <charset val="134"/>
          </rPr>
          <t xml:space="preserve">在建
</t>
        </r>
      </text>
    </comment>
    <comment ref="N59" authorId="0" shapeId="0" xr:uid="{880AADB2-19CF-4B33-B561-7E7B9E643BE9}">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D17" authorId="2" shapeId="0" xr:uid="{00000000-0006-0000-2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D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D00-000005000000}">
      <text>
        <r>
          <rPr>
            <sz val="9"/>
            <color indexed="81"/>
            <rFont val="宋体"/>
            <family val="3"/>
            <charset val="134"/>
          </rPr>
          <t xml:space="preserve">需在此处填写剩余土地年限
</t>
        </r>
      </text>
    </comment>
    <comment ref="C99" authorId="0" shapeId="0" xr:uid="{00000000-0006-0000-2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D00-000012000000}">
      <text>
        <r>
          <rPr>
            <b/>
            <sz val="9"/>
            <color indexed="81"/>
            <rFont val="宋体"/>
            <family val="3"/>
            <charset val="134"/>
          </rPr>
          <t xml:space="preserve">容积率
</t>
        </r>
      </text>
    </comment>
    <comment ref="D101" authorId="0" shapeId="0" xr:uid="{00000000-0006-0000-2D00-000013000000}">
      <text>
        <r>
          <rPr>
            <b/>
            <sz val="9"/>
            <color indexed="81"/>
            <rFont val="宋体"/>
            <family val="3"/>
            <charset val="134"/>
          </rPr>
          <t xml:space="preserve">容积率
</t>
        </r>
      </text>
    </comment>
    <comment ref="E101" authorId="0" shapeId="0" xr:uid="{00000000-0006-0000-2D00-000014000000}">
      <text>
        <r>
          <rPr>
            <b/>
            <sz val="9"/>
            <color indexed="81"/>
            <rFont val="宋体"/>
            <family val="3"/>
            <charset val="134"/>
          </rPr>
          <t xml:space="preserve">容积率
</t>
        </r>
      </text>
    </comment>
    <comment ref="F101" authorId="0" shapeId="0" xr:uid="{00000000-0006-0000-2D00-000015000000}">
      <text>
        <r>
          <rPr>
            <b/>
            <sz val="9"/>
            <color indexed="81"/>
            <rFont val="宋体"/>
            <family val="3"/>
            <charset val="134"/>
          </rPr>
          <t xml:space="preserve">容积率
</t>
        </r>
      </text>
    </comment>
    <comment ref="G101" authorId="0" shapeId="0" xr:uid="{00000000-0006-0000-2D00-000016000000}">
      <text>
        <r>
          <rPr>
            <b/>
            <sz val="9"/>
            <color indexed="81"/>
            <rFont val="宋体"/>
            <family val="3"/>
            <charset val="134"/>
          </rPr>
          <t xml:space="preserve">容积率
</t>
        </r>
      </text>
    </comment>
    <comment ref="H101" authorId="0" shapeId="0" xr:uid="{00000000-0006-0000-2D00-000017000000}">
      <text>
        <r>
          <rPr>
            <b/>
            <sz val="9"/>
            <color indexed="81"/>
            <rFont val="宋体"/>
            <family val="3"/>
            <charset val="134"/>
          </rPr>
          <t xml:space="preserve">容积率
</t>
        </r>
      </text>
    </comment>
    <comment ref="I101" authorId="0" shapeId="0" xr:uid="{00000000-0006-0000-2D00-000018000000}">
      <text>
        <r>
          <rPr>
            <b/>
            <sz val="9"/>
            <color indexed="81"/>
            <rFont val="宋体"/>
            <family val="3"/>
            <charset val="134"/>
          </rPr>
          <t xml:space="preserve">容积率
</t>
        </r>
      </text>
    </comment>
    <comment ref="J101" authorId="0" shapeId="0" xr:uid="{00000000-0006-0000-2D00-000019000000}">
      <text>
        <r>
          <rPr>
            <b/>
            <sz val="9"/>
            <color indexed="81"/>
            <rFont val="宋体"/>
            <family val="3"/>
            <charset val="134"/>
          </rPr>
          <t xml:space="preserve">容积率
</t>
        </r>
      </text>
    </comment>
    <comment ref="K101" authorId="0" shapeId="0" xr:uid="{00000000-0006-0000-2D00-00001A000000}">
      <text>
        <r>
          <rPr>
            <b/>
            <sz val="9"/>
            <color indexed="81"/>
            <rFont val="宋体"/>
            <family val="3"/>
            <charset val="134"/>
          </rPr>
          <t xml:space="preserve">容积率
</t>
        </r>
      </text>
    </comment>
    <comment ref="L101" authorId="0" shapeId="0" xr:uid="{00000000-0006-0000-2D00-00001B000000}">
      <text>
        <r>
          <rPr>
            <b/>
            <sz val="9"/>
            <color indexed="81"/>
            <rFont val="宋体"/>
            <family val="3"/>
            <charset val="134"/>
          </rPr>
          <t xml:space="preserve">容积率
</t>
        </r>
      </text>
    </comment>
    <comment ref="M101" authorId="0" shapeId="0" xr:uid="{00000000-0006-0000-2D00-00001C000000}">
      <text>
        <r>
          <rPr>
            <b/>
            <sz val="9"/>
            <color indexed="81"/>
            <rFont val="宋体"/>
            <family val="3"/>
            <charset val="134"/>
          </rPr>
          <t xml:space="preserve">容积率
</t>
        </r>
      </text>
    </comment>
    <comment ref="N101" authorId="0" shapeId="0" xr:uid="{00000000-0006-0000-2D00-00001D000000}">
      <text>
        <r>
          <rPr>
            <b/>
            <sz val="9"/>
            <color indexed="81"/>
            <rFont val="宋体"/>
            <family val="3"/>
            <charset val="134"/>
          </rPr>
          <t xml:space="preserve">容积率
</t>
        </r>
      </text>
    </comment>
    <comment ref="C108" authorId="0" shapeId="0" xr:uid="{00000000-0006-0000-2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E88" authorId="0" shapeId="0" xr:uid="{00000000-0006-0000-1000-000001000000}">
      <text>
        <r>
          <rPr>
            <b/>
            <sz val="9"/>
            <rFont val="宋体"/>
            <family val="3"/>
            <charset val="134"/>
          </rPr>
          <t>作者:</t>
        </r>
        <r>
          <rPr>
            <sz val="9"/>
            <rFont val="宋体"/>
            <family val="3"/>
            <charset val="134"/>
          </rPr>
          <t xml:space="preserve">
车库</t>
        </r>
      </text>
    </comment>
    <comment ref="F182" authorId="0" shapeId="0" xr:uid="{00000000-0006-0000-1000-000002000000}">
      <text>
        <r>
          <rPr>
            <b/>
            <sz val="9"/>
            <rFont val="宋体"/>
            <family val="3"/>
            <charset val="134"/>
          </rPr>
          <t>作者:</t>
        </r>
        <r>
          <rPr>
            <sz val="9"/>
            <rFont val="宋体"/>
            <family val="3"/>
            <charset val="134"/>
          </rPr>
          <t xml:space="preserve">
668个</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G60" authorId="0" shapeId="0" xr:uid="{9E669501-8685-4802-A913-69B8ABAE46FC}">
      <text>
        <r>
          <rPr>
            <b/>
            <sz val="9"/>
            <color indexed="81"/>
            <rFont val="宋体"/>
            <family val="3"/>
            <charset val="134"/>
          </rPr>
          <t>sony:</t>
        </r>
        <r>
          <rPr>
            <sz val="9"/>
            <color indexed="81"/>
            <rFont val="宋体"/>
            <family val="3"/>
            <charset val="134"/>
          </rPr>
          <t xml:space="preserve">
四区4号楼 未售、不可抵、不可售</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kz</author>
  </authors>
  <commentList>
    <comment ref="I96" authorId="0" shapeId="0" xr:uid="{B69A2FA4-42A8-4ADA-831F-50A408887A72}">
      <text>
        <r>
          <rPr>
            <b/>
            <sz val="9"/>
            <color indexed="81"/>
            <rFont val="宋体"/>
            <family val="3"/>
            <charset val="134"/>
          </rPr>
          <t>kz:</t>
        </r>
        <r>
          <rPr>
            <sz val="9"/>
            <color indexed="81"/>
            <rFont val="宋体"/>
            <family val="3"/>
            <charset val="134"/>
          </rPr>
          <t xml:space="preserve">
地下382.04</t>
        </r>
      </text>
    </comment>
    <comment ref="J100" authorId="0" shapeId="0" xr:uid="{81021129-EB06-4CA6-960F-0932BAAEC871}">
      <text>
        <r>
          <rPr>
            <b/>
            <sz val="9"/>
            <color indexed="81"/>
            <rFont val="宋体"/>
            <family val="3"/>
            <charset val="134"/>
          </rPr>
          <t>kz:</t>
        </r>
        <r>
          <rPr>
            <sz val="9"/>
            <color indexed="81"/>
            <rFont val="宋体"/>
            <family val="3"/>
            <charset val="134"/>
          </rPr>
          <t xml:space="preserve">
地上物管112.45</t>
        </r>
      </text>
    </comment>
    <comment ref="K100" authorId="0" shapeId="0" xr:uid="{FAA1DF09-FD2D-4FAF-822A-BF03C3551AC2}">
      <text>
        <r>
          <rPr>
            <b/>
            <sz val="9"/>
            <color indexed="81"/>
            <rFont val="宋体"/>
            <family val="3"/>
            <charset val="134"/>
          </rPr>
          <t>kz:</t>
        </r>
        <r>
          <rPr>
            <sz val="9"/>
            <color indexed="81"/>
            <rFont val="宋体"/>
            <family val="3"/>
            <charset val="134"/>
          </rPr>
          <t xml:space="preserve">
地下物管66.7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<sst xmlns="http://schemas.openxmlformats.org/spreadsheetml/2006/main" count="16782" uniqueCount="5722">
  <si>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</si>
  <si>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</si>
  <si>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</si>
  <si>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</si>
  <si>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</si>
  <si>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</si>
  <si>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</si>
  <si>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</si>
  <si>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</si>
  <si>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</si>
  <si>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</si>
  <si>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</si>
  <si>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</si>
  <si>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</si>
  <si>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</si>
  <si>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</si>
  <si>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</si>
  <si>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</si>
  <si>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</si>
  <si>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</si>
  <si>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</si>
  <si>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</si>
  <si>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</si>
  <si>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</si>
  <si>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</si>
  <si>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</si>
  <si>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</si>
  <si>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</si>
  <si>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</si>
  <si>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</si>
  <si>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</si>
  <si>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</si>
  <si>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</si>
  <si>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</si>
  <si>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</si>
  <si>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</si>
  <si>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</si>
  <si>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</si>
  <si>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</si>
  <si>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</si>
  <si>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</si>
  <si>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</si>
  <si>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</si>
  <si>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</si>
  <si>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</si>
  <si>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</si>
  <si>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</si>
  <si>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</si>
  <si>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</si>
  <si>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</si>
  <si>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</si>
  <si>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</si>
  <si>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</si>
  <si>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</si>
  <si>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</si>
  <si>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</si>
  <si>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</si>
  <si>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</si>
  <si>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</si>
  <si>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</si>
  <si>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</si>
  <si>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</si>
  <si>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</si>
  <si>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</si>
  <si>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</si>
  <si>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</si>
  <si>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</si>
  <si>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</si>
  <si>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</si>
  <si>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</si>
  <si>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</si>
  <si>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</si>
  <si>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</si>
  <si>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</si>
  <si>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</si>
  <si>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</si>
  <si>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</si>
  <si>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</si>
  <si>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</si>
  <si>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</si>
  <si>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</si>
  <si>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</si>
  <si>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</si>
  <si>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</si>
  <si>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</si>
  <si>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</si>
  <si>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</si>
  <si>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</si>
  <si>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</si>
  <si>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</si>
  <si>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</si>
  <si>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</si>
  <si>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</si>
  <si>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</si>
  <si>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</si>
  <si>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</si>
  <si>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</si>
  <si>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</si>
  <si>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</si>
  <si>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</si>
  <si>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</si>
  <si>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</si>
  <si>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</si>
  <si>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</si>
  <si>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</si>
  <si>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</si>
  <si>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</si>
  <si>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</si>
  <si>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</si>
  <si>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</si>
  <si>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</si>
  <si>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</si>
  <si>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</si>
  <si>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</si>
  <si>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</si>
  <si>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</si>
  <si>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</si>
  <si>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</si>
  <si>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</si>
  <si>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</si>
  <si>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</si>
  <si>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</si>
  <si>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</si>
  <si>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</si>
  <si>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</si>
  <si>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</si>
  <si>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</si>
  <si>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</si>
  <si>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</si>
  <si>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</si>
  <si>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</si>
  <si>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</si>
  <si>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</si>
  <si>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</si>
  <si>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</si>
  <si>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</si>
  <si>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</si>
  <si>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</si>
  <si>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</si>
  <si>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</si>
  <si>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</si>
  <si>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</si>
  <si>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</si>
  <si>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</si>
  <si>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</si>
  <si>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</si>
  <si>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</si>
  <si>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</si>
  <si>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</si>
  <si>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</si>
  <si>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</si>
  <si>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</si>
  <si>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</si>
  <si>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</si>
  <si>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</si>
  <si>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</si>
  <si>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</si>
  <si>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</si>
  <si>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</si>
  <si>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</si>
  <si>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</si>
  <si>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</si>
  <si>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</si>
  <si>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</si>
  <si>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</si>
  <si>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</si>
  <si>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</si>
  <si>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</si>
  <si>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</si>
  <si>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</si>
  <si>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</si>
  <si>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</si>
  <si>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</si>
  <si>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</si>
  <si>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</si>
  <si>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</si>
  <si>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</si>
  <si>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</si>
  <si>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</si>
  <si>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</si>
  <si>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</si>
  <si>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</si>
  <si>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</si>
  <si>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</si>
  <si>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</si>
  <si>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</si>
  <si>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</si>
  <si>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</si>
  <si>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</si>
  <si>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</si>
  <si>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</si>
  <si>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</si>
  <si>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</si>
  <si>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</si>
  <si>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</si>
  <si>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</si>
  <si>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</si>
  <si>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</si>
  <si>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</si>
  <si>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</si>
  <si>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</si>
  <si>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</si>
  <si>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</si>
  <si>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</si>
  <si>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</si>
  <si>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</si>
  <si>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</si>
  <si>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</si>
  <si>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</si>
  <si>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</si>
  <si>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</si>
  <si>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</si>
  <si>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</si>
  <si>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</si>
  <si>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</si>
  <si>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</si>
  <si>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</si>
  <si>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</si>
  <si>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</si>
  <si>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</si>
  <si>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</si>
  <si>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</si>
  <si>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</si>
  <si>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</si>
  <si>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</si>
  <si>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</si>
  <si>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</si>
  <si>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</si>
  <si>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</si>
  <si>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</si>
  <si>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</si>
  <si>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</si>
  <si>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</si>
  <si>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</si>
  <si>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</si>
  <si>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</si>
  <si>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</si>
  <si>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</si>
  <si>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</si>
  <si>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</si>
  <si>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</si>
  <si>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</si>
  <si>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</si>
  <si>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</si>
  <si>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</si>
  <si>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</si>
  <si>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</si>
  <si>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</si>
  <si>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</si>
  <si>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</si>
  <si>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</si>
  <si>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</si>
  <si>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</si>
  <si>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</si>
  <si>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</si>
  <si>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</si>
  <si>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</si>
  <si>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</si>
  <si>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</si>
  <si>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</si>
  <si>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</si>
  <si>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</si>
  <si>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</si>
  <si>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</si>
  <si>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</si>
  <si>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</si>
  <si>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</si>
  <si>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</si>
  <si>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</si>
  <si>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</si>
  <si>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</si>
  <si>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</si>
  <si>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</si>
  <si>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</si>
  <si>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</si>
  <si>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</si>
  <si>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</si>
  <si>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</si>
  <si>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</si>
  <si>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</si>
  <si>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</si>
  <si>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</si>
  <si>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</si>
  <si>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</si>
  <si>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</si>
  <si>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</si>
  <si>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</si>
  <si>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</si>
  <si>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</si>
  <si>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</si>
  <si>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</si>
  <si>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</si>
  <si>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</si>
  <si>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</si>
  <si>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</si>
  <si>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</si>
  <si>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</si>
  <si>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</si>
  <si>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</si>
  <si>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</si>
  <si>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</si>
  <si>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</si>
  <si>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</si>
  <si>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</si>
  <si>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</si>
  <si>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</si>
  <si>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</si>
  <si>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</si>
  <si>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</si>
  <si>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</si>
  <si>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</si>
  <si>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</si>
  <si>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</si>
  <si>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</si>
  <si>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</si>
  <si>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</si>
  <si>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</si>
  <si>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</si>
  <si>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</si>
  <si>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</si>
  <si>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</si>
  <si>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</si>
  <si>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</si>
  <si>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</si>
  <si>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</si>
  <si>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</si>
  <si>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</si>
  <si>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</si>
  <si>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</si>
  <si>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</si>
  <si>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</si>
  <si>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</si>
  <si>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</si>
  <si>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</si>
  <si>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</si>
  <si>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</si>
  <si>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</si>
  <si>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</si>
  <si>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</si>
  <si>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</si>
  <si>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</si>
  <si>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</si>
  <si>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</si>
  <si>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</si>
  <si>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</si>
  <si>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</si>
  <si>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</si>
  <si>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</si>
  <si>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</si>
  <si>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</si>
  <si>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</si>
  <si>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</si>
  <si>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</si>
  <si>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</si>
  <si>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</si>
  <si>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</si>
  <si>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</si>
  <si>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</si>
  <si>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</si>
  <si>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</si>
  <si>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</si>
  <si>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</si>
  <si>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</si>
  <si>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</si>
  <si>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</si>
  <si>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</si>
  <si>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</si>
  <si>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</si>
  <si>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</si>
  <si>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</si>
  <si>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</si>
  <si>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</si>
  <si>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</si>
  <si>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</si>
  <si>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</si>
  <si>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</si>
  <si>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</si>
  <si>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</si>
  <si>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</si>
  <si>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</si>
  <si>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</si>
  <si>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</si>
  <si>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</si>
  <si>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</si>
  <si>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</si>
  <si>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</si>
  <si>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</si>
  <si>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</si>
  <si>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</si>
  <si>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</si>
  <si>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</si>
  <si>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</si>
  <si>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</si>
  <si>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</si>
  <si>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</si>
  <si>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</si>
  <si>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</si>
  <si>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</si>
  <si>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</si>
  <si>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</si>
  <si>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</si>
  <si>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</si>
  <si>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</si>
  <si>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</si>
  <si>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</si>
  <si>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</si>
  <si>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</si>
  <si>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</si>
  <si>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</si>
  <si>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</si>
  <si>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</si>
  <si>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</si>
  <si>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</si>
  <si>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</si>
  <si>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</si>
  <si>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</si>
  <si>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</si>
  <si>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</si>
  <si>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</si>
  <si>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</si>
  <si>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</si>
  <si>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</si>
  <si>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</si>
  <si>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</si>
  <si>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</si>
  <si>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</si>
  <si>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</si>
  <si>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</si>
  <si>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</si>
  <si>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</si>
  <si>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</si>
  <si>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</si>
  <si>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</si>
  <si>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</si>
  <si>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</si>
  <si>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</si>
  <si>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</si>
  <si>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</si>
  <si>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</si>
  <si>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</si>
  <si>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</si>
  <si>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</si>
  <si>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</si>
  <si>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</si>
  <si>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</si>
  <si>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</si>
  <si>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</si>
  <si>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</si>
  <si>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</si>
  <si>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</si>
  <si>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</si>
  <si>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</si>
  <si>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</si>
  <si>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</si>
  <si>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</si>
  <si>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</si>
  <si>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</si>
  <si>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</si>
  <si>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</si>
  <si>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</si>
  <si>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</si>
  <si>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</si>
  <si>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</si>
  <si>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</si>
  <si>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</si>
  <si>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</si>
  <si>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</si>
  <si>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</si>
  <si>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</si>
  <si>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</si>
  <si>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</si>
  <si>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</si>
  <si>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</si>
  <si>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</si>
  <si>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</si>
  <si>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</si>
  <si>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</si>
  <si>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</si>
  <si>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</si>
  <si>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</si>
  <si>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</si>
  <si>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</si>
  <si>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</si>
  <si>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</si>
  <si>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</si>
  <si>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</si>
  <si>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</si>
  <si>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</si>
  <si>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</si>
  <si>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</si>
  <si>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</si>
  <si>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</si>
  <si>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</si>
  <si>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</si>
  <si>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</si>
  <si>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</si>
  <si>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</si>
  <si>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</si>
  <si>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</si>
  <si>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</si>
  <si>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</si>
  <si>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</si>
  <si>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</si>
  <si>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</si>
  <si>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</si>
  <si>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</si>
  <si>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</si>
  <si>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</si>
  <si>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</si>
  <si>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</si>
  <si>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</si>
  <si>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</si>
  <si>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</si>
  <si>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</si>
  <si>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</si>
  <si>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</si>
  <si>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</si>
  <si>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</si>
  <si>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</si>
  <si>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</si>
  <si>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</si>
  <si>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</si>
  <si>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</si>
  <si>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</si>
  <si>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</si>
  <si>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</si>
  <si>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</si>
  <si>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</si>
  <si>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</si>
  <si>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</si>
  <si>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</si>
  <si>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</si>
  <si>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</si>
  <si>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</si>
  <si>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</si>
  <si>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</si>
  <si>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</si>
  <si>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</si>
  <si>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</si>
  <si>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</si>
  <si>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</si>
  <si>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</si>
  <si>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</si>
  <si>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</si>
  <si>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</si>
  <si>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</si>
  <si>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</si>
  <si>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</si>
  <si>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</si>
  <si>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</si>
  <si>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</si>
  <si>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</si>
  <si>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</si>
  <si>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</si>
  <si>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</si>
  <si>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</si>
  <si>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</si>
  <si>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</si>
  <si>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</si>
  <si>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</si>
  <si>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</si>
  <si>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</si>
  <si>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</si>
  <si>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</si>
  <si>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</si>
  <si>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</si>
  <si>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</si>
  <si>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</si>
  <si>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</si>
  <si>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</si>
  <si>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</si>
  <si>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</si>
  <si>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</si>
  <si>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</si>
  <si>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</si>
  <si>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</si>
  <si>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</si>
  <si>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</si>
  <si>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</si>
  <si>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</si>
  <si>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</si>
  <si>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</si>
  <si>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</si>
  <si>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</si>
  <si>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</si>
  <si>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</si>
  <si>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</si>
  <si>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</si>
  <si>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</si>
  <si>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</si>
  <si>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</si>
  <si>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</si>
  <si>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</si>
  <si>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</si>
  <si>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</si>
  <si>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</si>
  <si>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</si>
  <si>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</si>
  <si>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</si>
  <si>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</si>
  <si>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</si>
  <si>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</si>
  <si>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</si>
  <si>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</si>
  <si>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</si>
  <si>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</si>
  <si>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</si>
  <si>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</si>
  <si>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</si>
  <si>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</si>
  <si>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</si>
  <si>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</si>
  <si>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</si>
  <si>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</si>
  <si>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</si>
  <si>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</si>
  <si>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</si>
  <si>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</si>
  <si>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</si>
  <si>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</si>
  <si>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</si>
  <si>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</si>
  <si>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</si>
  <si>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</si>
  <si>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</si>
  <si>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</si>
  <si>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</si>
  <si>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</si>
  <si>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</si>
  <si>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</si>
  <si>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</si>
  <si>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</si>
  <si>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</si>
  <si>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</si>
  <si>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</si>
  <si>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</si>
  <si>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</si>
  <si>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</si>
  <si>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</si>
  <si>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</si>
  <si>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</si>
  <si>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</si>
  <si>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</si>
  <si>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</si>
  <si>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</si>
  <si>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</si>
  <si>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</si>
  <si>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</si>
  <si>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</si>
  <si>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</si>
  <si>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</si>
  <si>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</si>
  <si>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</si>
  <si>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</si>
  <si>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</si>
  <si>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</si>
  <si>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</si>
  <si>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</si>
  <si>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</si>
  <si>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</si>
  <si>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</si>
  <si>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</si>
  <si>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</si>
  <si>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</si>
  <si>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</si>
  <si>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</si>
  <si>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</si>
  <si>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</si>
  <si>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</si>
  <si>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</si>
  <si>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</si>
  <si>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</si>
  <si>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</si>
  <si>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</si>
  <si>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</si>
  <si>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</si>
  <si>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</si>
  <si>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</si>
  <si>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</si>
  <si>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</si>
  <si>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</si>
  <si>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</si>
  <si>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</si>
  <si>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</si>
  <si>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</si>
  <si>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</si>
  <si>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</si>
  <si>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</si>
  <si>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</si>
  <si>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</si>
  <si>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</si>
  <si>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</si>
  <si>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</si>
  <si>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</si>
  <si>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</si>
  <si>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</si>
  <si>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</si>
  <si>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</si>
  <si>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</si>
  <si>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</si>
  <si>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</si>
  <si>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</si>
  <si>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</si>
  <si>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</si>
  <si>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</si>
  <si>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</si>
  <si>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</si>
  <si>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</si>
  <si>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</si>
  <si>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</si>
  <si>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</si>
  <si>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</si>
  <si>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</si>
  <si>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</si>
  <si>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</si>
  <si>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</si>
  <si>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</si>
  <si>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</si>
  <si>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</si>
  <si>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</si>
  <si>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</si>
  <si>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</si>
  <si>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</si>
  <si>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</si>
  <si>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</si>
  <si>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</si>
  <si>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</si>
  <si>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</si>
  <si>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</si>
  <si>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</si>
  <si>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</si>
  <si>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</si>
  <si>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</si>
  <si>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</si>
  <si>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</si>
  <si>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</si>
  <si>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</si>
  <si>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</si>
  <si>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</si>
  <si>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</si>
  <si>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</si>
  <si>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</si>
  <si>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</si>
  <si>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</si>
  <si>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</si>
  <si>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</si>
  <si>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</si>
  <si>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</si>
  <si>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</si>
  <si>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</si>
  <si>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</si>
  <si>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</si>
  <si>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</si>
  <si>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</si>
  <si>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</si>
  <si>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</si>
  <si>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</si>
  <si>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</si>
  <si>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</si>
  <si>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</si>
  <si>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</si>
  <si>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</si>
  <si>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</si>
  <si>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</si>
  <si>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</si>
  <si>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</si>
  <si>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</si>
  <si>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</si>
  <si>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</si>
  <si>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</si>
  <si>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</si>
  <si>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</si>
  <si>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</si>
  <si>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</si>
  <si>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</si>
  <si>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</si>
  <si>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</si>
  <si>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</si>
  <si>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</si>
  <si>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</si>
  <si>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</si>
  <si>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</si>
  <si>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</si>
  <si>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</si>
  <si>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</si>
  <si>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</si>
  <si>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</si>
  <si>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</si>
  <si>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</si>
  <si>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</si>
  <si>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</si>
  <si>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</si>
  <si>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</si>
  <si>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</si>
  <si>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</si>
  <si>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</si>
  <si>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</si>
  <si>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</si>
  <si>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</si>
  <si>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</si>
  <si>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</si>
  <si>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</si>
  <si>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</si>
  <si>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</si>
  <si>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</si>
  <si>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</si>
  <si>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</si>
  <si>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</si>
  <si>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</si>
  <si>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</si>
  <si>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</si>
  <si>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</si>
  <si>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</si>
  <si>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</si>
  <si>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</si>
  <si>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</si>
  <si>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</si>
  <si>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</si>
  <si>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</si>
  <si>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</si>
  <si>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</si>
  <si>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</si>
  <si>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</si>
  <si>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</si>
  <si>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</si>
  <si>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</si>
  <si>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</si>
  <si>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</si>
  <si>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</si>
  <si>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</si>
  <si>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</si>
  <si>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</si>
  <si>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</si>
  <si>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</si>
  <si>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</si>
  <si>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</si>
  <si>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</si>
  <si>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</si>
  <si>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</si>
  <si>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</si>
  <si>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</si>
  <si>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</si>
  <si>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</si>
  <si>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</si>
  <si>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</si>
  <si>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</si>
  <si>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</si>
  <si>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</si>
  <si>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</si>
  <si>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</si>
  <si>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</si>
  <si>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</si>
  <si>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</si>
  <si>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</si>
  <si>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</si>
  <si>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</si>
  <si>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</si>
  <si>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</si>
  <si>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</si>
  <si>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</si>
  <si>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</si>
  <si>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</si>
  <si>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</si>
  <si>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</si>
  <si>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</si>
  <si>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</si>
  <si>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</si>
  <si>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</si>
  <si>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</si>
  <si>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</si>
  <si>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</si>
  <si>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</si>
  <si>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</si>
  <si>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</si>
  <si>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</si>
  <si>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</si>
  <si>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</si>
  <si>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</si>
  <si>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</si>
  <si>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</si>
  <si>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</si>
  <si>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</si>
  <si>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</si>
  <si>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</si>
  <si>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</si>
  <si>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</si>
  <si>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</si>
  <si>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</si>
  <si>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</si>
  <si>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</si>
  <si>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</si>
  <si>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</si>
  <si>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</si>
  <si>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</si>
  <si>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</si>
  <si>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</si>
  <si>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</si>
  <si>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</si>
  <si>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</si>
  <si>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</si>
  <si>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</si>
  <si>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</si>
  <si>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</si>
  <si>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</si>
  <si>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</si>
  <si>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</si>
  <si>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</si>
  <si>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</si>
  <si>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</si>
  <si>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</si>
  <si>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</si>
  <si>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</si>
  <si>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</si>
  <si>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</si>
  <si>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</si>
  <si>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</si>
  <si>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</si>
  <si>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</si>
  <si>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</si>
  <si>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</si>
  <si>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</si>
  <si>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</si>
  <si>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</si>
  <si>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</si>
  <si>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</si>
  <si>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</si>
  <si>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</si>
  <si>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</si>
  <si>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</si>
  <si>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</si>
  <si>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</si>
  <si>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</si>
  <si>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</si>
  <si>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</si>
  <si>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</si>
  <si>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</si>
  <si>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</si>
  <si>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</si>
  <si>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</si>
  <si>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</si>
  <si>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</si>
  <si>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</si>
  <si>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</si>
  <si>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</si>
  <si>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</si>
  <si>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</si>
  <si>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</si>
  <si>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</si>
  <si>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</si>
  <si>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</si>
  <si>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</si>
  <si>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</si>
  <si>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</si>
  <si>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</si>
  <si>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</si>
  <si>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</si>
  <si>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</si>
  <si>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</si>
  <si>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</si>
  <si>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</si>
  <si>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</si>
  <si>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</si>
  <si>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</si>
  <si>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</si>
  <si>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</si>
  <si>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</si>
  <si>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</si>
  <si>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</si>
  <si>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</si>
  <si>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</si>
  <si>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</si>
  <si>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</si>
  <si>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</si>
  <si>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</si>
  <si>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</si>
  <si>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</si>
  <si>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</si>
  <si>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</si>
  <si>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</si>
  <si>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</si>
  <si>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</si>
  <si>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</si>
  <si>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</si>
  <si>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</si>
  <si>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</si>
  <si>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</si>
  <si>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</si>
  <si>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</si>
  <si>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</si>
  <si>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</si>
  <si>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</si>
  <si>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</si>
  <si>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</si>
  <si>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</si>
  <si>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</si>
  <si>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</si>
  <si>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</si>
  <si>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</si>
  <si>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</si>
  <si>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</si>
  <si>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</si>
  <si>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</si>
  <si>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</si>
  <si>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</si>
  <si>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</si>
  <si>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</si>
  <si>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</si>
  <si>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</si>
  <si>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</si>
  <si>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</si>
  <si>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</si>
  <si>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</si>
  <si>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</si>
  <si>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</si>
  <si>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</si>
  <si>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</si>
  <si>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</si>
  <si>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</si>
  <si>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</si>
  <si>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</si>
  <si>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</si>
  <si>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</si>
  <si>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</si>
  <si>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</si>
  <si>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</si>
  <si>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</si>
  <si>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</si>
  <si>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</si>
  <si>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</si>
  <si>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</si>
  <si>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</si>
  <si>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</si>
  <si>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</si>
  <si>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</si>
  <si>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</si>
  <si>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</si>
  <si>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</si>
  <si>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</si>
  <si>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</si>
  <si>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</si>
  <si>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</si>
  <si>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</si>
  <si>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</si>
  <si>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</si>
  <si>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</si>
  <si>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</si>
  <si>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</si>
  <si>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</si>
  <si>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</si>
  <si>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</si>
  <si>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</si>
  <si>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</si>
  <si>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</si>
  <si>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</si>
  <si>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</si>
  <si>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</si>
  <si>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</si>
  <si>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</si>
  <si>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</si>
  <si>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</si>
  <si>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</si>
  <si>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</si>
  <si>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</si>
  <si>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</si>
  <si>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</si>
  <si>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</si>
  <si>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</si>
  <si>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</si>
  <si>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</si>
  <si>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</si>
  <si>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</si>
  <si>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</si>
  <si>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</si>
  <si>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</si>
  <si>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</si>
  <si>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</si>
  <si>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</si>
  <si>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</si>
  <si>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</si>
  <si>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</si>
  <si>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</si>
  <si>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</si>
  <si>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</si>
  <si>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</si>
  <si>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</si>
  <si>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</si>
  <si>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</si>
  <si>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</si>
  <si>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</si>
  <si>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</si>
  <si>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</si>
  <si>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</si>
  <si>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</si>
  <si>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</si>
  <si>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</si>
  <si>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</si>
  <si>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</si>
  <si>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</si>
  <si>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</si>
  <si>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</si>
  <si>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</si>
  <si>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</si>
  <si>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</si>
  <si>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</si>
  <si>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</si>
  <si>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</si>
  <si>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</si>
  <si>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</si>
  <si>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</si>
  <si>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</si>
  <si>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</si>
  <si>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</si>
  <si>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</si>
  <si>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</si>
  <si>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</si>
  <si>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</si>
  <si>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</si>
  <si>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</si>
  <si>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</si>
  <si>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</si>
  <si>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</si>
  <si>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</si>
  <si>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</si>
  <si>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</si>
  <si>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</si>
  <si>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</si>
  <si>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</si>
  <si>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</si>
  <si>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</si>
  <si>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</si>
  <si>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</si>
  <si>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</si>
  <si>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</si>
  <si>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</si>
  <si>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</si>
  <si>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</si>
  <si>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</si>
  <si>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</si>
  <si>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</si>
  <si>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</si>
  <si>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</si>
  <si>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</si>
  <si>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</si>
  <si>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</si>
  <si>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</si>
  <si>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</si>
  <si>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</si>
  <si>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</si>
  <si>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</si>
  <si>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</si>
  <si>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</si>
  <si>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</si>
  <si>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</si>
  <si>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</si>
  <si>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</si>
  <si>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</si>
  <si>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</si>
  <si>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</si>
  <si>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</si>
  <si>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</si>
  <si>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</si>
  <si>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</si>
  <si>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</si>
  <si>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</si>
  <si>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</si>
  <si>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</si>
  <si>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</si>
  <si>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</si>
  <si>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</si>
  <si>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</si>
  <si>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</si>
  <si>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</si>
  <si>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</si>
  <si>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</si>
  <si>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</si>
  <si>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</si>
  <si>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</si>
  <si>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</si>
  <si>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</si>
  <si>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</si>
  <si>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</si>
  <si>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</si>
  <si>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</si>
  <si>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</si>
  <si>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</si>
  <si>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</si>
  <si>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</si>
  <si>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</si>
  <si>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</si>
  <si>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</si>
  <si>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</si>
  <si>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</si>
  <si>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</si>
  <si>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</si>
  <si>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</si>
  <si>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</si>
  <si>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</si>
  <si>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</si>
  <si>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</si>
  <si>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</si>
  <si>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</si>
  <si>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</si>
  <si>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</si>
  <si>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</si>
  <si>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</si>
  <si>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</si>
  <si>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</si>
  <si>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</si>
  <si>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</si>
  <si>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</si>
  <si>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</si>
  <si>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</si>
  <si>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</si>
  <si>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</si>
  <si>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</si>
  <si>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</si>
  <si>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</si>
  <si>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</si>
  <si>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</si>
  <si>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</si>
  <si>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</si>
  <si>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</si>
  <si>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</si>
  <si>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</si>
  <si>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</si>
  <si>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</si>
  <si>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</si>
  <si>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</si>
  <si>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</si>
  <si>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</si>
  <si>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</si>
  <si>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</si>
  <si>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</si>
  <si>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</si>
  <si>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</si>
  <si>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</si>
  <si>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</si>
  <si>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</si>
  <si>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</si>
  <si>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</si>
  <si>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</si>
  <si>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</si>
  <si>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</si>
  <si>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</si>
  <si>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</si>
  <si>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</si>
  <si>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</si>
  <si>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</si>
  <si>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</si>
  <si>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</si>
  <si>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</si>
  <si>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</si>
  <si>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</si>
  <si>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</si>
  <si>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</si>
  <si>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</si>
  <si>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</si>
  <si>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</si>
  <si>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</si>
  <si>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</si>
  <si>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</si>
  <si>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</si>
  <si>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</si>
  <si>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</si>
  <si>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</si>
  <si>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</si>
  <si>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</si>
  <si>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</si>
  <si>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</si>
  <si>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</si>
  <si>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</si>
  <si>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</si>
  <si>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</si>
  <si>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</si>
  <si>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</si>
  <si>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</si>
  <si>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</si>
  <si>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</si>
  <si>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</si>
  <si>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</si>
  <si>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</si>
  <si>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</si>
  <si>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</si>
  <si>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</si>
  <si>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</si>
  <si>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</si>
  <si>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</si>
  <si>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</si>
  <si>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</si>
  <si>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</si>
  <si>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</si>
  <si>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</si>
  <si>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</si>
  <si>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</si>
  <si>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</si>
  <si>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</si>
  <si>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</si>
  <si>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</si>
  <si>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</si>
  <si>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</si>
  <si>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</si>
  <si>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</si>
  <si>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</si>
  <si>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</si>
  <si>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</si>
  <si>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</si>
  <si>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</si>
  <si>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</si>
  <si>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</si>
  <si>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</si>
  <si>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</si>
  <si>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</si>
  <si>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</si>
  <si>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</si>
  <si>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</si>
  <si>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</si>
  <si>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</si>
  <si>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</si>
  <si>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</si>
  <si>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</si>
  <si>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</si>
  <si>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</si>
  <si>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</si>
  <si>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</si>
  <si>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</si>
  <si>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</si>
  <si>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</si>
  <si>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</si>
  <si>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</si>
  <si>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</si>
  <si>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</si>
  <si>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</si>
  <si>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</si>
  <si>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</si>
  <si>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</si>
  <si>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</si>
  <si>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</si>
  <si>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</si>
  <si>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</si>
  <si>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</si>
  <si>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</si>
  <si>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</si>
  <si>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</si>
  <si>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</si>
  <si>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</si>
  <si>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</si>
  <si>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</si>
  <si>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</si>
  <si>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</si>
  <si>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</si>
  <si>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</si>
  <si>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</si>
  <si>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</si>
  <si>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</si>
  <si>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</si>
  <si>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</si>
  <si>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</si>
  <si>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</si>
  <si>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</si>
  <si>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</si>
  <si>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</si>
  <si>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</si>
  <si>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</si>
  <si>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</si>
  <si>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</si>
  <si>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</si>
  <si>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</si>
  <si>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</si>
  <si>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</si>
  <si>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</si>
  <si>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</si>
  <si>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</si>
  <si>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</si>
  <si>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</si>
  <si>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</si>
  <si>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</si>
  <si>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</si>
  <si>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</si>
  <si>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</si>
  <si>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</si>
  <si>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</si>
  <si>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</si>
  <si>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</si>
  <si>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</si>
  <si>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</si>
  <si>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</si>
  <si>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</si>
  <si>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</si>
  <si>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</si>
  <si>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</si>
  <si>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</si>
  <si>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</si>
  <si>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</si>
  <si>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</si>
  <si>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</si>
  <si>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</si>
  <si>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</si>
  <si>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</si>
  <si>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</si>
  <si>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</si>
  <si>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</si>
  <si>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</si>
  <si>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</si>
  <si>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</si>
  <si>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</si>
  <si>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</si>
  <si>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</si>
  <si>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</si>
  <si>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</si>
  <si>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</si>
  <si>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</si>
  <si>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</si>
  <si>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</si>
  <si>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</si>
  <si>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</si>
  <si>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</si>
  <si>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</si>
  <si>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</si>
  <si>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</si>
  <si>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</si>
  <si>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</si>
  <si>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</si>
  <si>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</si>
  <si>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</si>
  <si>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</si>
  <si>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</si>
  <si>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</si>
  <si>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</si>
  <si>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</si>
  <si>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</si>
  <si>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</si>
  <si>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</si>
  <si>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</si>
  <si>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</si>
  <si>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</si>
  <si>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</si>
  <si>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</si>
  <si>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</si>
  <si>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</si>
  <si>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</si>
  <si>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</si>
  <si>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</si>
  <si>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</si>
  <si>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</si>
  <si>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</si>
  <si>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</si>
  <si>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</si>
  <si>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</si>
  <si>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</si>
  <si>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</si>
  <si>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</si>
  <si>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</si>
  <si>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</si>
  <si>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</si>
  <si>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</si>
  <si>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</si>
  <si>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</si>
  <si>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</si>
  <si>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</si>
  <si>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</si>
  <si>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</si>
  <si>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</si>
  <si>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</si>
  <si>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</si>
  <si>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</si>
  <si>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</si>
  <si>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</si>
  <si>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</si>
  <si>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</si>
  <si>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</si>
  <si>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</si>
  <si>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</si>
  <si>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</si>
  <si>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</si>
  <si>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</si>
  <si>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</si>
  <si>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</si>
  <si>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</si>
  <si>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</si>
  <si>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</si>
  <si>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</si>
  <si>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</si>
  <si>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</si>
  <si>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</si>
  <si>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</si>
  <si>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</si>
  <si>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</si>
  <si>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</si>
  <si>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</si>
  <si>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</si>
  <si>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</si>
  <si>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</si>
  <si>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</si>
  <si>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</si>
  <si>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</si>
  <si>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</si>
  <si>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</si>
  <si>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</si>
  <si>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</si>
  <si>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</si>
  <si>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</si>
  <si>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</si>
  <si>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</si>
  <si>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</si>
  <si>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</si>
  <si>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</si>
  <si>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</si>
  <si>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</si>
  <si>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</si>
  <si>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</si>
  <si>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</si>
  <si>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</si>
  <si>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</si>
  <si>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</si>
  <si>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</si>
  <si>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</si>
  <si>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</si>
  <si>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</si>
  <si>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</si>
  <si>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</si>
  <si>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</si>
  <si>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</si>
  <si>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</si>
  <si>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</si>
  <si>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</si>
  <si>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</si>
  <si>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</si>
  <si>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</si>
  <si>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</si>
  <si>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</si>
  <si>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</si>
  <si>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</si>
  <si>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</si>
  <si>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</si>
  <si>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</si>
  <si>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</si>
  <si>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</si>
  <si>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</si>
  <si>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</si>
  <si>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</si>
  <si>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</si>
  <si>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</si>
  <si>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</si>
  <si>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</si>
  <si>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</si>
  <si>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</si>
  <si>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</si>
  <si>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</si>
  <si>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</si>
  <si>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</si>
  <si>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</si>
  <si>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</si>
  <si>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</si>
  <si>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</si>
  <si>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</si>
  <si>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</si>
  <si>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</si>
  <si>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</si>
  <si>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</si>
  <si>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</si>
  <si>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</si>
  <si>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</si>
  <si>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</si>
  <si>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</si>
  <si>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</si>
  <si>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</si>
  <si>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</si>
  <si>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</si>
  <si>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</si>
  <si>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</si>
  <si>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</si>
  <si>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</si>
  <si>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</si>
  <si>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</si>
  <si>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</si>
  <si>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</si>
  <si>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</si>
  <si>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</si>
  <si>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</si>
  <si>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</si>
  <si>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</si>
  <si>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</si>
  <si>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</si>
  <si>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</si>
  <si>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</si>
  <si>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</si>
  <si>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</si>
  <si>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</si>
  <si>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</si>
  <si>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</si>
  <si>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</si>
  <si>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</si>
  <si>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</si>
  <si>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</si>
  <si>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</si>
  <si>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</si>
  <si>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</si>
  <si>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</si>
  <si>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</si>
  <si>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</si>
  <si>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</si>
  <si>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</si>
  <si>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</si>
  <si>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</si>
  <si>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</si>
  <si>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</si>
  <si>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</si>
  <si>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</si>
  <si>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</si>
  <si>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</si>
  <si>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</si>
  <si>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</si>
  <si>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</si>
  <si>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</si>
  <si>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</si>
  <si>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</si>
  <si>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</si>
  <si>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</si>
  <si>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</si>
  <si>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</si>
  <si>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</si>
  <si>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</si>
  <si>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</si>
  <si>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</si>
  <si>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</si>
  <si>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</si>
  <si>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</si>
  <si>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</si>
  <si>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</si>
  <si>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</si>
  <si>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</si>
  <si>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</si>
  <si>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</si>
  <si>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</si>
  <si>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</si>
  <si>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</si>
  <si>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</si>
  <si>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</si>
  <si>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</si>
  <si>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</si>
  <si>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</si>
  <si>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</si>
  <si>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</si>
  <si>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</si>
  <si>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</si>
  <si>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</si>
  <si>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</si>
  <si>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</si>
  <si>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</si>
  <si>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</si>
  <si>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</si>
  <si>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</si>
  <si>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</si>
  <si>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</si>
  <si>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</si>
  <si>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</si>
  <si>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</si>
  <si>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</si>
  <si>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</si>
  <si>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</si>
  <si>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</si>
  <si>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</si>
  <si>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</si>
  <si>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</si>
  <si>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</si>
  <si>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</si>
  <si>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</si>
  <si>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</si>
  <si>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</si>
  <si>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</si>
  <si>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</si>
  <si>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</si>
  <si>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</si>
  <si>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</si>
  <si>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</si>
  <si>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</si>
  <si>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</si>
  <si>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</si>
  <si>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</si>
  <si>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</si>
  <si>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</si>
  <si>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</si>
  <si>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</si>
  <si>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</si>
  <si>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</si>
  <si>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</si>
  <si>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</si>
  <si>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</si>
  <si>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</si>
  <si>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</si>
  <si>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</si>
  <si>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</si>
  <si>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</si>
  <si>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</si>
  <si>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</si>
  <si>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</si>
  <si>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</si>
  <si>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</si>
  <si>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</si>
  <si>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</si>
  <si>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</si>
  <si>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</si>
  <si>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</si>
  <si>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</si>
  <si>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</si>
  <si>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</si>
  <si>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</si>
  <si>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</si>
  <si>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</si>
  <si>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</si>
  <si>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</si>
  <si>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</si>
  <si>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</si>
  <si>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</si>
  <si>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</si>
  <si>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</si>
  <si>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</si>
  <si>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</si>
  <si>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</si>
  <si>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</si>
  <si>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</si>
  <si>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</si>
  <si>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</si>
  <si>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</si>
  <si>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</si>
  <si>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</si>
  <si>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</si>
  <si>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</si>
  <si>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</si>
  <si>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</si>
  <si>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</si>
  <si>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</si>
  <si>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</si>
  <si>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</si>
  <si>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</si>
  <si>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</si>
  <si>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</si>
  <si>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</si>
  <si>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</si>
  <si>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</si>
  <si>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</si>
  <si>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</si>
  <si>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</si>
  <si>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</si>
  <si>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</si>
  <si>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</si>
  <si>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</si>
  <si>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</si>
  <si>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</si>
  <si>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</si>
  <si>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</si>
  <si>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</si>
  <si>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</si>
  <si>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</si>
  <si>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</si>
  <si>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</si>
  <si>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</si>
  <si>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</si>
  <si>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</si>
  <si>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</si>
  <si>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</si>
  <si>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</si>
  <si>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</si>
  <si>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</si>
  <si>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</si>
  <si>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</si>
  <si>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</si>
  <si>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</si>
  <si>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</si>
  <si>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</si>
  <si>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</si>
  <si>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</si>
  <si>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</si>
  <si>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</si>
  <si>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</si>
  <si>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</si>
  <si>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</si>
  <si>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</si>
  <si>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</si>
  <si>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</si>
  <si>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</si>
  <si>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</si>
  <si>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</si>
  <si>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</si>
  <si>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</si>
  <si>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</si>
  <si>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</si>
  <si>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</si>
  <si>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</si>
  <si>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</si>
  <si>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</si>
  <si>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</si>
  <si>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</si>
  <si>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</si>
  <si>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</si>
  <si>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</si>
  <si>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</si>
  <si>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</si>
  <si>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</si>
  <si>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</si>
  <si>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</si>
  <si>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</si>
  <si>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</si>
  <si>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</si>
  <si>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</si>
  <si>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</si>
  <si>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</si>
  <si>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</si>
  <si>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</si>
  <si>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</si>
  <si>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</si>
  <si>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</si>
  <si>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</si>
  <si>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</si>
  <si>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</si>
  <si>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</si>
  <si>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</si>
  <si>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</si>
  <si>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</si>
  <si>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</si>
  <si>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</si>
  <si>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</si>
  <si>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</si>
  <si>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</si>
  <si>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</si>
  <si>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</si>
  <si>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</si>
  <si>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</si>
  <si>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</si>
  <si>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</si>
  <si>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</si>
  <si>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</si>
  <si>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</si>
  <si>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</si>
  <si>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</si>
  <si>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</si>
  <si>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</si>
  <si>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</si>
  <si>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</si>
  <si>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</si>
  <si>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</si>
  <si>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</si>
  <si>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</si>
  <si>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</si>
  <si>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</si>
  <si>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</si>
  <si>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</si>
  <si>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</si>
  <si>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</si>
  <si>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</si>
  <si>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</si>
  <si>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</si>
  <si>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</si>
  <si>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</si>
  <si>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</si>
  <si>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</si>
  <si>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</si>
  <si>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</si>
  <si>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</si>
  <si>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</si>
  <si>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</si>
  <si>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</si>
  <si>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</si>
  <si>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</si>
  <si>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</si>
  <si>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</si>
  <si>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</si>
  <si>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</si>
  <si>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</si>
  <si>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</si>
  <si>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</si>
  <si>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</si>
  <si>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</si>
  <si>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</si>
  <si>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</si>
  <si>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</si>
  <si>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</si>
  <si>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</si>
  <si>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</si>
  <si>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</si>
  <si>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</si>
  <si>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</si>
  <si>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</si>
  <si>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</si>
  <si>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</si>
  <si>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</si>
  <si>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</si>
  <si>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</si>
  <si>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</si>
  <si>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</si>
  <si>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</si>
  <si>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</si>
  <si>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</si>
  <si>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</si>
  <si>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</si>
  <si>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</si>
  <si>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</si>
  <si>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</si>
  <si>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</si>
  <si>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</si>
  <si>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</si>
  <si>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</si>
  <si>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</si>
  <si>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</si>
  <si>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</si>
  <si>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</si>
  <si>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</si>
  <si>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</si>
  <si>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</si>
  <si>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</si>
  <si>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</si>
  <si>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</si>
  <si>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</si>
  <si>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</si>
  <si>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</si>
  <si>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</si>
  <si>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</si>
  <si>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</si>
  <si>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</si>
  <si>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</si>
  <si>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</si>
  <si>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</si>
  <si>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</si>
  <si>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</si>
  <si>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</si>
  <si>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</si>
  <si>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</si>
  <si>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</si>
  <si>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</si>
  <si>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</si>
  <si>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</si>
  <si>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</si>
  <si>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</si>
  <si>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</si>
  <si>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</si>
  <si>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</si>
  <si>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</si>
  <si>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</si>
  <si>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</si>
  <si>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</si>
  <si>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</si>
  <si>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</si>
  <si>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</si>
  <si>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</si>
  <si>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</si>
  <si>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</si>
  <si>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</si>
  <si>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</si>
  <si>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</si>
  <si>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</si>
  <si>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</si>
  <si>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</si>
  <si>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</si>
  <si>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</si>
  <si>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</si>
  <si>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</si>
  <si>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</si>
  <si>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</si>
  <si>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</si>
  <si>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</si>
  <si>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</si>
  <si>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</si>
  <si>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</si>
  <si>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</si>
  <si>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</si>
  <si>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</si>
  <si>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</si>
  <si>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</si>
  <si>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</si>
  <si>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</si>
  <si>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</si>
  <si>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</si>
  <si>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</si>
  <si>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</si>
  <si>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</si>
  <si>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</si>
  <si>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</si>
  <si>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</si>
  <si>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</si>
  <si>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</si>
  <si>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</si>
  <si>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</si>
  <si>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</si>
  <si>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</si>
  <si>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</si>
  <si>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</si>
  <si>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</si>
  <si>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</si>
  <si>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</si>
  <si>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</si>
  <si>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</si>
  <si>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</si>
  <si>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</si>
  <si>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</si>
  <si>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</si>
  <si>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</si>
  <si>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</si>
  <si>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</si>
  <si>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</si>
  <si>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</si>
  <si>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</si>
  <si>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</si>
  <si>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</si>
  <si>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</si>
  <si>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</si>
  <si>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</si>
  <si>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</si>
  <si>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</si>
  <si>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</si>
  <si>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</si>
  <si>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</si>
  <si>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</si>
  <si>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</si>
  <si>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</si>
  <si>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</si>
  <si>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</si>
  <si>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</si>
  <si>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</si>
  <si>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</si>
  <si>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</si>
  <si>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</si>
  <si>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</si>
  <si>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</si>
  <si>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</si>
  <si>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</si>
  <si>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</si>
  <si>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</si>
  <si>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</si>
  <si>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</si>
  <si>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</si>
  <si>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</si>
  <si>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</si>
  <si>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</si>
  <si>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</si>
  <si>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</si>
  <si>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</si>
  <si>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</si>
  <si>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</si>
  <si>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</si>
  <si>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</si>
  <si>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</si>
  <si>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</si>
  <si>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</si>
  <si>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</si>
  <si>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</si>
  <si>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</si>
  <si>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</si>
  <si>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</si>
  <si>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</si>
  <si>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</si>
  <si>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</si>
  <si>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</si>
  <si>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</si>
  <si>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</si>
  <si>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</si>
  <si>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</si>
  <si>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</si>
  <si>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</si>
  <si>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</si>
  <si>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</si>
  <si>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</si>
  <si>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</si>
  <si>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</si>
  <si>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</si>
  <si>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</si>
  <si>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</si>
  <si>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</si>
  <si>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</si>
  <si>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</si>
  <si>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</si>
  <si>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</si>
  <si>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</si>
  <si>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</si>
  <si>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</si>
  <si>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</si>
  <si>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</si>
  <si>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</si>
  <si>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</si>
  <si>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</si>
  <si>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</si>
  <si>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</si>
  <si>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</si>
  <si>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</si>
  <si>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</si>
  <si>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</si>
  <si>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</si>
  <si>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</si>
  <si>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</si>
  <si>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</si>
  <si>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</si>
  <si>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</si>
  <si>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</si>
  <si>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</si>
  <si>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</si>
  <si>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</si>
  <si>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</si>
  <si>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</si>
  <si>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</si>
  <si>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</si>
  <si>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</si>
  <si>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</si>
  <si>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</si>
  <si>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</si>
  <si>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</si>
  <si>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</si>
  <si>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</si>
  <si>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</si>
  <si>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</si>
  <si>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</si>
  <si>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</si>
  <si>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</si>
  <si>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</si>
  <si>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</si>
  <si>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</si>
  <si>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</si>
  <si>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</si>
  <si>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</si>
  <si>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</si>
  <si>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</si>
  <si>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</si>
  <si>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</si>
  <si>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</si>
  <si>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</si>
  <si>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</si>
  <si>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</si>
  <si>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</si>
  <si>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</si>
  <si>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</si>
  <si>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</si>
  <si>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</si>
  <si>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</si>
  <si>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</si>
  <si>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</si>
  <si>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</si>
  <si>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</si>
  <si>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</si>
  <si>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</si>
  <si>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</si>
  <si>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</si>
  <si>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</si>
  <si>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</si>
  <si>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</si>
  <si>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</si>
  <si>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</si>
  <si>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</si>
  <si>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</si>
  <si>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</si>
  <si>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</si>
  <si>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</si>
  <si>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</si>
  <si>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</si>
  <si>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</si>
  <si>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</si>
  <si>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</si>
  <si>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</si>
  <si>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</si>
  <si>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</si>
  <si>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</si>
  <si>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</si>
  <si>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</si>
  <si>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</si>
  <si>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</si>
  <si>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</si>
  <si>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</si>
  <si>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</si>
  <si>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</si>
  <si>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</si>
  <si>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</si>
  <si>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</si>
  <si>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</si>
  <si>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</si>
  <si>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</si>
  <si>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</si>
  <si>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</si>
  <si>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</si>
  <si>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</si>
  <si>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</si>
  <si>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</si>
  <si>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</si>
  <si>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</si>
  <si>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</si>
  <si>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</si>
  <si>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</si>
  <si>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</si>
  <si>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</si>
  <si>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</si>
  <si>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</si>
  <si>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</si>
  <si>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</si>
  <si>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</si>
  <si>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</si>
  <si>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</si>
  <si>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</si>
  <si>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</si>
  <si>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</si>
  <si>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</si>
  <si>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</si>
  <si>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</si>
  <si>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</si>
  <si>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</si>
  <si>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</si>
  <si>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</si>
  <si>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</si>
  <si>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</si>
  <si>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</si>
  <si>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</si>
  <si>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</si>
  <si>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</si>
  <si>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</si>
  <si>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</si>
  <si>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</si>
  <si>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</si>
  <si>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</si>
  <si>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</si>
  <si>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</si>
  <si>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</si>
  <si>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</si>
  <si>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</si>
  <si>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</si>
  <si>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</si>
  <si>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</si>
  <si>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</si>
  <si>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</si>
  <si>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</si>
  <si>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</si>
  <si>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</si>
  <si>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</si>
  <si>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</si>
  <si>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</si>
  <si>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</si>
  <si>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</si>
  <si>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</si>
  <si>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</si>
  <si>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</si>
  <si>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</si>
  <si>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</si>
  <si>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</si>
  <si>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</si>
  <si>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</si>
  <si>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</si>
  <si>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</si>
  <si>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</si>
  <si>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</si>
  <si>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</si>
  <si>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</si>
  <si>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</si>
  <si>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</si>
  <si>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</si>
  <si>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</si>
  <si>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</si>
  <si>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</si>
  <si>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</si>
  <si>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</si>
  <si>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</si>
  <si>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</si>
  <si>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</si>
  <si>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</si>
  <si>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</si>
  <si>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</si>
  <si>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</si>
  <si>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</si>
  <si>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</si>
  <si>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</si>
  <si>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</si>
  <si>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</si>
  <si>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</si>
  <si>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</si>
  <si>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</si>
  <si>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</si>
  <si>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</si>
  <si>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</si>
  <si>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</si>
  <si>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</si>
  <si>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</si>
  <si>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</si>
  <si>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</si>
  <si>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</si>
  <si>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</si>
  <si>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</si>
  <si>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</si>
  <si>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</si>
  <si>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</si>
  <si>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</si>
  <si>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</si>
  <si>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</si>
  <si>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</si>
  <si>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</si>
  <si>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</si>
  <si>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</si>
  <si>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</si>
  <si>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</si>
  <si>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</si>
  <si>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</si>
  <si>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</si>
  <si>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</si>
  <si>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</si>
  <si>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</si>
  <si>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</si>
  <si>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</si>
  <si>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</si>
  <si>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</si>
  <si>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</si>
  <si>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</si>
  <si>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</si>
  <si>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</si>
  <si>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</si>
  <si>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</si>
  <si>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</si>
  <si>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</si>
  <si>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</si>
  <si>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</si>
  <si>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</si>
  <si>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</si>
  <si>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</si>
  <si>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</si>
  <si>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</si>
  <si>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</si>
  <si>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</si>
  <si>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</si>
  <si>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</si>
  <si>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</si>
  <si>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</si>
  <si>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</si>
  <si>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</si>
  <si>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</si>
  <si>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</si>
  <si>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</si>
  <si>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</si>
  <si>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</si>
  <si>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</si>
  <si>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</si>
  <si>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</si>
  <si>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</si>
  <si>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</si>
  <si>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</si>
  <si>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</si>
  <si>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</si>
  <si>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</si>
  <si>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</si>
  <si>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</si>
  <si>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</si>
  <si>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</si>
  <si>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</si>
  <si>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</si>
  <si>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</si>
  <si>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</si>
  <si>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</si>
  <si>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</si>
  <si>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</si>
  <si>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</si>
  <si>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</si>
  <si>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</si>
  <si>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</si>
  <si>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</si>
  <si>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</si>
  <si>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</si>
  <si>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</si>
  <si>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</si>
  <si>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</si>
  <si>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</si>
  <si>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</si>
  <si>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</si>
  <si>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</si>
  <si>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</si>
  <si>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</si>
  <si>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</si>
  <si>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</si>
  <si>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</si>
  <si>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</si>
  <si>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</si>
  <si>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</si>
  <si>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</si>
  <si>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</si>
  <si>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</si>
  <si>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</si>
  <si>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</si>
  <si>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</si>
  <si>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</si>
  <si>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</si>
  <si>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</si>
  <si>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</si>
  <si>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</si>
  <si>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</si>
  <si>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</si>
  <si>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</si>
  <si>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</si>
  <si>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</si>
  <si>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</si>
  <si>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</si>
  <si>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</si>
  <si>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</si>
  <si>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</si>
  <si>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</si>
  <si>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</si>
  <si>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</si>
  <si>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</si>
  <si>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</si>
  <si>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</si>
  <si>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</si>
  <si>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</si>
  <si>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</si>
  <si>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</si>
  <si>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</si>
  <si>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</si>
  <si>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</si>
  <si>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</si>
  <si>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</si>
  <si>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</si>
  <si>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</si>
  <si>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</si>
  <si>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</si>
  <si>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</si>
  <si>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</si>
  <si>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</si>
  <si>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</si>
  <si>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</si>
  <si>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</si>
  <si>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</si>
  <si>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</si>
  <si>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</si>
  <si>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</si>
  <si>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</si>
  <si>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</si>
  <si>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</si>
  <si>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</si>
  <si>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</si>
  <si>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</si>
  <si>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</si>
  <si>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</si>
  <si>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</si>
  <si>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</si>
  <si>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</si>
  <si>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</si>
  <si>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</si>
  <si>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</si>
  <si>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</si>
  <si>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</si>
  <si>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</si>
  <si>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</si>
  <si>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</si>
  <si>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</si>
  <si>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</si>
  <si>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</si>
  <si>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</si>
  <si>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</si>
  <si>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</si>
  <si>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</si>
  <si>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</si>
  <si>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</si>
  <si>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</si>
  <si>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</si>
  <si>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</si>
  <si>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</si>
  <si>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</si>
  <si>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</si>
  <si>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</si>
  <si>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</si>
  <si>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</si>
  <si>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</si>
  <si>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</si>
  <si>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</si>
  <si>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</si>
  <si>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</si>
  <si>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</si>
  <si>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</si>
  <si>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</si>
  <si>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</si>
  <si>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</si>
  <si>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</si>
  <si>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</si>
  <si>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</si>
  <si>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</si>
  <si>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</si>
  <si>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</si>
  <si>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</si>
  <si>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</si>
  <si>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</si>
  <si>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</si>
  <si>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</si>
  <si>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</si>
  <si>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</si>
  <si>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</si>
  <si>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</si>
  <si>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</si>
  <si>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</si>
  <si>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</si>
  <si>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</si>
  <si>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</si>
  <si>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</si>
  <si>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</si>
  <si>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</si>
  <si>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</si>
  <si>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</si>
  <si>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</si>
  <si>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</si>
  <si>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</si>
  <si>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</si>
  <si>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</si>
  <si>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</si>
  <si>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</si>
  <si>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</si>
  <si>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</si>
  <si>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</si>
  <si>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</si>
  <si>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</si>
  <si>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</si>
  <si>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</si>
  <si>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</si>
  <si>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</si>
  <si>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</si>
  <si>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</si>
  <si>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</si>
  <si>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</si>
  <si>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</si>
  <si>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</si>
  <si>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</si>
  <si>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</si>
  <si>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</si>
  <si>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</si>
  <si>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</si>
  <si>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</si>
  <si>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</si>
  <si>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</si>
  <si>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</si>
  <si>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</si>
  <si>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</si>
  <si>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</si>
  <si>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</si>
  <si>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</si>
  <si>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</si>
  <si>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</si>
  <si>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</si>
  <si>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</si>
  <si>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</si>
  <si>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</si>
  <si>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</si>
  <si>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</si>
  <si>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</si>
  <si>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</si>
  <si>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</si>
  <si>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</si>
  <si>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</si>
  <si>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</si>
  <si>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</si>
  <si>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</si>
  <si>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</si>
  <si>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</si>
  <si>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</si>
  <si>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</si>
  <si>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</si>
  <si>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</si>
  <si>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</si>
  <si>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</si>
  <si>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</si>
  <si>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</si>
  <si>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</si>
  <si>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</si>
  <si>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</si>
  <si>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</si>
  <si>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</si>
  <si>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</si>
  <si>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</si>
  <si>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</si>
  <si>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</si>
  <si>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</si>
  <si>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</si>
  <si>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</si>
  <si>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</si>
  <si>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</si>
  <si>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</si>
  <si>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</si>
  <si>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</si>
  <si>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</si>
  <si>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</si>
  <si>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</si>
  <si>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</si>
  <si>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</si>
  <si>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</si>
  <si>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</si>
  <si>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</si>
  <si>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</si>
  <si>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</si>
  <si>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</si>
  <si>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</si>
  <si>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</si>
  <si>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</si>
  <si>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</si>
  <si>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</si>
  <si>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</si>
  <si>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</si>
  <si>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</si>
  <si>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</si>
  <si>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</si>
  <si>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</si>
  <si>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</si>
  <si>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</si>
  <si>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</si>
  <si>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</si>
  <si>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</si>
  <si>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</si>
  <si>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</si>
  <si>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</si>
  <si>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</si>
  <si>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</si>
  <si>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</si>
  <si>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</si>
  <si>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</si>
  <si>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</si>
  <si>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</si>
  <si>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</si>
  <si>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</si>
  <si>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</si>
  <si>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</si>
  <si>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</si>
  <si>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</si>
  <si>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</si>
  <si>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</si>
  <si>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</si>
  <si>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</si>
  <si>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</si>
  <si>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</si>
  <si>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</si>
  <si>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</si>
  <si>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</si>
  <si>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</si>
  <si>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</si>
  <si>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</si>
  <si>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</si>
  <si>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</si>
  <si>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</si>
  <si>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</si>
  <si>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</si>
  <si>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</si>
  <si>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</si>
  <si>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</si>
  <si>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</si>
  <si>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</si>
  <si>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</si>
  <si>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</si>
  <si>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</si>
  <si>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</si>
  <si>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</si>
  <si>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</si>
  <si>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</si>
  <si>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</si>
  <si>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</si>
  <si>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</si>
  <si>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</si>
  <si>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</si>
  <si>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</si>
  <si>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</si>
  <si>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</si>
  <si>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</si>
  <si>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</si>
  <si>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</si>
  <si>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</si>
  <si>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</si>
  <si>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</si>
  <si>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</si>
  <si>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</si>
  <si>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</si>
  <si>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</si>
  <si>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</si>
  <si>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</si>
  <si>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</si>
  <si>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</si>
  <si>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</si>
  <si>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</si>
  <si>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</si>
  <si>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</si>
  <si>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</si>
  <si>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</si>
  <si>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</si>
  <si>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</si>
  <si>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</si>
  <si>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</si>
  <si>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</si>
  <si>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</si>
  <si>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</si>
  <si>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</si>
  <si>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</si>
  <si>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</si>
  <si>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</si>
  <si>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</si>
  <si>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</si>
  <si>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</si>
  <si>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</si>
  <si>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</si>
  <si>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</si>
  <si>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</si>
  <si>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</si>
  <si>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</si>
  <si>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</si>
  <si>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</si>
  <si>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</si>
  <si>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</si>
  <si>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</si>
  <si>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</si>
  <si>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</si>
  <si>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</si>
  <si>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</si>
  <si>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</si>
  <si>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</si>
  <si>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</si>
  <si>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</si>
  <si>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</si>
  <si>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</si>
  <si>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</si>
  <si>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</si>
  <si>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</si>
  <si>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</si>
  <si>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</si>
  <si>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</si>
  <si>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</si>
  <si>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</si>
  <si>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</si>
  <si>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</si>
  <si>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</si>
  <si>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</si>
  <si>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</si>
  <si>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</si>
  <si>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</si>
  <si>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</si>
  <si>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</si>
  <si>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</si>
  <si>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</si>
  <si>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</si>
  <si>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</si>
  <si>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</si>
  <si>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</si>
  <si>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</si>
  <si>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</si>
  <si>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</si>
  <si>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</si>
  <si>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</si>
  <si>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</si>
  <si>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</si>
  <si>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</si>
  <si>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</si>
  <si>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</si>
  <si>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</si>
  <si>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</si>
  <si>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</si>
  <si>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</si>
  <si>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</si>
  <si>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</si>
  <si>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</si>
  <si>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</si>
  <si>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</si>
  <si>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</si>
  <si>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</si>
  <si>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</si>
  <si>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</si>
  <si>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</si>
  <si>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</si>
  <si>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</si>
  <si>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</si>
  <si>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</si>
  <si>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</si>
  <si>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</si>
  <si>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</si>
  <si>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</si>
  <si>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</si>
  <si>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</si>
  <si>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</si>
  <si>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</si>
  <si>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</si>
  <si>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</si>
  <si>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</si>
  <si>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</si>
  <si>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</si>
  <si>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</si>
  <si>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</si>
  <si>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</si>
  <si>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</si>
  <si>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</si>
  <si>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</si>
  <si>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</si>
  <si>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</si>
  <si>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</si>
  <si>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</si>
  <si>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</si>
  <si>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</si>
  <si>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</si>
  <si>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</si>
  <si>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</si>
  <si>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</si>
  <si>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</si>
  <si>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</si>
  <si>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</si>
  <si>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</si>
  <si>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</si>
  <si>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</si>
  <si>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</si>
  <si>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</si>
  <si>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</si>
  <si>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</si>
  <si>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</si>
  <si>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</si>
  <si>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</si>
  <si>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</si>
  <si>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</si>
  <si>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</si>
  <si>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</si>
  <si>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</si>
  <si>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</si>
  <si>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</si>
  <si>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</si>
  <si>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</si>
  <si>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</si>
  <si>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</si>
  <si>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</si>
  <si>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</si>
  <si>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</si>
  <si>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</si>
  <si>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</si>
  <si>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</si>
  <si>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</si>
  <si>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</si>
  <si>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</si>
  <si>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</si>
  <si>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</si>
  <si>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</si>
  <si>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</si>
  <si>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</si>
  <si>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</si>
  <si>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</si>
  <si>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</si>
  <si>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</si>
  <si>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</si>
  <si>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</si>
  <si>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</si>
  <si>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</si>
  <si>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</si>
  <si>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</si>
  <si>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</si>
  <si>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</si>
  <si>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</si>
  <si>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</si>
  <si>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</si>
  <si>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</si>
  <si>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</si>
  <si>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</si>
  <si>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</si>
  <si>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</si>
  <si>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</si>
  <si>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</si>
  <si>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</si>
  <si>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</si>
  <si>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</si>
  <si>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</si>
  <si>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</si>
  <si>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</si>
  <si>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</si>
  <si>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</si>
  <si>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</si>
  <si>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</si>
  <si>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</si>
  <si>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</si>
  <si>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</si>
  <si>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</si>
  <si>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</si>
  <si>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</si>
  <si>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</si>
  <si>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</si>
  <si>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</si>
  <si>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</si>
  <si>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</si>
  <si>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</si>
  <si>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</si>
  <si>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</si>
  <si>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</si>
  <si>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</si>
  <si>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</si>
  <si>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</si>
  <si>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</si>
  <si>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</si>
  <si>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</si>
  <si>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</si>
  <si>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</si>
  <si>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</si>
  <si>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</si>
  <si>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</si>
  <si>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</si>
  <si>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</si>
  <si>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</si>
  <si>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</si>
  <si>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</si>
  <si>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</si>
  <si>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</si>
  <si>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</si>
  <si>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</si>
  <si>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</si>
  <si>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</si>
  <si>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</si>
  <si>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</si>
  <si>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</si>
  <si>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</si>
  <si>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</si>
  <si>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</si>
  <si>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</si>
  <si>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</si>
  <si>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</si>
  <si>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</si>
  <si>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</si>
  <si>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</si>
  <si>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</si>
  <si>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</si>
  <si>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</si>
  <si>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</si>
  <si>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</si>
  <si>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</si>
  <si>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</si>
  <si>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</si>
  <si>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</si>
  <si>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</si>
  <si>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</si>
  <si>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</si>
  <si>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</si>
  <si>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</si>
  <si>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</si>
  <si>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</si>
  <si>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</si>
  <si>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</si>
  <si>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</si>
  <si>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</si>
  <si>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</si>
  <si>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</si>
  <si>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</si>
  <si>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</si>
  <si>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</si>
  <si>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</si>
  <si>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</si>
  <si>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</si>
  <si>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</si>
  <si>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</si>
  <si>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</si>
  <si>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</si>
  <si>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</si>
  <si>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</si>
  <si>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</si>
  <si>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</si>
  <si>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</si>
  <si>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</si>
  <si>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</si>
  <si>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</si>
  <si>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</si>
  <si>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</si>
  <si>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</si>
  <si>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</si>
  <si>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</si>
  <si>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</si>
  <si>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</si>
  <si>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</si>
  <si>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</si>
  <si>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</si>
  <si>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</si>
  <si>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</si>
  <si>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</si>
  <si>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</si>
  <si>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</si>
  <si>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</si>
  <si>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</si>
  <si>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</si>
  <si>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</si>
  <si>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</si>
  <si>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</si>
  <si>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</si>
  <si>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</si>
  <si>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</si>
  <si>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</si>
  <si>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</si>
  <si>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</si>
  <si>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</si>
  <si>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</si>
  <si>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</si>
  <si>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</si>
  <si>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</si>
  <si>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</si>
  <si>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</si>
  <si>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</si>
  <si>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</si>
  <si>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</si>
  <si>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</si>
  <si>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</si>
  <si>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</si>
  <si>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</si>
  <si>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</si>
  <si>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</si>
  <si>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</si>
  <si>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</si>
  <si>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</si>
  <si>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</si>
  <si>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</si>
  <si>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</si>
  <si>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</si>
  <si>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</si>
  <si>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</si>
  <si>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</si>
  <si>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</si>
  <si>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</si>
  <si>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</si>
  <si>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</si>
  <si>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</si>
  <si>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</si>
  <si>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</si>
  <si>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</si>
  <si>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</si>
  <si>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</si>
  <si>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</si>
  <si>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</si>
  <si>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</si>
  <si>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</si>
  <si>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</si>
  <si>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</si>
  <si>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</si>
  <si>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</si>
  <si>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</si>
  <si>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</si>
  <si>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</si>
  <si>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</si>
  <si>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</si>
  <si>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</si>
  <si>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</si>
  <si>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</si>
  <si>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</si>
  <si>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</si>
  <si>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</si>
  <si>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</si>
  <si>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</si>
  <si>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</si>
  <si>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</si>
  <si>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</si>
  <si>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</si>
  <si>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</si>
  <si>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</si>
  <si>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</si>
  <si>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</si>
  <si>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</si>
  <si>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</si>
  <si>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</si>
  <si>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</si>
  <si>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</si>
  <si>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</si>
  <si>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</si>
  <si>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</si>
  <si>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</si>
  <si>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</si>
  <si>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</si>
  <si>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</si>
  <si>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</si>
  <si>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</si>
  <si>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</si>
  <si>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</si>
  <si>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</si>
  <si>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规证一</t>
  </si>
  <si>
    <t>地上</t>
  </si>
  <si>
    <t>地下</t>
  </si>
  <si>
    <t>住宅</t>
  </si>
  <si>
    <t>其他</t>
  </si>
  <si>
    <t>库房</t>
  </si>
  <si>
    <t>设备</t>
  </si>
  <si>
    <t>地上楼层</t>
  </si>
  <si>
    <t>地下楼层</t>
  </si>
  <si>
    <t>栋数</t>
  </si>
  <si>
    <t>户数</t>
  </si>
  <si>
    <t>1-1#</t>
  </si>
  <si>
    <t>住宅楼</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</si>
  <si>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</si>
  <si>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</si>
  <si>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</si>
  <si>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</si>
  <si>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</si>
  <si>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</si>
  <si>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</si>
  <si>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</si>
  <si>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</si>
  <si>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</si>
  <si>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</si>
  <si>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</si>
  <si>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</si>
  <si>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</si>
  <si>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</si>
  <si>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</si>
  <si>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</si>
  <si>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</si>
  <si>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</si>
  <si>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</si>
  <si>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</si>
  <si>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</si>
  <si>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</si>
  <si>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</si>
  <si>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</si>
  <si>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</si>
  <si>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</si>
  <si>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</si>
  <si>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</si>
  <si>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</si>
  <si>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</si>
  <si>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</si>
  <si>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</si>
  <si>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</si>
  <si>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</si>
  <si>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</si>
  <si>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</si>
  <si>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</si>
  <si>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</si>
  <si>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</si>
  <si>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</si>
  <si>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</si>
  <si>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</si>
  <si>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</si>
  <si>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</si>
  <si>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</si>
  <si>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</si>
  <si>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</si>
  <si>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</si>
  <si>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</si>
  <si>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</si>
  <si>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</si>
  <si>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</si>
  <si>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</si>
  <si>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</si>
  <si>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</si>
  <si>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</si>
  <si>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</si>
  <si>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</si>
  <si>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</si>
  <si>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</si>
  <si>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</si>
  <si>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</si>
  <si>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</si>
  <si>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</si>
  <si>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</si>
  <si>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</si>
  <si>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</si>
  <si>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</si>
  <si>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</si>
  <si>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</si>
  <si>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</si>
  <si>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</si>
  <si>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</si>
  <si>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</si>
  <si>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</si>
  <si>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</si>
  <si>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</si>
  <si>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</si>
  <si>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</si>
  <si>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</si>
  <si>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</si>
  <si>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开闭站</t>
  </si>
  <si>
    <t>1-84#</t>
  </si>
  <si>
    <t>1-85#</t>
  </si>
  <si>
    <t>1-86#</t>
  </si>
  <si>
    <t>1-87#</t>
  </si>
  <si>
    <t>1-88#</t>
  </si>
  <si>
    <t>1-89#</t>
  </si>
  <si>
    <t>1-90#</t>
  </si>
  <si>
    <t>1-91#</t>
  </si>
  <si>
    <t>p-1#</t>
  </si>
  <si>
    <t>托老所</t>
  </si>
  <si>
    <t>配套用房</t>
  </si>
  <si>
    <t>车库</t>
  </si>
  <si>
    <t>人防</t>
  </si>
  <si>
    <t>946个</t>
  </si>
  <si>
    <t>规证二</t>
  </si>
  <si>
    <t>自持</t>
  </si>
  <si>
    <t>21地块</t>
  </si>
  <si>
    <t>自持住宅</t>
  </si>
  <si>
    <t>配套</t>
  </si>
  <si>
    <t>684个</t>
  </si>
  <si>
    <t>房号</t>
  </si>
  <si>
    <t>合并房号</t>
  </si>
  <si>
    <t>大证住宅</t>
  </si>
  <si>
    <t>车位</t>
  </si>
  <si>
    <t>0261</t>
  </si>
  <si>
    <t>0262</t>
  </si>
  <si>
    <t>0283</t>
  </si>
  <si>
    <t>0284</t>
  </si>
  <si>
    <t>0279</t>
  </si>
  <si>
    <t>0280</t>
  </si>
  <si>
    <t>0313</t>
  </si>
  <si>
    <t>0314</t>
  </si>
  <si>
    <t>0357</t>
  </si>
  <si>
    <t>0358</t>
  </si>
  <si>
    <t>0395</t>
  </si>
  <si>
    <t>0396</t>
  </si>
  <si>
    <t>0393</t>
  </si>
  <si>
    <t>0394</t>
  </si>
  <si>
    <t>0417</t>
  </si>
  <si>
    <t>0418</t>
  </si>
  <si>
    <t>0413</t>
  </si>
  <si>
    <t>0414</t>
  </si>
  <si>
    <t>0435</t>
  </si>
  <si>
    <t>0436</t>
  </si>
  <si>
    <t>0439</t>
  </si>
  <si>
    <t>0440</t>
  </si>
  <si>
    <t>0441</t>
  </si>
  <si>
    <t>0442</t>
  </si>
  <si>
    <t>0443</t>
  </si>
  <si>
    <t>0444</t>
  </si>
  <si>
    <t>0449</t>
  </si>
  <si>
    <t>0450</t>
  </si>
  <si>
    <t>0451</t>
  </si>
  <si>
    <t>0452</t>
  </si>
  <si>
    <t>0455</t>
  </si>
  <si>
    <t>0456</t>
  </si>
  <si>
    <t>0457</t>
  </si>
  <si>
    <t>0458</t>
  </si>
  <si>
    <t>0459</t>
  </si>
  <si>
    <t>0460</t>
  </si>
  <si>
    <t>0461</t>
  </si>
  <si>
    <t>0462</t>
  </si>
  <si>
    <t>0487</t>
  </si>
  <si>
    <t>0488</t>
  </si>
  <si>
    <t>0473</t>
  </si>
  <si>
    <t>0474</t>
  </si>
  <si>
    <t>0533</t>
  </si>
  <si>
    <t>0534</t>
  </si>
  <si>
    <t>0537</t>
  </si>
  <si>
    <t>0538</t>
  </si>
  <si>
    <t>0555</t>
  </si>
  <si>
    <t>0556</t>
  </si>
  <si>
    <t>0573</t>
  </si>
  <si>
    <t>0574</t>
  </si>
  <si>
    <t>抵押</t>
  </si>
  <si>
    <t>房地产抵押价值</t>
  </si>
  <si>
    <t>北京市</t>
  </si>
  <si>
    <t>企业</t>
  </si>
  <si>
    <t>是</t>
  </si>
  <si>
    <t>仓储</t>
  </si>
  <si>
    <t>戊类库房</t>
  </si>
  <si>
    <t>合院住宅</t>
  </si>
  <si>
    <t>合院住宅</t>
    <phoneticPr fontId="8" type="noConversion"/>
  </si>
  <si>
    <t>地下仓储</t>
  </si>
  <si>
    <t>地下车库</t>
    <phoneticPr fontId="8" type="noConversion"/>
  </si>
  <si>
    <t>备案总价</t>
  </si>
  <si>
    <t>备案面积</t>
  </si>
  <si>
    <t>备案单价</t>
  </si>
  <si>
    <t>利息：取LPR加浮动点数</t>
  </si>
  <si>
    <t>一般</t>
    <phoneticPr fontId="4" type="noConversion"/>
  </si>
  <si>
    <t>较差</t>
    <phoneticPr fontId="4" type="noConversion"/>
  </si>
  <si>
    <t>七通</t>
    <phoneticPr fontId="4" type="noConversion"/>
  </si>
  <si>
    <t>支路</t>
    <phoneticPr fontId="4" type="noConversion"/>
  </si>
  <si>
    <t>结果表 (地下仓储)</t>
    <phoneticPr fontId="17" type="noConversion"/>
  </si>
  <si>
    <t>结果表 (车位)</t>
    <phoneticPr fontId="17" type="noConversion"/>
  </si>
  <si>
    <t>成本法</t>
  </si>
  <si>
    <t>成本法</t>
    <phoneticPr fontId="17" type="noConversion"/>
  </si>
  <si>
    <t>成本法（地下仓储）</t>
  </si>
  <si>
    <t>成本法（车位）</t>
  </si>
  <si>
    <t>现房</t>
  </si>
  <si>
    <t>项目局部</t>
  </si>
  <si>
    <t>成本比率</t>
  </si>
  <si>
    <t>总价</t>
  </si>
  <si>
    <t>比较法-仓储</t>
  </si>
  <si>
    <t>比较法-车位</t>
  </si>
  <si>
    <t>已包含在土地取得成本中</t>
  </si>
  <si>
    <t>售价</t>
  </si>
  <si>
    <t>正常</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</si>
  <si>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</si>
  <si>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</si>
  <si>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</si>
  <si>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</si>
  <si>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</si>
  <si>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</si>
  <si>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</si>
  <si>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</si>
  <si>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</si>
  <si>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</si>
  <si>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</si>
  <si>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</si>
  <si>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</si>
  <si>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</si>
  <si>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</si>
  <si>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</si>
  <si>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</si>
  <si>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北京市顺义新城第23街区新国展三期项目(原22街区南部)22-02-007-1、22-02-007-2地块R2二类居住用地</t>
  </si>
  <si>
    <t>住宅用地</t>
  </si>
  <si>
    <t>≤2.5</t>
  </si>
  <si>
    <t>挂牌</t>
  </si>
  <si>
    <t>R2二类居住用地</t>
  </si>
  <si>
    <t>2021-02-02</t>
  </si>
  <si>
    <t>北京润置商业运营管理有限公司、保利(北京)房地产开发有限公司</t>
  </si>
  <si>
    <t>4星</t>
  </si>
  <si>
    <t>北京市顺义区顺义新城第13街区SY00-0013-6055、6056地块二类居住用地</t>
  </si>
  <si>
    <t>≤1.6</t>
  </si>
  <si>
    <t>二类居住用地</t>
  </si>
  <si>
    <t>2021-01-26</t>
  </si>
  <si>
    <t>北京宏远泰业科技有限公司、保利(北京)房地产开发有限公司联合体</t>
  </si>
  <si>
    <t>北京市顺义区顺义新城第13街区SY00-0013-6060、6066、6067地块二类居住用地、6058地块商业用地、6063地块综合性商业金融服务业用地、6065地块托幼用地</t>
  </si>
  <si>
    <t>综合用地(含住宅)</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</si>
  <si>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</si>
  <si>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</si>
  <si>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</si>
  <si>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</si>
  <si>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</si>
  <si>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</si>
  <si>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</si>
  <si>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</si>
  <si>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3星</t>
  </si>
  <si>
    <t>北京市顺义区仁和镇临河村棚户区改造土地开发B片区SY00-0007-6080、6081、6082、6084、6086地块二类居住用地、商业用地</t>
  </si>
  <si>
    <t>r2≤1.6,商业≤2.5</t>
  </si>
  <si>
    <t>二类居住用地、商业用地</t>
  </si>
  <si>
    <t>深圳市创欣志企业管理有限公司</t>
  </si>
  <si>
    <t>2星</t>
  </si>
  <si>
    <t>北京市顺义区仁和镇临河村棚户区改造土地开发B片区SY00-0007-6072、6073、6075、6076、6078地块二类居住用地、托幼用地</t>
  </si>
  <si>
    <t>r2≤1.6,幼托≤0.8</t>
  </si>
  <si>
    <t>二类居住用地、托幼用地</t>
  </si>
  <si>
    <t>北京路劲隽御房地产开发有限公司</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</si>
  <si>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</si>
  <si>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</si>
  <si>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</si>
  <si>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</si>
  <si>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</si>
  <si>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</si>
  <si>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</si>
  <si>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</si>
  <si>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</si>
  <si>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北京市顺义区北小营镇顺义新城第30街区30-01-02地块R2二类居住用地、30-01-04地块A33基础教育用地</t>
  </si>
  <si>
    <t>r2≤2,a33≤0.8</t>
  </si>
  <si>
    <t>R2二类居住用地、A33基础教育用地</t>
  </si>
  <si>
    <t>2019-08-29</t>
  </si>
  <si>
    <t>天津北方彤茂企业管理有限公司、北京城建投资发展股份有限公司联合体</t>
  </si>
  <si>
    <t>北京市顺义区高丽营镇SY02-0102-6001、SY02-0102-6002地块R2二类居住用地</t>
  </si>
  <si>
    <t>≤1.5</t>
  </si>
  <si>
    <t>2019-06-27</t>
  </si>
  <si>
    <t>北京首都开发股份有限公司、富力瑞康有限公司联合体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</si>
  <si>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</si>
  <si>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</si>
  <si>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</si>
  <si>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</si>
  <si>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</si>
  <si>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</si>
  <si>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</si>
  <si>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</si>
  <si>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</si>
  <si>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</si>
  <si>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</si>
  <si>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</si>
  <si>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</si>
  <si>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</si>
  <si>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</si>
  <si>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</si>
  <si>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</si>
  <si>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</si>
  <si>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计算容积率</t>
    <phoneticPr fontId="141" type="noConversion"/>
  </si>
  <si>
    <t>剥离后楼面单价</t>
    <phoneticPr fontId="141" type="noConversion"/>
  </si>
  <si>
    <t>配建面积</t>
    <phoneticPr fontId="141" type="noConversion"/>
  </si>
  <si>
    <t>异地建设</t>
    <phoneticPr fontId="141" type="noConversion"/>
  </si>
  <si>
    <t>自持</t>
    <phoneticPr fontId="32" type="noConversion"/>
  </si>
  <si>
    <t>自持</t>
    <phoneticPr fontId="141" type="noConversion"/>
  </si>
  <si>
    <t>无限价</t>
    <phoneticPr fontId="141" type="noConversion"/>
  </si>
  <si>
    <t>限价</t>
    <phoneticPr fontId="141" type="noConversion"/>
  </si>
  <si>
    <t>限价区间</t>
    <phoneticPr fontId="32" type="noConversion"/>
  </si>
  <si>
    <t>规则</t>
  </si>
  <si>
    <t>规则</t>
    <phoneticPr fontId="32" type="noConversion"/>
  </si>
  <si>
    <t>较规则</t>
    <phoneticPr fontId="32" type="noConversion"/>
  </si>
  <si>
    <t>较不规则</t>
    <phoneticPr fontId="32" type="noConversion"/>
  </si>
  <si>
    <t>不规则</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</si>
  <si>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</si>
  <si>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</si>
  <si>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</si>
  <si>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</si>
  <si>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</si>
  <si>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</si>
  <si>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</si>
  <si>
    <t>三通</t>
    <phoneticPr fontId="32" type="noConversion"/>
  </si>
  <si>
    <t>快速路及高速路</t>
    <phoneticPr fontId="32" type="noConversion"/>
  </si>
  <si>
    <t>主干道</t>
    <phoneticPr fontId="32" type="noConversion"/>
  </si>
  <si>
    <t>次干道</t>
  </si>
  <si>
    <t>次干道</t>
    <phoneticPr fontId="32" type="noConversion"/>
  </si>
  <si>
    <t>支路</t>
  </si>
  <si>
    <t>支路</t>
    <phoneticPr fontId="32" type="noConversion"/>
  </si>
  <si>
    <t>四级</t>
    <phoneticPr fontId="32" type="noConversion"/>
  </si>
  <si>
    <t>五级</t>
    <phoneticPr fontId="32" type="noConversion"/>
  </si>
  <si>
    <t>六级</t>
    <phoneticPr fontId="32" type="noConversion"/>
  </si>
  <si>
    <t>七级</t>
    <phoneticPr fontId="32" type="noConversion"/>
  </si>
  <si>
    <t>八级</t>
    <phoneticPr fontId="32" type="noConversion"/>
  </si>
  <si>
    <t>住宅</t>
    <phoneticPr fontId="32" type="noConversion"/>
  </si>
  <si>
    <t>综合（含住宅）</t>
    <phoneticPr fontId="32" type="noConversion"/>
  </si>
  <si>
    <t>否</t>
    <phoneticPr fontId="32" type="noConversion"/>
  </si>
  <si>
    <t>是</t>
    <phoneticPr fontId="32" type="noConversion"/>
  </si>
  <si>
    <t>0-10%（含）</t>
  </si>
  <si>
    <t>10%-20%（含）</t>
  </si>
  <si>
    <t>20%-30%（含）</t>
  </si>
  <si>
    <r>
      <t>6</t>
    </r>
    <r>
      <rPr>
        <sz val="11"/>
        <color indexed="8"/>
        <rFont val="宋体"/>
        <family val="3"/>
        <charset val="134"/>
      </rPr>
      <t>万以上</t>
    </r>
    <phoneticPr fontId="32"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</si>
  <si>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32"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</si>
  <si>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32" type="noConversion"/>
  </si>
  <si>
    <r>
      <rPr>
        <sz val="11"/>
        <rFont val="宋体"/>
        <family val="3"/>
        <charset val="134"/>
      </rPr>
      <t>估价对象名称</t>
    </r>
    <phoneticPr fontId="4" type="noConversion"/>
  </si>
  <si>
    <t>出让</t>
  </si>
  <si>
    <r>
      <t>30%</t>
    </r>
    <r>
      <rPr>
        <sz val="11"/>
        <color indexed="8"/>
        <rFont val="宋体"/>
        <family val="3"/>
        <charset val="134"/>
      </rPr>
      <t>（含）以上</t>
    </r>
    <phoneticPr fontId="32" type="noConversion"/>
  </si>
  <si>
    <r>
      <t>30%</t>
    </r>
    <r>
      <rPr>
        <sz val="11"/>
        <rFont val="宋体"/>
        <family val="3"/>
        <charset val="134"/>
      </rPr>
      <t>（含）以上</t>
    </r>
    <phoneticPr fontId="32" type="noConversion"/>
  </si>
  <si>
    <r>
      <t>6</t>
    </r>
    <r>
      <rPr>
        <sz val="11"/>
        <rFont val="宋体"/>
        <family val="3"/>
        <charset val="134"/>
      </rPr>
      <t>万以上</t>
    </r>
    <phoneticPr fontId="32" type="noConversion"/>
  </si>
  <si>
    <t>一般</t>
  </si>
  <si>
    <t>较好</t>
  </si>
  <si>
    <t>车库面积</t>
  </si>
  <si>
    <t>㎡</t>
  </si>
  <si>
    <t>车库单价</t>
  </si>
  <si>
    <t>元/㎡</t>
  </si>
  <si>
    <t>车库总价</t>
  </si>
  <si>
    <t>万元/套</t>
  </si>
  <si>
    <t>龙湖·云河玉陛</t>
    <phoneticPr fontId="141" type="noConversion"/>
  </si>
  <si>
    <t>元</t>
  </si>
  <si>
    <r>
      <t>5.5</t>
    </r>
    <r>
      <rPr>
        <sz val="11"/>
        <rFont val="宋体"/>
        <family val="3"/>
        <charset val="134"/>
      </rPr>
      <t>（含）</t>
    </r>
    <r>
      <rPr>
        <sz val="11"/>
        <rFont val="Arial"/>
        <family val="2"/>
      </rPr>
      <t>-6</t>
    </r>
    <r>
      <rPr>
        <sz val="11"/>
        <rFont val="宋体"/>
        <family val="3"/>
        <charset val="134"/>
      </rPr>
      <t>万</t>
    </r>
    <phoneticPr fontId="32" type="noConversion"/>
  </si>
  <si>
    <r>
      <t>20%-30%</t>
    </r>
    <r>
      <rPr>
        <sz val="11"/>
        <rFont val="宋体"/>
        <family val="3"/>
        <charset val="134"/>
      </rPr>
      <t>（含）</t>
    </r>
    <phoneticPr fontId="32" type="noConversion"/>
  </si>
  <si>
    <t>北京市顺义区后沙峪镇马头庄村SY00-0019-6007地块R2二类居住用地</t>
  </si>
  <si>
    <t>限地价,限房价,90/70</t>
  </si>
  <si>
    <t>2018-07-04</t>
  </si>
  <si>
    <t>北京建工地产有限责任公司</t>
    <phoneticPr fontId="141" type="noConversion"/>
  </si>
  <si>
    <t>R2二类居住用地、A33基础教育用地</t>
    <phoneticPr fontId="141" type="noConversion"/>
  </si>
  <si>
    <t>R2二类居住用地</t>
    <phoneticPr fontId="141" type="noConversion"/>
  </si>
  <si>
    <t>挂牌</t>
    <phoneticPr fontId="141" type="noConversion"/>
  </si>
  <si>
    <t>4星</t>
    <phoneticPr fontId="141" type="noConversion"/>
  </si>
  <si>
    <t>临时三通</t>
  </si>
  <si>
    <t>临时三通</t>
    <phoneticPr fontId="32" type="noConversion"/>
  </si>
  <si>
    <t>成本法 (车位)</t>
  </si>
  <si>
    <t>成本法 (车位)</t>
    <phoneticPr fontId="17" type="noConversion"/>
  </si>
  <si>
    <t>成本法 (地下仓储)</t>
  </si>
  <si>
    <t>成本法 (地下仓储)</t>
    <phoneticPr fontId="17" type="noConversion"/>
  </si>
  <si>
    <t>40-50（含）</t>
  </si>
  <si>
    <t>地下车库</t>
    <phoneticPr fontId="33" type="noConversion"/>
  </si>
  <si>
    <t>专业</t>
  </si>
  <si>
    <t>专业</t>
    <phoneticPr fontId="33" type="noConversion"/>
  </si>
  <si>
    <t>普通</t>
    <phoneticPr fontId="33" type="noConversion"/>
  </si>
  <si>
    <t>立体</t>
    <phoneticPr fontId="33" type="noConversion"/>
  </si>
  <si>
    <t>平面</t>
  </si>
  <si>
    <t>平面</t>
    <phoneticPr fontId="33" type="noConversion"/>
  </si>
  <si>
    <t>是</t>
    <phoneticPr fontId="33" type="noConversion"/>
  </si>
  <si>
    <t>否</t>
  </si>
  <si>
    <t>否</t>
    <phoneticPr fontId="33" type="noConversion"/>
  </si>
  <si>
    <t>1:2</t>
    <phoneticPr fontId="33" type="noConversion"/>
  </si>
  <si>
    <t>1:1.2</t>
  </si>
  <si>
    <t>1:1.2</t>
    <phoneticPr fontId="33" type="noConversion"/>
  </si>
  <si>
    <t>1:1.5</t>
  </si>
  <si>
    <t>1:1.5</t>
    <phoneticPr fontId="33" type="noConversion"/>
  </si>
  <si>
    <t>1:1.7</t>
  </si>
  <si>
    <t>1:1.6</t>
  </si>
  <si>
    <t>1:1.4</t>
  </si>
  <si>
    <t>1:1.3</t>
  </si>
  <si>
    <t>精装修</t>
  </si>
  <si>
    <t>精装修</t>
    <phoneticPr fontId="33" type="noConversion"/>
  </si>
  <si>
    <t>普通装修</t>
    <phoneticPr fontId="33" type="noConversion"/>
  </si>
  <si>
    <t>简单装修</t>
    <phoneticPr fontId="33" type="noConversion"/>
  </si>
  <si>
    <t>毛坯</t>
  </si>
  <si>
    <t>毛坯</t>
    <phoneticPr fontId="33" type="noConversion"/>
  </si>
  <si>
    <t>1:1.8</t>
    <phoneticPr fontId="33" type="noConversion"/>
  </si>
  <si>
    <t>1:1.9</t>
    <phoneticPr fontId="33" type="noConversion"/>
  </si>
  <si>
    <t>价格</t>
    <phoneticPr fontId="4" type="noConversion"/>
  </si>
  <si>
    <t>时间</t>
    <phoneticPr fontId="4" type="noConversion"/>
  </si>
  <si>
    <t>时间</t>
    <phoneticPr fontId="141" type="noConversion"/>
  </si>
  <si>
    <t>土地成交楼面单价</t>
    <phoneticPr fontId="4" type="noConversion"/>
  </si>
  <si>
    <t>成交日期</t>
    <phoneticPr fontId="4" type="noConversion"/>
  </si>
  <si>
    <t>限售均价</t>
    <phoneticPr fontId="4" type="noConversion"/>
  </si>
  <si>
    <t>祥云赋</t>
    <phoneticPr fontId="4" type="noConversion"/>
  </si>
  <si>
    <t>带装修</t>
    <phoneticPr fontId="4" type="noConversion"/>
  </si>
  <si>
    <t>公园十七区</t>
    <phoneticPr fontId="141" type="noConversion"/>
  </si>
  <si>
    <t>观承望溪</t>
    <phoneticPr fontId="4" type="noConversion"/>
  </si>
  <si>
    <t>带装修</t>
    <phoneticPr fontId="141" type="noConversion"/>
  </si>
  <si>
    <t>建邦顺颐府</t>
    <phoneticPr fontId="4" type="noConversion"/>
  </si>
  <si>
    <t>毛坯</t>
    <phoneticPr fontId="4" type="noConversion"/>
  </si>
  <si>
    <t>龙湾别墅·棠尚</t>
    <phoneticPr fontId="4" type="noConversion"/>
  </si>
  <si>
    <t>住宅</t>
    <phoneticPr fontId="26" type="noConversion"/>
  </si>
  <si>
    <t>60-70（含）</t>
  </si>
  <si>
    <t>钢混结构</t>
  </si>
  <si>
    <t>钢混结构</t>
    <phoneticPr fontId="26" type="noConversion"/>
  </si>
  <si>
    <t>高品质</t>
  </si>
  <si>
    <t>高品质</t>
    <phoneticPr fontId="26" type="noConversion"/>
  </si>
  <si>
    <t>中品质</t>
    <phoneticPr fontId="26" type="noConversion"/>
  </si>
  <si>
    <t>低品质</t>
    <phoneticPr fontId="26" type="noConversion"/>
  </si>
  <si>
    <t>专业</t>
    <phoneticPr fontId="26" type="noConversion"/>
  </si>
  <si>
    <t>是否为限价房</t>
    <phoneticPr fontId="26" type="noConversion"/>
  </si>
  <si>
    <t>最近时点价</t>
    <phoneticPr fontId="141" type="noConversion"/>
  </si>
  <si>
    <t>项目均价</t>
    <phoneticPr fontId="141" type="noConversion"/>
  </si>
  <si>
    <t>富力首开金禧璞瑅</t>
    <phoneticPr fontId="4" type="noConversion"/>
  </si>
  <si>
    <t>城建北京合院</t>
    <phoneticPr fontId="4" type="noConversion"/>
  </si>
  <si>
    <t>禧瑞春秋</t>
    <phoneticPr fontId="4" type="noConversion"/>
  </si>
  <si>
    <t>毛坯</t>
    <phoneticPr fontId="141" type="noConversion"/>
  </si>
  <si>
    <t>天瑞宸章</t>
    <phoneticPr fontId="4" type="noConversion"/>
  </si>
  <si>
    <t>首开琅樾</t>
    <phoneticPr fontId="4" type="noConversion"/>
  </si>
  <si>
    <r>
      <t>优山美地</t>
    </r>
    <r>
      <rPr>
        <b/>
        <sz val="9"/>
        <color theme="1"/>
        <rFont val="Arial"/>
        <family val="2"/>
      </rPr>
      <t>D</t>
    </r>
    <r>
      <rPr>
        <b/>
        <sz val="9"/>
        <color theme="1"/>
        <rFont val="华文细黑"/>
        <family val="3"/>
        <charset val="134"/>
      </rPr>
      <t>区</t>
    </r>
    <phoneticPr fontId="141" type="noConversion"/>
  </si>
  <si>
    <t>建邦·顺颐府</t>
    <phoneticPr fontId="141" type="noConversion"/>
  </si>
  <si>
    <t>小高层</t>
    <phoneticPr fontId="26" type="noConversion"/>
  </si>
  <si>
    <t>诺德阅墅</t>
    <phoneticPr fontId="141" type="noConversion"/>
  </si>
  <si>
    <t>低密度</t>
  </si>
  <si>
    <t>低密度</t>
    <phoneticPr fontId="26" type="noConversion"/>
  </si>
  <si>
    <t>洋房</t>
  </si>
  <si>
    <t>洋房</t>
    <phoneticPr fontId="26" type="noConversion"/>
  </si>
  <si>
    <t>诺德阅墅</t>
    <phoneticPr fontId="4" type="noConversion"/>
  </si>
  <si>
    <t>龙湖·云河玉陛</t>
    <phoneticPr fontId="4" type="noConversion"/>
  </si>
  <si>
    <t>楼号</t>
  </si>
  <si>
    <t>建筑面积</t>
  </si>
  <si>
    <t>标准总价</t>
  </si>
  <si>
    <t>总套数</t>
  </si>
  <si>
    <t>抵押套数</t>
  </si>
  <si>
    <t>住宅面积</t>
  </si>
  <si>
    <t>仓储面积</t>
  </si>
  <si>
    <t>抵押面积合计（按楼号）</t>
  </si>
  <si>
    <t>102-住宅</t>
  </si>
  <si>
    <t>1-102-住宅</t>
  </si>
  <si>
    <t>(102-戊类储藏)</t>
  </si>
  <si>
    <t>1-(102-戊类储藏)</t>
  </si>
  <si>
    <t>大证仓储</t>
  </si>
  <si>
    <t>1--202</t>
  </si>
  <si>
    <t>小证仓储</t>
  </si>
  <si>
    <t>003</t>
  </si>
  <si>
    <t>1-003</t>
  </si>
  <si>
    <t>004</t>
  </si>
  <si>
    <t>1-004</t>
  </si>
  <si>
    <t>101-住宅</t>
  </si>
  <si>
    <t>2-101-住宅</t>
  </si>
  <si>
    <t>(101-戊类储藏)</t>
  </si>
  <si>
    <t>2-(101-戊类储藏)</t>
  </si>
  <si>
    <t>2--201</t>
  </si>
  <si>
    <t>007</t>
  </si>
  <si>
    <t>2-007</t>
  </si>
  <si>
    <t>008</t>
  </si>
  <si>
    <t>2-008</t>
  </si>
  <si>
    <t>2-102-住宅</t>
  </si>
  <si>
    <t>2-(102-戊类储藏)</t>
  </si>
  <si>
    <t>2--202</t>
  </si>
  <si>
    <t>009</t>
  </si>
  <si>
    <t>2-009</t>
  </si>
  <si>
    <t>010</t>
  </si>
  <si>
    <t>2-010</t>
  </si>
  <si>
    <t>103-住宅</t>
  </si>
  <si>
    <t>2-103-住宅</t>
  </si>
  <si>
    <t>(103-戊类储藏)</t>
  </si>
  <si>
    <t>2-(103-戊类储藏)</t>
  </si>
  <si>
    <t>2--203</t>
  </si>
  <si>
    <t>011</t>
  </si>
  <si>
    <t>2-011</t>
  </si>
  <si>
    <t>012</t>
  </si>
  <si>
    <t>2-012</t>
  </si>
  <si>
    <t>104-住宅</t>
  </si>
  <si>
    <t>2-104-住宅</t>
  </si>
  <si>
    <t>(104-戊类储藏)</t>
  </si>
  <si>
    <t>2-(104-戊类储藏)</t>
  </si>
  <si>
    <t>2--204</t>
  </si>
  <si>
    <t>013</t>
  </si>
  <si>
    <t>2-013</t>
  </si>
  <si>
    <t>014</t>
  </si>
  <si>
    <t>2-014</t>
  </si>
  <si>
    <t>105-住宅</t>
  </si>
  <si>
    <t>2-105-住宅</t>
  </si>
  <si>
    <t>(105-戊类储藏)</t>
  </si>
  <si>
    <t>2-(105-戊类储藏)</t>
  </si>
  <si>
    <t>2--205</t>
  </si>
  <si>
    <t>021</t>
  </si>
  <si>
    <t>2-021</t>
  </si>
  <si>
    <t>022</t>
  </si>
  <si>
    <t>2-022</t>
  </si>
  <si>
    <t>106-住宅</t>
  </si>
  <si>
    <t>2-106-住宅</t>
  </si>
  <si>
    <t>(106-戊类储藏)</t>
  </si>
  <si>
    <t>2-(106-戊类储藏)</t>
  </si>
  <si>
    <t>2--206</t>
  </si>
  <si>
    <t>019</t>
  </si>
  <si>
    <t>2-019</t>
  </si>
  <si>
    <t>020</t>
  </si>
  <si>
    <t>2-020</t>
  </si>
  <si>
    <t>107-住宅</t>
  </si>
  <si>
    <t>2-107-住宅</t>
  </si>
  <si>
    <t>(107-戊类储藏)</t>
  </si>
  <si>
    <t>2-(107-戊类储藏)</t>
  </si>
  <si>
    <t>2--207</t>
  </si>
  <si>
    <t>017</t>
  </si>
  <si>
    <t>2-017</t>
  </si>
  <si>
    <t>018</t>
  </si>
  <si>
    <t>2-018</t>
  </si>
  <si>
    <t>3-102-住宅</t>
  </si>
  <si>
    <t>3-(102-戊类储藏)</t>
  </si>
  <si>
    <t>3--202</t>
  </si>
  <si>
    <t>025</t>
  </si>
  <si>
    <t>3-025</t>
  </si>
  <si>
    <t>026</t>
  </si>
  <si>
    <t>3-026</t>
  </si>
  <si>
    <t>3-103-住宅</t>
  </si>
  <si>
    <t>3-(103-戊类储藏)</t>
  </si>
  <si>
    <t>3--203</t>
  </si>
  <si>
    <t>027</t>
  </si>
  <si>
    <t>3-027</t>
  </si>
  <si>
    <t>028</t>
  </si>
  <si>
    <t>3-028</t>
  </si>
  <si>
    <t>3-104-住宅</t>
  </si>
  <si>
    <t>3-(104-戊类储藏)</t>
  </si>
  <si>
    <t>3--204</t>
  </si>
  <si>
    <t>029</t>
  </si>
  <si>
    <t>3-029</t>
  </si>
  <si>
    <t>030</t>
  </si>
  <si>
    <t>3-030</t>
  </si>
  <si>
    <t>3-105-住宅</t>
  </si>
  <si>
    <t>3-(105-戊类储藏)</t>
  </si>
  <si>
    <t>3--205</t>
  </si>
  <si>
    <t>037</t>
  </si>
  <si>
    <t>3-037</t>
  </si>
  <si>
    <t>038</t>
  </si>
  <si>
    <t>3-038</t>
  </si>
  <si>
    <t>3-106-住宅</t>
  </si>
  <si>
    <t>3-(106-戊类储藏)</t>
  </si>
  <si>
    <t>3--206</t>
  </si>
  <si>
    <t>035</t>
  </si>
  <si>
    <t>3-035</t>
  </si>
  <si>
    <t>036</t>
  </si>
  <si>
    <t>3-036</t>
  </si>
  <si>
    <t>3-107-住宅</t>
  </si>
  <si>
    <t>3-(107-戊类储藏)</t>
  </si>
  <si>
    <t>3--207</t>
  </si>
  <si>
    <t>033</t>
  </si>
  <si>
    <t>3-033</t>
  </si>
  <si>
    <t>034</t>
  </si>
  <si>
    <t>3-034</t>
  </si>
  <si>
    <t>108-住宅</t>
  </si>
  <si>
    <t>3-108-住宅</t>
  </si>
  <si>
    <t>(108-戊类储藏)</t>
  </si>
  <si>
    <t>3-(108-戊类储藏)</t>
  </si>
  <si>
    <t>3--208</t>
  </si>
  <si>
    <t>031</t>
  </si>
  <si>
    <t>3-031</t>
  </si>
  <si>
    <t>032</t>
  </si>
  <si>
    <t>3-032</t>
  </si>
  <si>
    <t>4-101-住宅</t>
  </si>
  <si>
    <t>4-(101-戊类储藏)</t>
  </si>
  <si>
    <t>4--201</t>
  </si>
  <si>
    <t>039</t>
  </si>
  <si>
    <t>4-039</t>
  </si>
  <si>
    <t>040</t>
  </si>
  <si>
    <t>4-040</t>
  </si>
  <si>
    <t>4-102-住宅</t>
  </si>
  <si>
    <t>4-(102-戊类储藏)</t>
  </si>
  <si>
    <t>4--202</t>
  </si>
  <si>
    <t>041</t>
  </si>
  <si>
    <t>4-041</t>
  </si>
  <si>
    <t>042</t>
  </si>
  <si>
    <t>4-042</t>
  </si>
  <si>
    <t>4-103-住宅</t>
  </si>
  <si>
    <t>4-(103-戊类储藏)</t>
  </si>
  <si>
    <t>4--203</t>
  </si>
  <si>
    <t>043</t>
  </si>
  <si>
    <t>4-043</t>
  </si>
  <si>
    <t>044</t>
  </si>
  <si>
    <t>4-044</t>
  </si>
  <si>
    <t>4-104-住宅</t>
  </si>
  <si>
    <t>4-(104-戊类储藏)</t>
  </si>
  <si>
    <t>4--204</t>
  </si>
  <si>
    <t>045</t>
  </si>
  <si>
    <t>4-045</t>
  </si>
  <si>
    <t>046</t>
  </si>
  <si>
    <t>4-046</t>
  </si>
  <si>
    <t>4-106-住宅</t>
  </si>
  <si>
    <t>4-(106-戊类储藏)</t>
  </si>
  <si>
    <t>4--206</t>
  </si>
  <si>
    <t>051</t>
  </si>
  <si>
    <t>4-051</t>
  </si>
  <si>
    <t>052</t>
  </si>
  <si>
    <t>4-052</t>
  </si>
  <si>
    <t>4-107-住宅</t>
  </si>
  <si>
    <t>4-(107-戊类储藏)</t>
  </si>
  <si>
    <t>4--207</t>
  </si>
  <si>
    <t>049</t>
  </si>
  <si>
    <t>4-049</t>
  </si>
  <si>
    <t>050</t>
  </si>
  <si>
    <t>4-050</t>
  </si>
  <si>
    <t>4-108-住宅</t>
  </si>
  <si>
    <t>4-(108-戊类储藏)</t>
  </si>
  <si>
    <t>4--208</t>
  </si>
  <si>
    <t>047</t>
  </si>
  <si>
    <t>4-047</t>
  </si>
  <si>
    <t>048</t>
  </si>
  <si>
    <t>4-048</t>
  </si>
  <si>
    <t>5-102-住宅</t>
  </si>
  <si>
    <t>5-(102-戊类储藏)</t>
  </si>
  <si>
    <t>5--202</t>
  </si>
  <si>
    <t>057</t>
  </si>
  <si>
    <t>5-057</t>
  </si>
  <si>
    <t>058</t>
  </si>
  <si>
    <t>5-058</t>
  </si>
  <si>
    <t>5-103-住宅</t>
  </si>
  <si>
    <t>5-(103-戊类储藏)</t>
  </si>
  <si>
    <t>5--203</t>
  </si>
  <si>
    <t>059</t>
  </si>
  <si>
    <t>5-059</t>
  </si>
  <si>
    <t>060</t>
  </si>
  <si>
    <t>5-060</t>
  </si>
  <si>
    <t>6-101-住宅</t>
  </si>
  <si>
    <t>6-(101-戊类储藏)</t>
  </si>
  <si>
    <t>6--201</t>
  </si>
  <si>
    <t>067</t>
  </si>
  <si>
    <t>6-067</t>
  </si>
  <si>
    <t>068</t>
  </si>
  <si>
    <t>6-068</t>
  </si>
  <si>
    <t>6-102-住宅</t>
  </si>
  <si>
    <t>6-(102-戊类储藏)</t>
  </si>
  <si>
    <t>6--202</t>
  </si>
  <si>
    <t>065</t>
  </si>
  <si>
    <t>6-065</t>
  </si>
  <si>
    <t>066</t>
  </si>
  <si>
    <t>6-066</t>
  </si>
  <si>
    <t>7-101-住宅</t>
  </si>
  <si>
    <t>7-(101-戊类储藏)</t>
  </si>
  <si>
    <t>7--201</t>
  </si>
  <si>
    <t>069</t>
  </si>
  <si>
    <t>7-069</t>
  </si>
  <si>
    <t>070</t>
  </si>
  <si>
    <t>7-070</t>
  </si>
  <si>
    <t>7-104-住宅</t>
  </si>
  <si>
    <t>7-(104-戊类储藏)</t>
  </si>
  <si>
    <t>7--204</t>
  </si>
  <si>
    <t>075</t>
  </si>
  <si>
    <t>7-075</t>
  </si>
  <si>
    <t>076</t>
  </si>
  <si>
    <t>7-076</t>
  </si>
  <si>
    <t>7-106-住宅</t>
  </si>
  <si>
    <t>7-(106-戊类储藏)</t>
  </si>
  <si>
    <t>7--206</t>
  </si>
  <si>
    <t>081</t>
  </si>
  <si>
    <t>7-081</t>
  </si>
  <si>
    <t>082</t>
  </si>
  <si>
    <t>7-082</t>
  </si>
  <si>
    <t>7-107-住宅</t>
  </si>
  <si>
    <t>7-(107-戊类储藏)</t>
  </si>
  <si>
    <t>7--207</t>
  </si>
  <si>
    <t>079</t>
  </si>
  <si>
    <t>7-079</t>
  </si>
  <si>
    <t>080</t>
  </si>
  <si>
    <t>7-080</t>
  </si>
  <si>
    <t>8-103-住宅</t>
  </si>
  <si>
    <t>8-(103-戊类储藏)</t>
  </si>
  <si>
    <t>8--203</t>
  </si>
  <si>
    <t>089</t>
  </si>
  <si>
    <t>8-089</t>
  </si>
  <si>
    <t>090</t>
  </si>
  <si>
    <t>8-090</t>
  </si>
  <si>
    <t>8-104-住宅</t>
  </si>
  <si>
    <t>8-(104-戊类储藏)</t>
  </si>
  <si>
    <t>8--204</t>
  </si>
  <si>
    <t>091</t>
  </si>
  <si>
    <t>8-091</t>
  </si>
  <si>
    <t>092</t>
  </si>
  <si>
    <t>8-092</t>
  </si>
  <si>
    <t>8-106-住宅</t>
  </si>
  <si>
    <t>8-(106-戊类储藏)</t>
  </si>
  <si>
    <t>8--206</t>
  </si>
  <si>
    <t>097</t>
  </si>
  <si>
    <t>8-097</t>
  </si>
  <si>
    <t>098</t>
  </si>
  <si>
    <t>8-098</t>
  </si>
  <si>
    <t>9-102-住宅</t>
  </si>
  <si>
    <t>9-(102-戊类储藏)</t>
  </si>
  <si>
    <t>9--202</t>
  </si>
  <si>
    <t>103</t>
  </si>
  <si>
    <t>9-103</t>
  </si>
  <si>
    <t>104</t>
  </si>
  <si>
    <t>9-104</t>
  </si>
  <si>
    <t>9-105-住宅</t>
  </si>
  <si>
    <t>9-(105-戊类储藏)</t>
  </si>
  <si>
    <t>9--205</t>
  </si>
  <si>
    <t>115</t>
  </si>
  <si>
    <t>9-115</t>
  </si>
  <si>
    <t>116</t>
  </si>
  <si>
    <t>9-116</t>
  </si>
  <si>
    <t>9-107-住宅</t>
  </si>
  <si>
    <t>9-(107-戊类储藏)</t>
  </si>
  <si>
    <t>9--207</t>
  </si>
  <si>
    <t>111</t>
  </si>
  <si>
    <t>9-111</t>
  </si>
  <si>
    <t>112</t>
  </si>
  <si>
    <t>9-112</t>
  </si>
  <si>
    <t>10-101-住宅</t>
  </si>
  <si>
    <t>10-(101-戊类储藏)</t>
  </si>
  <si>
    <t>10--201</t>
  </si>
  <si>
    <t>117</t>
  </si>
  <si>
    <t>10-117</t>
  </si>
  <si>
    <t>118</t>
  </si>
  <si>
    <t>10-118</t>
  </si>
  <si>
    <t>10-102-住宅</t>
  </si>
  <si>
    <t>10-(102-戊类储藏)</t>
  </si>
  <si>
    <t>10--202</t>
  </si>
  <si>
    <t>119</t>
  </si>
  <si>
    <t>10-119</t>
  </si>
  <si>
    <t>120</t>
  </si>
  <si>
    <t>10-120</t>
  </si>
  <si>
    <t>10-103-住宅</t>
  </si>
  <si>
    <t>10-(103-戊类储藏)</t>
  </si>
  <si>
    <t>10--203</t>
  </si>
  <si>
    <t>121</t>
  </si>
  <si>
    <t>10-121</t>
  </si>
  <si>
    <t>122</t>
  </si>
  <si>
    <t>10-122</t>
  </si>
  <si>
    <t>10-105-住宅</t>
  </si>
  <si>
    <t>10-(105-戊类储藏)</t>
  </si>
  <si>
    <t>10--205</t>
  </si>
  <si>
    <t>131</t>
  </si>
  <si>
    <t>10-131</t>
  </si>
  <si>
    <t>132</t>
  </si>
  <si>
    <t>10-132</t>
  </si>
  <si>
    <t>10-106-住宅</t>
  </si>
  <si>
    <t>10-(106-戊类储藏)</t>
  </si>
  <si>
    <t>10--206</t>
  </si>
  <si>
    <t>129</t>
  </si>
  <si>
    <t>10-129</t>
  </si>
  <si>
    <t>130</t>
  </si>
  <si>
    <t>10-130</t>
  </si>
  <si>
    <t>10-107-住宅</t>
  </si>
  <si>
    <t>10-(107-戊类储藏)</t>
  </si>
  <si>
    <t>10--207</t>
  </si>
  <si>
    <t>127</t>
  </si>
  <si>
    <t>10-127</t>
  </si>
  <si>
    <t>128</t>
  </si>
  <si>
    <t>10-128</t>
  </si>
  <si>
    <t>11-101-住宅</t>
  </si>
  <si>
    <t>11-(101-戊类储藏)</t>
  </si>
  <si>
    <t>11--201</t>
  </si>
  <si>
    <t>133</t>
  </si>
  <si>
    <t>11-133</t>
  </si>
  <si>
    <t>134</t>
  </si>
  <si>
    <t>11-134</t>
  </si>
  <si>
    <t>11-102-住宅</t>
  </si>
  <si>
    <t>11-(102-戊类储藏)</t>
  </si>
  <si>
    <t>11--202</t>
  </si>
  <si>
    <t>135</t>
  </si>
  <si>
    <t>11-135</t>
  </si>
  <si>
    <t>136</t>
  </si>
  <si>
    <t>11-136</t>
  </si>
  <si>
    <t>11-103-住宅</t>
  </si>
  <si>
    <t>11-(103-戊类储藏)</t>
  </si>
  <si>
    <t>11--203</t>
  </si>
  <si>
    <t>137</t>
  </si>
  <si>
    <t>11-137</t>
  </si>
  <si>
    <t>138</t>
  </si>
  <si>
    <t>11-138</t>
  </si>
  <si>
    <t>11-104-住宅</t>
  </si>
  <si>
    <t>11-(104-戊类储藏)</t>
  </si>
  <si>
    <t>11--204</t>
  </si>
  <si>
    <t>139</t>
  </si>
  <si>
    <t>11-139</t>
  </si>
  <si>
    <t>140</t>
  </si>
  <si>
    <t>11-140</t>
  </si>
  <si>
    <t>12-102-住宅</t>
  </si>
  <si>
    <t>12-(102-戊类储藏)</t>
  </si>
  <si>
    <t>12--202</t>
  </si>
  <si>
    <t>143</t>
  </si>
  <si>
    <t>12-143</t>
  </si>
  <si>
    <t>144</t>
  </si>
  <si>
    <t>12-144</t>
  </si>
  <si>
    <t>12-103-住宅</t>
  </si>
  <si>
    <t>12-(103-戊类储藏)</t>
  </si>
  <si>
    <t>12--203</t>
  </si>
  <si>
    <t>145</t>
  </si>
  <si>
    <t>12-145</t>
  </si>
  <si>
    <t>146</t>
  </si>
  <si>
    <t>12-146</t>
  </si>
  <si>
    <t>12-104-住宅</t>
  </si>
  <si>
    <t>12-(104-戊类储藏)</t>
  </si>
  <si>
    <t>12--204</t>
  </si>
  <si>
    <t>147</t>
  </si>
  <si>
    <t>12-147</t>
  </si>
  <si>
    <t>148</t>
  </si>
  <si>
    <t>12-148</t>
  </si>
  <si>
    <t>13-102-住宅</t>
  </si>
  <si>
    <t>13-(102-戊类储藏)</t>
  </si>
  <si>
    <t>13--202</t>
  </si>
  <si>
    <t>159</t>
  </si>
  <si>
    <t>13-159</t>
  </si>
  <si>
    <t>160</t>
  </si>
  <si>
    <t>13-160</t>
  </si>
  <si>
    <t>13-103-住宅</t>
  </si>
  <si>
    <t>13-(103-戊类储藏)</t>
  </si>
  <si>
    <t>13--203</t>
  </si>
  <si>
    <t>161</t>
  </si>
  <si>
    <t>13-161</t>
  </si>
  <si>
    <t>162</t>
  </si>
  <si>
    <t>13-162</t>
  </si>
  <si>
    <t>13-104-住宅</t>
  </si>
  <si>
    <t>13-(104-戊类储藏)</t>
  </si>
  <si>
    <t>13--204</t>
  </si>
  <si>
    <t>163</t>
  </si>
  <si>
    <t>13-163</t>
  </si>
  <si>
    <t>164</t>
  </si>
  <si>
    <t>13-164</t>
  </si>
  <si>
    <t>13-105-住宅</t>
  </si>
  <si>
    <t>13-(105-戊类储藏)</t>
  </si>
  <si>
    <t>13--205</t>
  </si>
  <si>
    <t>155</t>
  </si>
  <si>
    <t>13-155</t>
  </si>
  <si>
    <t>156</t>
  </si>
  <si>
    <t>13-156</t>
  </si>
  <si>
    <t>13-106-住宅</t>
  </si>
  <si>
    <t>13-(106-戊类储藏)</t>
  </si>
  <si>
    <t>13--206</t>
  </si>
  <si>
    <t>153</t>
  </si>
  <si>
    <t>13-153</t>
  </si>
  <si>
    <t>154</t>
  </si>
  <si>
    <t>13-154</t>
  </si>
  <si>
    <t>13-107-住宅</t>
  </si>
  <si>
    <t>13-(107-戊类储藏)</t>
  </si>
  <si>
    <t>13--207</t>
  </si>
  <si>
    <t>151</t>
  </si>
  <si>
    <t>13-151</t>
  </si>
  <si>
    <t>152</t>
  </si>
  <si>
    <t>13-152</t>
  </si>
  <si>
    <t>13-108-住宅</t>
  </si>
  <si>
    <t>13-(108-戊类储藏)</t>
  </si>
  <si>
    <t>13--208</t>
  </si>
  <si>
    <t>149</t>
  </si>
  <si>
    <t>13-149</t>
  </si>
  <si>
    <t>150</t>
  </si>
  <si>
    <t>13-150</t>
  </si>
  <si>
    <t>14-101-住宅</t>
  </si>
  <si>
    <t>14-(101-戊类储藏)</t>
  </si>
  <si>
    <t>14--201</t>
  </si>
  <si>
    <t>无产权</t>
  </si>
  <si>
    <t>14-无产权</t>
  </si>
  <si>
    <t>无车位</t>
  </si>
  <si>
    <t>14-102-住宅</t>
  </si>
  <si>
    <t>14-(102-戊类储藏)</t>
  </si>
  <si>
    <t>14--202</t>
  </si>
  <si>
    <t>15-101-住宅</t>
  </si>
  <si>
    <t>15-(101-戊类储藏)</t>
  </si>
  <si>
    <t>15--201</t>
  </si>
  <si>
    <t>15-无产权</t>
  </si>
  <si>
    <t>15-102-住宅</t>
  </si>
  <si>
    <t>15-(102-戊类储藏)</t>
  </si>
  <si>
    <t>15--202</t>
  </si>
  <si>
    <t>15-103-住宅</t>
  </si>
  <si>
    <t>15-(103-戊类储藏)</t>
  </si>
  <si>
    <t>15--203</t>
  </si>
  <si>
    <t>16-101-住宅</t>
  </si>
  <si>
    <t>16-(101-戊类储藏)</t>
  </si>
  <si>
    <t>16--201</t>
  </si>
  <si>
    <t>179</t>
  </si>
  <si>
    <t>16-179</t>
  </si>
  <si>
    <t>180</t>
  </si>
  <si>
    <t>16-180</t>
  </si>
  <si>
    <t>16-102-住宅</t>
  </si>
  <si>
    <t>16-(102-戊类储藏)</t>
  </si>
  <si>
    <t>16--202</t>
  </si>
  <si>
    <t>181</t>
  </si>
  <si>
    <t>16-181</t>
  </si>
  <si>
    <t>182</t>
  </si>
  <si>
    <t>16-182</t>
  </si>
  <si>
    <t>16-103-住宅</t>
  </si>
  <si>
    <t>16-(103-戊类储藏)</t>
  </si>
  <si>
    <t>16--203</t>
  </si>
  <si>
    <t>183</t>
  </si>
  <si>
    <t>16-183</t>
  </si>
  <si>
    <t>184</t>
  </si>
  <si>
    <t>16-184</t>
  </si>
  <si>
    <t>16-104-住宅</t>
  </si>
  <si>
    <t>16-(104-戊类储藏)</t>
  </si>
  <si>
    <t>16--204</t>
  </si>
  <si>
    <t>169</t>
  </si>
  <si>
    <t>16-169</t>
  </si>
  <si>
    <t>170</t>
  </si>
  <si>
    <t>16-170</t>
  </si>
  <si>
    <t>16-105-住宅</t>
  </si>
  <si>
    <t>16-(105-戊类储藏)</t>
  </si>
  <si>
    <t>16--205</t>
  </si>
  <si>
    <t>167</t>
  </si>
  <si>
    <t>16-167</t>
  </si>
  <si>
    <t>168</t>
  </si>
  <si>
    <t>16-168</t>
  </si>
  <si>
    <t>16-106-住宅</t>
  </si>
  <si>
    <t>16-(106-戊类储藏)</t>
  </si>
  <si>
    <t>16--206</t>
  </si>
  <si>
    <t>165</t>
  </si>
  <si>
    <t>16-165</t>
  </si>
  <si>
    <t>166</t>
  </si>
  <si>
    <t>16-166</t>
  </si>
  <si>
    <t>17-101-住宅</t>
  </si>
  <si>
    <t>17-(101-戊类储藏)</t>
  </si>
  <si>
    <t>17--201</t>
  </si>
  <si>
    <t>175</t>
  </si>
  <si>
    <t>17-175</t>
  </si>
  <si>
    <t>176</t>
  </si>
  <si>
    <t>17-176</t>
  </si>
  <si>
    <t>17-102-住宅</t>
  </si>
  <si>
    <t>17-(102-戊类储藏)</t>
  </si>
  <si>
    <t>17--202</t>
  </si>
  <si>
    <t>177</t>
  </si>
  <si>
    <t>17-177</t>
  </si>
  <si>
    <t>178</t>
  </si>
  <si>
    <t>17-178</t>
  </si>
  <si>
    <t>17-103-住宅</t>
  </si>
  <si>
    <t>17-(103-戊类储藏)</t>
  </si>
  <si>
    <t>17--203</t>
  </si>
  <si>
    <t>173</t>
  </si>
  <si>
    <t>17-173</t>
  </si>
  <si>
    <t>174</t>
  </si>
  <si>
    <t>17-174</t>
  </si>
  <si>
    <t>17-104-住宅</t>
  </si>
  <si>
    <t>17-(104-戊类储藏)</t>
  </si>
  <si>
    <t>17--204</t>
  </si>
  <si>
    <t>171</t>
  </si>
  <si>
    <t>17-171</t>
  </si>
  <si>
    <t>172</t>
  </si>
  <si>
    <t>17-172</t>
  </si>
  <si>
    <t>18-101-住宅</t>
  </si>
  <si>
    <t>18-(101-戊类储藏)</t>
  </si>
  <si>
    <t>18--201</t>
  </si>
  <si>
    <t>195</t>
  </si>
  <si>
    <t>18-195</t>
  </si>
  <si>
    <t>196</t>
  </si>
  <si>
    <t>18-196</t>
  </si>
  <si>
    <t>18-102-住宅</t>
  </si>
  <si>
    <t>18-(102-戊类储藏)</t>
  </si>
  <si>
    <t>18--202</t>
  </si>
  <si>
    <t>197</t>
  </si>
  <si>
    <t>18-197</t>
  </si>
  <si>
    <t>198</t>
  </si>
  <si>
    <t>18-198</t>
  </si>
  <si>
    <t>18-103-住宅</t>
  </si>
  <si>
    <t>18-(103-戊类储藏)</t>
  </si>
  <si>
    <t>18--203</t>
  </si>
  <si>
    <t>193</t>
  </si>
  <si>
    <t>18-193</t>
  </si>
  <si>
    <t>194</t>
  </si>
  <si>
    <t>18-194</t>
  </si>
  <si>
    <t>18-104-住宅</t>
  </si>
  <si>
    <t>18-(104-戊类储藏)</t>
  </si>
  <si>
    <t>18--204</t>
  </si>
  <si>
    <t>191</t>
  </si>
  <si>
    <t>18-191</t>
  </si>
  <si>
    <t>192</t>
  </si>
  <si>
    <t>18-192</t>
  </si>
  <si>
    <t>18-105-住宅</t>
  </si>
  <si>
    <t>18-(105-戊类储藏)</t>
  </si>
  <si>
    <t>18--205</t>
  </si>
  <si>
    <t>189</t>
  </si>
  <si>
    <t>18-189</t>
  </si>
  <si>
    <t>190</t>
  </si>
  <si>
    <t>18-190</t>
  </si>
  <si>
    <t>19-101-住宅</t>
  </si>
  <si>
    <t>19-(101-戊类储藏)</t>
  </si>
  <si>
    <t>19--201</t>
  </si>
  <si>
    <t>199</t>
  </si>
  <si>
    <t>19-199</t>
  </si>
  <si>
    <t>200</t>
  </si>
  <si>
    <t>19-200</t>
  </si>
  <si>
    <t>19-102-住宅</t>
  </si>
  <si>
    <t>19-(102-戊类储藏)</t>
  </si>
  <si>
    <t>19--202</t>
  </si>
  <si>
    <t>201</t>
  </si>
  <si>
    <t>19-201</t>
  </si>
  <si>
    <t>202</t>
  </si>
  <si>
    <t>19-202</t>
  </si>
  <si>
    <t>19-103-住宅</t>
  </si>
  <si>
    <t>19-(103-戊类储藏)</t>
  </si>
  <si>
    <t>19--203</t>
  </si>
  <si>
    <t>187</t>
  </si>
  <si>
    <t>19-187</t>
  </si>
  <si>
    <t>188</t>
  </si>
  <si>
    <t>19-188</t>
  </si>
  <si>
    <t>19-104-住宅</t>
  </si>
  <si>
    <t>19-(104-戊类储藏)</t>
  </si>
  <si>
    <t>19--204</t>
  </si>
  <si>
    <t>185</t>
  </si>
  <si>
    <t>19-185</t>
  </si>
  <si>
    <t>186</t>
  </si>
  <si>
    <t>19-186</t>
  </si>
  <si>
    <t>20-101-住宅</t>
  </si>
  <si>
    <t>20-(101-戊类储藏)</t>
  </si>
  <si>
    <t>20--201</t>
  </si>
  <si>
    <t>20-无产权</t>
  </si>
  <si>
    <t>20-102-住宅</t>
  </si>
  <si>
    <t>20-(102-戊类储藏)</t>
  </si>
  <si>
    <t>20--202</t>
  </si>
  <si>
    <t>20-103-住宅</t>
  </si>
  <si>
    <t>20-(103-戊类储藏)</t>
  </si>
  <si>
    <t>20--203</t>
  </si>
  <si>
    <t>20-104-住宅</t>
  </si>
  <si>
    <t>20-(104-戊类储藏)</t>
  </si>
  <si>
    <t>20--204</t>
  </si>
  <si>
    <t>207</t>
  </si>
  <si>
    <t>20-207</t>
  </si>
  <si>
    <t>208</t>
  </si>
  <si>
    <t>20-208</t>
  </si>
  <si>
    <t>20-105-住宅</t>
  </si>
  <si>
    <t>20-(105-戊类储藏)</t>
  </si>
  <si>
    <t>20--205</t>
  </si>
  <si>
    <t>205</t>
  </si>
  <si>
    <t>20-205</t>
  </si>
  <si>
    <t>206</t>
  </si>
  <si>
    <t>20-206</t>
  </si>
  <si>
    <t>20-106-住宅</t>
  </si>
  <si>
    <t>20-(106-戊类储藏)</t>
  </si>
  <si>
    <t>20--206</t>
  </si>
  <si>
    <t>203</t>
  </si>
  <si>
    <t>20-203</t>
  </si>
  <si>
    <t>204</t>
  </si>
  <si>
    <t>20-204</t>
  </si>
  <si>
    <t>21-101-住宅</t>
  </si>
  <si>
    <t>21-(101-戊类储藏)</t>
  </si>
  <si>
    <t>21--201</t>
  </si>
  <si>
    <t>21-无产权</t>
  </si>
  <si>
    <t>21-102-住宅</t>
  </si>
  <si>
    <t>21-(102-戊类储藏)</t>
  </si>
  <si>
    <t>21--202</t>
  </si>
  <si>
    <t>21-103-住宅</t>
  </si>
  <si>
    <t>21-(103-戊类储藏)</t>
  </si>
  <si>
    <t>21--203</t>
  </si>
  <si>
    <t>211</t>
  </si>
  <si>
    <t>21-211</t>
  </si>
  <si>
    <t>212</t>
  </si>
  <si>
    <t>21-212</t>
  </si>
  <si>
    <t>21-104-住宅</t>
  </si>
  <si>
    <t>21-(104-戊类储藏)</t>
  </si>
  <si>
    <t>21--204</t>
  </si>
  <si>
    <t>209</t>
  </si>
  <si>
    <t>21-209</t>
  </si>
  <si>
    <t>210</t>
  </si>
  <si>
    <t>21-210</t>
  </si>
  <si>
    <t>22-102-住宅</t>
  </si>
  <si>
    <t>22-(102-戊类储藏)</t>
  </si>
  <si>
    <t>22--202</t>
  </si>
  <si>
    <t>233</t>
  </si>
  <si>
    <t>22-233</t>
  </si>
  <si>
    <t>234</t>
  </si>
  <si>
    <t>22-234</t>
  </si>
  <si>
    <t>22-104-住宅</t>
  </si>
  <si>
    <t>22-(104-戊类储藏)</t>
  </si>
  <si>
    <t>22--204</t>
  </si>
  <si>
    <t>215</t>
  </si>
  <si>
    <t>22-215</t>
  </si>
  <si>
    <t>216</t>
  </si>
  <si>
    <t>22-216</t>
  </si>
  <si>
    <t>23-104-住宅</t>
  </si>
  <si>
    <t>23-(104-戊类储藏)</t>
  </si>
  <si>
    <t>23--204</t>
  </si>
  <si>
    <t>225</t>
  </si>
  <si>
    <t>23-225</t>
  </si>
  <si>
    <t>226</t>
  </si>
  <si>
    <t>23-226</t>
  </si>
  <si>
    <t>23-108-住宅</t>
  </si>
  <si>
    <t>23-(108-戊类储藏)</t>
  </si>
  <si>
    <t>23--208</t>
  </si>
  <si>
    <t>223</t>
  </si>
  <si>
    <t>23-223</t>
  </si>
  <si>
    <t>224</t>
  </si>
  <si>
    <t>23-224</t>
  </si>
  <si>
    <t>24-103-住宅</t>
  </si>
  <si>
    <t>24-(103-戊类储藏)</t>
  </si>
  <si>
    <t>24--203</t>
  </si>
  <si>
    <t>249</t>
  </si>
  <si>
    <t>24-249</t>
  </si>
  <si>
    <t>250</t>
  </si>
  <si>
    <t>24-250</t>
  </si>
  <si>
    <t>24-104-住宅</t>
  </si>
  <si>
    <t>24-(104-戊类储藏)</t>
  </si>
  <si>
    <t>24--204</t>
  </si>
  <si>
    <t>247</t>
  </si>
  <si>
    <t>24-247</t>
  </si>
  <si>
    <t>248</t>
  </si>
  <si>
    <t>24-248</t>
  </si>
  <si>
    <t>24-105-住宅</t>
  </si>
  <si>
    <t>24-(105-戊类储藏)</t>
  </si>
  <si>
    <t>24--205</t>
  </si>
  <si>
    <t>24-241</t>
  </si>
  <si>
    <t>242</t>
  </si>
  <si>
    <t>24-242</t>
  </si>
  <si>
    <t>24-106-住宅</t>
  </si>
  <si>
    <t>24-(106-戊类储藏)</t>
  </si>
  <si>
    <t>24--206</t>
  </si>
  <si>
    <t>243</t>
  </si>
  <si>
    <t>24-243</t>
  </si>
  <si>
    <t>244</t>
  </si>
  <si>
    <t>24-244</t>
  </si>
  <si>
    <t>24-107-住宅</t>
  </si>
  <si>
    <t>24-(107-戊类储藏)</t>
  </si>
  <si>
    <t>24--207</t>
  </si>
  <si>
    <t>245</t>
  </si>
  <si>
    <t>24-245</t>
  </si>
  <si>
    <t>246</t>
  </si>
  <si>
    <t>24-246</t>
  </si>
  <si>
    <t>25-101-住宅</t>
  </si>
  <si>
    <t>25-(101-戊类储藏)</t>
  </si>
  <si>
    <t>25--201</t>
  </si>
  <si>
    <t>257</t>
  </si>
  <si>
    <t>25-257</t>
  </si>
  <si>
    <t>258</t>
  </si>
  <si>
    <t>25-258</t>
  </si>
  <si>
    <t>26-101-住宅</t>
  </si>
  <si>
    <t>26-(101-戊类储藏)</t>
  </si>
  <si>
    <t>26--201</t>
  </si>
  <si>
    <t>0271</t>
  </si>
  <si>
    <t>26-0271</t>
  </si>
  <si>
    <t>0272</t>
  </si>
  <si>
    <t>26-0272</t>
  </si>
  <si>
    <t>26-102-住宅</t>
  </si>
  <si>
    <t>26-(102-戊类储藏)</t>
  </si>
  <si>
    <t>26--202</t>
  </si>
  <si>
    <t>26-无产权</t>
  </si>
  <si>
    <t>26-104-住宅</t>
  </si>
  <si>
    <t>26-(104-戊类储藏)</t>
  </si>
  <si>
    <t>26--204</t>
  </si>
  <si>
    <t>26-0261</t>
  </si>
  <si>
    <t>26-0262</t>
  </si>
  <si>
    <t>27-101-住宅</t>
  </si>
  <si>
    <t>27-(101-戊类储藏)</t>
  </si>
  <si>
    <t>27--201</t>
  </si>
  <si>
    <t>27-无产权</t>
  </si>
  <si>
    <t>27-102-住宅</t>
  </si>
  <si>
    <t>27-(102-戊类储藏)</t>
  </si>
  <si>
    <t>27--202</t>
  </si>
  <si>
    <t>27-103-住宅</t>
  </si>
  <si>
    <t>27-(103-戊类储藏)</t>
  </si>
  <si>
    <t>27--203</t>
  </si>
  <si>
    <t>27-104-住宅</t>
  </si>
  <si>
    <t>27-(104-戊类储藏)</t>
  </si>
  <si>
    <t>27--204</t>
  </si>
  <si>
    <t>0265</t>
  </si>
  <si>
    <t>27-0265</t>
  </si>
  <si>
    <t>0266</t>
  </si>
  <si>
    <t>27-0266</t>
  </si>
  <si>
    <t>27-105-住宅</t>
  </si>
  <si>
    <t>27-(105-戊类储藏)</t>
  </si>
  <si>
    <t>27--205</t>
  </si>
  <si>
    <t>0267</t>
  </si>
  <si>
    <t>27-0267</t>
  </si>
  <si>
    <t>0268</t>
  </si>
  <si>
    <t>27-0268</t>
  </si>
  <si>
    <t>27-106-住宅</t>
  </si>
  <si>
    <t>27-(106-戊类储藏)</t>
  </si>
  <si>
    <t>27--206</t>
  </si>
  <si>
    <t>0269</t>
  </si>
  <si>
    <t>27-0269</t>
  </si>
  <si>
    <t>0270</t>
  </si>
  <si>
    <t>27-0270</t>
  </si>
  <si>
    <t>28-101-住宅</t>
  </si>
  <si>
    <t>28-(101-戊类储藏)</t>
  </si>
  <si>
    <t>28--201</t>
  </si>
  <si>
    <t>0287</t>
  </si>
  <si>
    <t>28-0287</t>
  </si>
  <si>
    <t>0288</t>
  </si>
  <si>
    <t>28-0288</t>
  </si>
  <si>
    <t>28-103-住宅</t>
  </si>
  <si>
    <t>28-(103-戊类储藏)</t>
  </si>
  <si>
    <t>28--203</t>
  </si>
  <si>
    <t>28-0283</t>
  </si>
  <si>
    <t>28-0284</t>
  </si>
  <si>
    <t>28-104-住宅</t>
  </si>
  <si>
    <t>28-(104-戊类储藏)</t>
  </si>
  <si>
    <t>28--204</t>
  </si>
  <si>
    <t>0277</t>
  </si>
  <si>
    <t>28-0277</t>
  </si>
  <si>
    <t>0278</t>
  </si>
  <si>
    <t>28-0278</t>
  </si>
  <si>
    <t>28-105-住宅</t>
  </si>
  <si>
    <t>28-(105-戊类储藏)</t>
  </si>
  <si>
    <t>28--205</t>
  </si>
  <si>
    <t>28-0279</t>
  </si>
  <si>
    <t>28-0280</t>
  </si>
  <si>
    <t>29-101-住宅</t>
  </si>
  <si>
    <t>29-(101-戊类储藏)</t>
  </si>
  <si>
    <t>29--201</t>
  </si>
  <si>
    <t>0291</t>
  </si>
  <si>
    <t>29-0291</t>
  </si>
  <si>
    <t>0292</t>
  </si>
  <si>
    <t>29-0292</t>
  </si>
  <si>
    <t>30-101-住宅</t>
  </si>
  <si>
    <t>30-(101-戊类储藏)</t>
  </si>
  <si>
    <t>30--201</t>
  </si>
  <si>
    <t>0293</t>
  </si>
  <si>
    <t>30-0293</t>
  </si>
  <si>
    <t>0294</t>
  </si>
  <si>
    <t>30-0294</t>
  </si>
  <si>
    <t>30-102-住宅</t>
  </si>
  <si>
    <t>30-(102-戊类储藏)</t>
  </si>
  <si>
    <t>30--202</t>
  </si>
  <si>
    <t>0295</t>
  </si>
  <si>
    <t>30-0295</t>
  </si>
  <si>
    <t>0296</t>
  </si>
  <si>
    <t>30-0296</t>
  </si>
  <si>
    <t>30-103-住宅</t>
  </si>
  <si>
    <t>30-(103-戊类储藏)</t>
  </si>
  <si>
    <t>30--203</t>
  </si>
  <si>
    <t>0297</t>
  </si>
  <si>
    <t>30-0297</t>
  </si>
  <si>
    <t>0298</t>
  </si>
  <si>
    <t>30-0298</t>
  </si>
  <si>
    <t>31-102-住宅</t>
  </si>
  <si>
    <t>31-(102-戊类储藏)</t>
  </si>
  <si>
    <t>31--202</t>
  </si>
  <si>
    <t>0301</t>
  </si>
  <si>
    <t>31-0301</t>
  </si>
  <si>
    <t>0302</t>
  </si>
  <si>
    <t>31-0302</t>
  </si>
  <si>
    <t>32-102-住宅</t>
  </si>
  <si>
    <t>32-(102-戊类储藏)</t>
  </si>
  <si>
    <t>32--202</t>
  </si>
  <si>
    <t>0305</t>
  </si>
  <si>
    <t>32-0305</t>
  </si>
  <si>
    <t>0306</t>
  </si>
  <si>
    <t>32-0306</t>
  </si>
  <si>
    <t>32-103-住宅</t>
  </si>
  <si>
    <t>32-(103-戊类储藏)</t>
  </si>
  <si>
    <t>32--203</t>
  </si>
  <si>
    <t>0307</t>
  </si>
  <si>
    <t>32-0307</t>
  </si>
  <si>
    <t>0308</t>
  </si>
  <si>
    <t>32-0308</t>
  </si>
  <si>
    <t>33-101-住宅</t>
  </si>
  <si>
    <t>33-(101-戊类储藏)</t>
  </si>
  <si>
    <t>33--201</t>
  </si>
  <si>
    <t>0321</t>
  </si>
  <si>
    <t>33-0321</t>
  </si>
  <si>
    <t>0322</t>
  </si>
  <si>
    <t>33-0322</t>
  </si>
  <si>
    <t>33-102-住宅</t>
  </si>
  <si>
    <t>33-(102-戊类储藏)</t>
  </si>
  <si>
    <t>33--202</t>
  </si>
  <si>
    <t>0319</t>
  </si>
  <si>
    <t>33-0319</t>
  </si>
  <si>
    <t>0320</t>
  </si>
  <si>
    <t>33-0320</t>
  </si>
  <si>
    <t>33-103-住宅</t>
  </si>
  <si>
    <t>33-(103-戊类储藏)</t>
  </si>
  <si>
    <t>33--203</t>
  </si>
  <si>
    <t>0317</t>
  </si>
  <si>
    <t>33-0317</t>
  </si>
  <si>
    <t>0318</t>
  </si>
  <si>
    <t>33-0318</t>
  </si>
  <si>
    <t>33-104-住宅</t>
  </si>
  <si>
    <t>33-(104-戊类储藏)</t>
  </si>
  <si>
    <t>33--204</t>
  </si>
  <si>
    <t>0323</t>
  </si>
  <si>
    <t>33-0323</t>
  </si>
  <si>
    <t>0324</t>
  </si>
  <si>
    <t>33-0324</t>
  </si>
  <si>
    <t>33-105-住宅</t>
  </si>
  <si>
    <t>33-(105-戊类储藏)</t>
  </si>
  <si>
    <t>33--205</t>
  </si>
  <si>
    <t>0325</t>
  </si>
  <si>
    <t>33-0325</t>
  </si>
  <si>
    <t>0326</t>
  </si>
  <si>
    <t>33-0326</t>
  </si>
  <si>
    <t>33-106-住宅</t>
  </si>
  <si>
    <t>33-(106-戊类储藏)</t>
  </si>
  <si>
    <t>33--206</t>
  </si>
  <si>
    <t>0327</t>
  </si>
  <si>
    <t>33-0327</t>
  </si>
  <si>
    <t>0328</t>
  </si>
  <si>
    <t>33-0328</t>
  </si>
  <si>
    <t>34-101-住宅</t>
  </si>
  <si>
    <t>34-(101-戊类储藏)</t>
  </si>
  <si>
    <t>34--201</t>
  </si>
  <si>
    <t>34-无产权</t>
  </si>
  <si>
    <t>34-102-住宅</t>
  </si>
  <si>
    <t>34-(102-戊类储藏)</t>
  </si>
  <si>
    <t>34--202</t>
  </si>
  <si>
    <t>34-103-住宅</t>
  </si>
  <si>
    <t>34-(103-戊类储藏)</t>
  </si>
  <si>
    <t>34--203</t>
  </si>
  <si>
    <t>34-104-住宅</t>
  </si>
  <si>
    <t>34-(104-戊类储藏)</t>
  </si>
  <si>
    <t>34--204</t>
  </si>
  <si>
    <t>35-101-住宅</t>
  </si>
  <si>
    <t>35-(101-戊类储藏)</t>
  </si>
  <si>
    <t>35--201</t>
  </si>
  <si>
    <t>35-无产权</t>
  </si>
  <si>
    <t>35-102-住宅</t>
  </si>
  <si>
    <t>35-(102-戊类储藏)</t>
  </si>
  <si>
    <t>35--202</t>
  </si>
  <si>
    <t>0343</t>
  </si>
  <si>
    <t>35-0343</t>
  </si>
  <si>
    <t>0344</t>
  </si>
  <si>
    <t>35-0344</t>
  </si>
  <si>
    <t>35-103-住宅</t>
  </si>
  <si>
    <t>35-(103-戊类储藏)</t>
  </si>
  <si>
    <t>35--203</t>
  </si>
  <si>
    <t>0341</t>
  </si>
  <si>
    <t>35-0341</t>
  </si>
  <si>
    <t>0342</t>
  </si>
  <si>
    <t>35-0342</t>
  </si>
  <si>
    <t>35-104-住宅</t>
  </si>
  <si>
    <t>35-(104-戊类储藏)</t>
  </si>
  <si>
    <t>35--204</t>
  </si>
  <si>
    <t>0339</t>
  </si>
  <si>
    <t>35-0339</t>
  </si>
  <si>
    <t>0340</t>
  </si>
  <si>
    <t>35-0340</t>
  </si>
  <si>
    <t>35-105-住宅</t>
  </si>
  <si>
    <t>35-(105-戊类储藏)</t>
  </si>
  <si>
    <t>35--205</t>
  </si>
  <si>
    <t>0337</t>
  </si>
  <si>
    <t>35-0337</t>
  </si>
  <si>
    <t>0338</t>
  </si>
  <si>
    <t>35-0338</t>
  </si>
  <si>
    <t>35-107-住宅</t>
  </si>
  <si>
    <t>35-(107-戊类储藏)</t>
  </si>
  <si>
    <t>35--207</t>
  </si>
  <si>
    <t>0347</t>
  </si>
  <si>
    <t>35-0347</t>
  </si>
  <si>
    <t>0348</t>
  </si>
  <si>
    <t>35-0348</t>
  </si>
  <si>
    <t>35-108-住宅</t>
  </si>
  <si>
    <t>35-(108-戊类储藏)</t>
  </si>
  <si>
    <t>35--208</t>
  </si>
  <si>
    <t>0349</t>
  </si>
  <si>
    <t>35-0349</t>
  </si>
  <si>
    <t>0350</t>
  </si>
  <si>
    <t>35-0350</t>
  </si>
  <si>
    <t>109-住宅</t>
  </si>
  <si>
    <t>35-109-住宅</t>
  </si>
  <si>
    <t>(109-戊类储藏)</t>
  </si>
  <si>
    <t>35-(109-戊类储藏)</t>
  </si>
  <si>
    <t>35--209</t>
  </si>
  <si>
    <t>0351</t>
  </si>
  <si>
    <t>35-0351</t>
  </si>
  <si>
    <t>0352</t>
  </si>
  <si>
    <t>35-0352</t>
  </si>
  <si>
    <t>110-住宅</t>
  </si>
  <si>
    <t>35-110-住宅</t>
  </si>
  <si>
    <t>(110-戊类储藏)</t>
  </si>
  <si>
    <t>35-(110-戊类储藏)</t>
  </si>
  <si>
    <t>35--210</t>
  </si>
  <si>
    <t>0353</t>
  </si>
  <si>
    <t>35-0353</t>
  </si>
  <si>
    <t>0354</t>
  </si>
  <si>
    <t>35-0354</t>
  </si>
  <si>
    <t>36-103-住宅</t>
  </si>
  <si>
    <t>36-(103-戊类储藏)</t>
  </si>
  <si>
    <t>36--203</t>
  </si>
  <si>
    <t>36-0357</t>
  </si>
  <si>
    <t>36-0358</t>
  </si>
  <si>
    <t>36-104-住宅</t>
  </si>
  <si>
    <t>36-(104-戊类储藏)</t>
  </si>
  <si>
    <t>36--204</t>
  </si>
  <si>
    <t>0355</t>
  </si>
  <si>
    <t>36-0355</t>
  </si>
  <si>
    <t>0356</t>
  </si>
  <si>
    <t>36-0356</t>
  </si>
  <si>
    <t>36-105-住宅</t>
  </si>
  <si>
    <t>36-(105-戊类储藏)</t>
  </si>
  <si>
    <t>36--205</t>
  </si>
  <si>
    <t>0363</t>
  </si>
  <si>
    <t>36-0363</t>
  </si>
  <si>
    <t>0364</t>
  </si>
  <si>
    <t>36-0364</t>
  </si>
  <si>
    <t>36-107-住宅</t>
  </si>
  <si>
    <t>36-(107-戊类储藏)</t>
  </si>
  <si>
    <t>36--207</t>
  </si>
  <si>
    <t>0367</t>
  </si>
  <si>
    <t>36-0367</t>
  </si>
  <si>
    <t>0368</t>
  </si>
  <si>
    <t>36-0368</t>
  </si>
  <si>
    <t>36-108-住宅</t>
  </si>
  <si>
    <t>36-(108-戊类储藏)</t>
  </si>
  <si>
    <t>36--208</t>
  </si>
  <si>
    <t>0369</t>
  </si>
  <si>
    <t>36-0369</t>
  </si>
  <si>
    <t>0370</t>
  </si>
  <si>
    <t>36-0370</t>
  </si>
  <si>
    <t>36-109-住宅</t>
  </si>
  <si>
    <t>36-(109-戊类储藏)</t>
  </si>
  <si>
    <t>36--209</t>
  </si>
  <si>
    <t>0371</t>
  </si>
  <si>
    <t>36-0371</t>
  </si>
  <si>
    <t>0372</t>
  </si>
  <si>
    <t>36-0372</t>
  </si>
  <si>
    <t>37-101-住宅</t>
  </si>
  <si>
    <t>37-(101-戊类储藏)</t>
  </si>
  <si>
    <t>37--201</t>
  </si>
  <si>
    <t>0381</t>
  </si>
  <si>
    <t>37-0381</t>
  </si>
  <si>
    <t>0382</t>
  </si>
  <si>
    <t>37-0382</t>
  </si>
  <si>
    <t>37-102-住宅</t>
  </si>
  <si>
    <t>37-(102-戊类储藏)</t>
  </si>
  <si>
    <t>37--202</t>
  </si>
  <si>
    <t>0379</t>
  </si>
  <si>
    <t>37-0379</t>
  </si>
  <si>
    <t>0380</t>
  </si>
  <si>
    <t>37-0380</t>
  </si>
  <si>
    <t>37-103-住宅</t>
  </si>
  <si>
    <t>37-(103-戊类储藏)</t>
  </si>
  <si>
    <t>37--203</t>
  </si>
  <si>
    <t>0377</t>
  </si>
  <si>
    <t>37-0377</t>
  </si>
  <si>
    <t>0378</t>
  </si>
  <si>
    <t>37-0378</t>
  </si>
  <si>
    <t>37-104-住宅</t>
  </si>
  <si>
    <t>37-(104-戊类储藏)</t>
  </si>
  <si>
    <t>37--204</t>
  </si>
  <si>
    <t>0375</t>
  </si>
  <si>
    <t>37-0375</t>
  </si>
  <si>
    <t>0376</t>
  </si>
  <si>
    <t>37-0376</t>
  </si>
  <si>
    <t>37-105-住宅</t>
  </si>
  <si>
    <t>37-(105-戊类储藏)</t>
  </si>
  <si>
    <t>37--205</t>
  </si>
  <si>
    <t>0373</t>
  </si>
  <si>
    <t>37-0373</t>
  </si>
  <si>
    <t>0374</t>
  </si>
  <si>
    <t>37-0374</t>
  </si>
  <si>
    <t>37-107-住宅</t>
  </si>
  <si>
    <t>37-(107-戊类储藏)</t>
  </si>
  <si>
    <t>37--207</t>
  </si>
  <si>
    <t>0385</t>
  </si>
  <si>
    <t>37-0385</t>
  </si>
  <si>
    <t>0386</t>
  </si>
  <si>
    <t>37-0386</t>
  </si>
  <si>
    <t>37-108-住宅</t>
  </si>
  <si>
    <t>37-(108-戊类储藏)</t>
  </si>
  <si>
    <t>37--208</t>
  </si>
  <si>
    <t>0387</t>
  </si>
  <si>
    <t>37-0387</t>
  </si>
  <si>
    <t>0388</t>
  </si>
  <si>
    <t>37-0388</t>
  </si>
  <si>
    <t>37-109-住宅</t>
  </si>
  <si>
    <t>37-(109-戊类储藏)</t>
  </si>
  <si>
    <t>37--209</t>
  </si>
  <si>
    <t>0389</t>
  </si>
  <si>
    <t>37-0389</t>
  </si>
  <si>
    <t>0390</t>
  </si>
  <si>
    <t>37-0390</t>
  </si>
  <si>
    <t>37-110-住宅</t>
  </si>
  <si>
    <t>37-(110-戊类储藏)</t>
  </si>
  <si>
    <t>37--210</t>
  </si>
  <si>
    <t>0391</t>
  </si>
  <si>
    <t>37-0391</t>
  </si>
  <si>
    <t>0392</t>
  </si>
  <si>
    <t>37-0392</t>
  </si>
  <si>
    <t>38-101-住宅</t>
  </si>
  <si>
    <t>38-(101-戊类储藏)</t>
  </si>
  <si>
    <t>38--201</t>
  </si>
  <si>
    <t>38-无产权</t>
  </si>
  <si>
    <t>38-102-住宅</t>
  </si>
  <si>
    <t>38-(102-戊类储藏)</t>
  </si>
  <si>
    <t>38--202</t>
  </si>
  <si>
    <t>38-103-住宅</t>
  </si>
  <si>
    <t>38-(103-戊类储藏)</t>
  </si>
  <si>
    <t>38--203</t>
  </si>
  <si>
    <t>38-104-住宅</t>
  </si>
  <si>
    <t>38-(104-戊类储藏)</t>
  </si>
  <si>
    <t>38--204</t>
  </si>
  <si>
    <t>0401</t>
  </si>
  <si>
    <t>38-0401</t>
  </si>
  <si>
    <t>0402</t>
  </si>
  <si>
    <t>38-0402</t>
  </si>
  <si>
    <t>38-105-住宅</t>
  </si>
  <si>
    <t>38-(105-戊类储藏)</t>
  </si>
  <si>
    <t>38--205</t>
  </si>
  <si>
    <t>0403</t>
  </si>
  <si>
    <t>38-0403</t>
  </si>
  <si>
    <t>0404</t>
  </si>
  <si>
    <t>38-0404</t>
  </si>
  <si>
    <t>38-106-住宅</t>
  </si>
  <si>
    <t>38-(106-戊类储藏)</t>
  </si>
  <si>
    <t>38--206</t>
  </si>
  <si>
    <t>0405</t>
  </si>
  <si>
    <t>38-0405</t>
  </si>
  <si>
    <t>0406</t>
  </si>
  <si>
    <t>38-0406</t>
  </si>
  <si>
    <t>39-101-住宅</t>
  </si>
  <si>
    <t>39-(101-戊类储藏)</t>
  </si>
  <si>
    <t>39--201</t>
  </si>
  <si>
    <t>39-0393</t>
  </si>
  <si>
    <t>39-0394</t>
  </si>
  <si>
    <t>39-102-住宅</t>
  </si>
  <si>
    <t>39-(102-戊类储藏)</t>
  </si>
  <si>
    <t>39--202</t>
  </si>
  <si>
    <t>39-无产权</t>
  </si>
  <si>
    <t>39-103-住宅</t>
  </si>
  <si>
    <t>39-(103-戊类储藏)</t>
  </si>
  <si>
    <t>39--203</t>
  </si>
  <si>
    <t>39-104-住宅</t>
  </si>
  <si>
    <t>39-(104-戊类储藏)</t>
  </si>
  <si>
    <t>39--204</t>
  </si>
  <si>
    <t>39-0395</t>
  </si>
  <si>
    <t>39-0396</t>
  </si>
  <si>
    <t>39-105-住宅</t>
  </si>
  <si>
    <t>39-(105-戊类储藏)</t>
  </si>
  <si>
    <t>39--205</t>
  </si>
  <si>
    <t>0397</t>
  </si>
  <si>
    <t>39-0397</t>
  </si>
  <si>
    <t>0398</t>
  </si>
  <si>
    <t>39-0398</t>
  </si>
  <si>
    <t>39-106-住宅</t>
  </si>
  <si>
    <t>39-(106-戊类储藏)</t>
  </si>
  <si>
    <t>39--206</t>
  </si>
  <si>
    <t>0399</t>
  </si>
  <si>
    <t>39-0399</t>
  </si>
  <si>
    <t>0400</t>
  </si>
  <si>
    <t>39-0400</t>
  </si>
  <si>
    <t>40-101-住宅</t>
  </si>
  <si>
    <t>40-(101-戊类储藏)</t>
  </si>
  <si>
    <t>40--201</t>
  </si>
  <si>
    <t>0415</t>
  </si>
  <si>
    <t>40-0415</t>
  </si>
  <si>
    <t>0416</t>
  </si>
  <si>
    <t>40-0416</t>
  </si>
  <si>
    <t>40-102-住宅</t>
  </si>
  <si>
    <t>40-(102-戊类储藏)</t>
  </si>
  <si>
    <t>40--202</t>
  </si>
  <si>
    <t>40-0413</t>
  </si>
  <si>
    <t>40-0414</t>
  </si>
  <si>
    <t>40-103-住宅</t>
  </si>
  <si>
    <t>40-(103-戊类储藏)</t>
  </si>
  <si>
    <t>40--203</t>
  </si>
  <si>
    <t>0411</t>
  </si>
  <si>
    <t>40-0411</t>
  </si>
  <si>
    <t>0412</t>
  </si>
  <si>
    <t>40-0412</t>
  </si>
  <si>
    <t>40-104-住宅</t>
  </si>
  <si>
    <t>40-(104-戊类储藏)</t>
  </si>
  <si>
    <t>40--204</t>
  </si>
  <si>
    <t>40-0417</t>
  </si>
  <si>
    <t>40-0418</t>
  </si>
  <si>
    <t>40-105-住宅</t>
  </si>
  <si>
    <t>40-(105-戊类储藏)</t>
  </si>
  <si>
    <t>40--205</t>
  </si>
  <si>
    <t>0419</t>
  </si>
  <si>
    <t>40-0419</t>
  </si>
  <si>
    <t>0420</t>
  </si>
  <si>
    <t>40-0420</t>
  </si>
  <si>
    <t>40-106-住宅</t>
  </si>
  <si>
    <t>40-(106-戊类储藏)</t>
  </si>
  <si>
    <t>40--206</t>
  </si>
  <si>
    <t>0421</t>
  </si>
  <si>
    <t>40-0421</t>
  </si>
  <si>
    <t>0422</t>
  </si>
  <si>
    <t>40-0422</t>
  </si>
  <si>
    <t>41-101-住宅</t>
  </si>
  <si>
    <t>41-(101-戊类储藏)</t>
  </si>
  <si>
    <t>41--201</t>
  </si>
  <si>
    <t>0409</t>
  </si>
  <si>
    <t>41-0409</t>
  </si>
  <si>
    <t>0410</t>
  </si>
  <si>
    <t>41-0410</t>
  </si>
  <si>
    <t>41-102-住宅</t>
  </si>
  <si>
    <t>41-(102-戊类储藏)</t>
  </si>
  <si>
    <t>41--202</t>
  </si>
  <si>
    <t>0407</t>
  </si>
  <si>
    <t>41-0407</t>
  </si>
  <si>
    <t>0408</t>
  </si>
  <si>
    <t>41-0408</t>
  </si>
  <si>
    <t>41-103-住宅</t>
  </si>
  <si>
    <t>41-(103-戊类储藏)</t>
  </si>
  <si>
    <t>41--203</t>
  </si>
  <si>
    <t>0423</t>
  </si>
  <si>
    <t>41-0423</t>
  </si>
  <si>
    <t>0424</t>
  </si>
  <si>
    <t>41-0424</t>
  </si>
  <si>
    <t>41-104-住宅</t>
  </si>
  <si>
    <t>41-(104-戊类储藏)</t>
  </si>
  <si>
    <t>41--204</t>
  </si>
  <si>
    <t>0425</t>
  </si>
  <si>
    <t>41-0425</t>
  </si>
  <si>
    <t>0426</t>
  </si>
  <si>
    <t>41-0426</t>
  </si>
  <si>
    <t>41-105-住宅</t>
  </si>
  <si>
    <t>41-(105-戊类储藏)</t>
  </si>
  <si>
    <t>41--205</t>
  </si>
  <si>
    <t>0427</t>
  </si>
  <si>
    <t>41-0427</t>
  </si>
  <si>
    <t>0428</t>
  </si>
  <si>
    <t>41-0428</t>
  </si>
  <si>
    <t>42-101-住宅</t>
  </si>
  <si>
    <t>42-(101-戊类储藏)</t>
  </si>
  <si>
    <t>42--201</t>
  </si>
  <si>
    <t>0433</t>
  </si>
  <si>
    <t>42-0433</t>
  </si>
  <si>
    <t>0434</t>
  </si>
  <si>
    <t>42-0434</t>
  </si>
  <si>
    <t>42-102-住宅</t>
  </si>
  <si>
    <t>42-(102-戊类储藏)</t>
  </si>
  <si>
    <t>42--202</t>
  </si>
  <si>
    <t>0431</t>
  </si>
  <si>
    <t>42-0431</t>
  </si>
  <si>
    <t>0432</t>
  </si>
  <si>
    <t>42-0432</t>
  </si>
  <si>
    <t>42-103-住宅</t>
  </si>
  <si>
    <t>42-(103-戊类储藏)</t>
  </si>
  <si>
    <t>42--203</t>
  </si>
  <si>
    <t>0429</t>
  </si>
  <si>
    <t>42-0429</t>
  </si>
  <si>
    <t>0430</t>
  </si>
  <si>
    <t>42-0430</t>
  </si>
  <si>
    <t>42-104-住宅</t>
  </si>
  <si>
    <t>42-(104-戊类储藏)</t>
  </si>
  <si>
    <t>42--204</t>
  </si>
  <si>
    <t>0447</t>
  </si>
  <si>
    <t>42-0447</t>
  </si>
  <si>
    <t>0448</t>
  </si>
  <si>
    <t>42-0448</t>
  </si>
  <si>
    <t>42-105-住宅</t>
  </si>
  <si>
    <t>42-(105-戊类储藏)</t>
  </si>
  <si>
    <t>42--205</t>
  </si>
  <si>
    <t>42-0449</t>
  </si>
  <si>
    <t>42-0450</t>
  </si>
  <si>
    <t>42-106-住宅</t>
  </si>
  <si>
    <t>42-(106-戊类储藏)</t>
  </si>
  <si>
    <t>42--206</t>
  </si>
  <si>
    <t>42-0451</t>
  </si>
  <si>
    <t>42-0452</t>
  </si>
  <si>
    <t>43-101-住宅</t>
  </si>
  <si>
    <t>43-(101-戊类储藏)</t>
  </si>
  <si>
    <t>43--201</t>
  </si>
  <si>
    <t>43-0439</t>
  </si>
  <si>
    <t>43-0440</t>
  </si>
  <si>
    <t>43-102-住宅</t>
  </si>
  <si>
    <t>43-(102-戊类储藏)</t>
  </si>
  <si>
    <t>43--202</t>
  </si>
  <si>
    <t>0437</t>
  </si>
  <si>
    <t>43-0437</t>
  </si>
  <si>
    <t>0438</t>
  </si>
  <si>
    <t>43-0438</t>
  </si>
  <si>
    <t>43-103-住宅</t>
  </si>
  <si>
    <t>43-(103-戊类储藏)</t>
  </si>
  <si>
    <t>43--203</t>
  </si>
  <si>
    <t>43-0435</t>
  </si>
  <si>
    <t>43-0436</t>
  </si>
  <si>
    <t>43-104-住宅</t>
  </si>
  <si>
    <t>43-(104-戊类储藏)</t>
  </si>
  <si>
    <t>43--204</t>
  </si>
  <si>
    <t>43-0441</t>
  </si>
  <si>
    <t>43-0442</t>
  </si>
  <si>
    <t>43-105-住宅</t>
  </si>
  <si>
    <t>43-(105-戊类储藏)</t>
  </si>
  <si>
    <t>43--205</t>
  </si>
  <si>
    <t>43-0443</t>
  </si>
  <si>
    <t>43-0444</t>
  </si>
  <si>
    <t>43-106-住宅</t>
  </si>
  <si>
    <t>43-(106-戊类储藏)</t>
  </si>
  <si>
    <t>43--206</t>
  </si>
  <si>
    <t>0445</t>
  </si>
  <si>
    <t>43-0445</t>
  </si>
  <si>
    <t>0446</t>
  </si>
  <si>
    <t>43-0446</t>
  </si>
  <si>
    <t>44-101-住宅</t>
  </si>
  <si>
    <t>44-(101-戊类储藏)</t>
  </si>
  <si>
    <t>44--201</t>
  </si>
  <si>
    <t>44-0461</t>
  </si>
  <si>
    <t>44-0462</t>
  </si>
  <si>
    <t>44-102-住宅</t>
  </si>
  <si>
    <t>44-(102-戊类储藏)</t>
  </si>
  <si>
    <t>44--202</t>
  </si>
  <si>
    <t>44-0459</t>
  </si>
  <si>
    <t>44-0460</t>
  </si>
  <si>
    <t>44-103-住宅</t>
  </si>
  <si>
    <t>44-(103-戊类储藏)</t>
  </si>
  <si>
    <t>44--203</t>
  </si>
  <si>
    <t>44-0457</t>
  </si>
  <si>
    <t>44-0458</t>
  </si>
  <si>
    <t>44-104-住宅</t>
  </si>
  <si>
    <t>44-(104-戊类储藏)</t>
  </si>
  <si>
    <t>44--204</t>
  </si>
  <si>
    <t>0463</t>
  </si>
  <si>
    <t>44-0463</t>
  </si>
  <si>
    <t>0464</t>
  </si>
  <si>
    <t>44-0464</t>
  </si>
  <si>
    <t>44-105-住宅</t>
  </si>
  <si>
    <t>44-(105-戊类储藏)</t>
  </si>
  <si>
    <t>44--205</t>
  </si>
  <si>
    <t>0465</t>
  </si>
  <si>
    <t>44-0465</t>
  </si>
  <si>
    <t>0466</t>
  </si>
  <si>
    <t>44-0466</t>
  </si>
  <si>
    <t>44-106-住宅</t>
  </si>
  <si>
    <t>44-(106-戊类储藏)</t>
  </si>
  <si>
    <t>44--206</t>
  </si>
  <si>
    <t>0467</t>
  </si>
  <si>
    <t>44-0467</t>
  </si>
  <si>
    <t>0468</t>
  </si>
  <si>
    <t>44-0468</t>
  </si>
  <si>
    <t>45-101-住宅</t>
  </si>
  <si>
    <t>45-(101-戊类储藏)</t>
  </si>
  <si>
    <t>45--201</t>
  </si>
  <si>
    <t>45-0455</t>
  </si>
  <si>
    <t>45-0456</t>
  </si>
  <si>
    <t>45-102-住宅</t>
  </si>
  <si>
    <t>45-(102-戊类储藏)</t>
  </si>
  <si>
    <t>45--202</t>
  </si>
  <si>
    <t>0453</t>
  </si>
  <si>
    <t>45-0453</t>
  </si>
  <si>
    <t>0454</t>
  </si>
  <si>
    <t>45-0454</t>
  </si>
  <si>
    <t>45-103-住宅</t>
  </si>
  <si>
    <t>45-(103-戊类储藏)</t>
  </si>
  <si>
    <t>45--203</t>
  </si>
  <si>
    <t>0469</t>
  </si>
  <si>
    <t>45-0469</t>
  </si>
  <si>
    <t>0470</t>
  </si>
  <si>
    <t>45-0470</t>
  </si>
  <si>
    <t>45-104-住宅</t>
  </si>
  <si>
    <t>45-(104-戊类储藏)</t>
  </si>
  <si>
    <t>45--204</t>
  </si>
  <si>
    <t>0471</t>
  </si>
  <si>
    <t>45-0471</t>
  </si>
  <si>
    <t>0472</t>
  </si>
  <si>
    <t>45-0472</t>
  </si>
  <si>
    <t>45-105-住宅</t>
  </si>
  <si>
    <t>45-(105-戊类储藏)</t>
  </si>
  <si>
    <t>45--205</t>
  </si>
  <si>
    <t>45-0473</t>
  </si>
  <si>
    <t>45-0474</t>
  </si>
  <si>
    <t>46-101-住宅</t>
  </si>
  <si>
    <t>46-(101-戊类储藏)</t>
  </si>
  <si>
    <t>46--201</t>
  </si>
  <si>
    <t>0475</t>
  </si>
  <si>
    <t>46-0475</t>
  </si>
  <si>
    <t>0476</t>
  </si>
  <si>
    <t>46-0476</t>
  </si>
  <si>
    <t>46-102-住宅</t>
  </si>
  <si>
    <t>46-(102-戊类储藏)</t>
  </si>
  <si>
    <t>46--202</t>
  </si>
  <si>
    <t>0477</t>
  </si>
  <si>
    <t>46-0477</t>
  </si>
  <si>
    <t>0478</t>
  </si>
  <si>
    <t>46-0478</t>
  </si>
  <si>
    <t>46-103-住宅</t>
  </si>
  <si>
    <t>46-(103-戊类储藏)</t>
  </si>
  <si>
    <t>46--203</t>
  </si>
  <si>
    <t>0479</t>
  </si>
  <si>
    <t>46-0479</t>
  </si>
  <si>
    <t>0480</t>
  </si>
  <si>
    <t>46-0480</t>
  </si>
  <si>
    <t>46-104-住宅</t>
  </si>
  <si>
    <t>46-(104-戊类储藏)</t>
  </si>
  <si>
    <t>46--204</t>
  </si>
  <si>
    <t>0481</t>
  </si>
  <si>
    <t>46-0481</t>
  </si>
  <si>
    <t>0482</t>
  </si>
  <si>
    <t>46-0482</t>
  </si>
  <si>
    <t>47-101-住宅</t>
  </si>
  <si>
    <t>47-(101-戊类储藏)</t>
  </si>
  <si>
    <t>47--201</t>
  </si>
  <si>
    <t>0483</t>
  </si>
  <si>
    <t>47-0483</t>
  </si>
  <si>
    <t>0484</t>
  </si>
  <si>
    <t>47-0484</t>
  </si>
  <si>
    <t>47-102-住宅</t>
  </si>
  <si>
    <t>47-(102-戊类储藏)</t>
  </si>
  <si>
    <t>47--202</t>
  </si>
  <si>
    <t>0485</t>
  </si>
  <si>
    <t>47-0485</t>
  </si>
  <si>
    <t>0486</t>
  </si>
  <si>
    <t>47-0486</t>
  </si>
  <si>
    <t>47-103-住宅</t>
  </si>
  <si>
    <t>47-(103-戊类储藏)</t>
  </si>
  <si>
    <t>47--203</t>
  </si>
  <si>
    <t>47-0488</t>
  </si>
  <si>
    <t>47-0487</t>
  </si>
  <si>
    <t>47-104-住宅</t>
  </si>
  <si>
    <t>47-(104-戊类储藏)</t>
  </si>
  <si>
    <t>47--204</t>
  </si>
  <si>
    <t>0489</t>
  </si>
  <si>
    <t>47-0489</t>
  </si>
  <si>
    <t>0490</t>
  </si>
  <si>
    <t>47-0490</t>
  </si>
  <si>
    <t>48-101-住宅</t>
  </si>
  <si>
    <t>48-(101-戊类储藏)</t>
  </si>
  <si>
    <t>48--201</t>
  </si>
  <si>
    <t>0499</t>
  </si>
  <si>
    <t>48-0499</t>
  </si>
  <si>
    <t>0500</t>
  </si>
  <si>
    <t>48-0500</t>
  </si>
  <si>
    <t>48-102-住宅</t>
  </si>
  <si>
    <t>48-(102-戊类储藏)</t>
  </si>
  <si>
    <t>48--202</t>
  </si>
  <si>
    <t>0501</t>
  </si>
  <si>
    <t>48-0501</t>
  </si>
  <si>
    <t>0502</t>
  </si>
  <si>
    <t>48-0502</t>
  </si>
  <si>
    <t>48-103-住宅</t>
  </si>
  <si>
    <t>48-(103-戊类储藏)</t>
  </si>
  <si>
    <t>48--203</t>
  </si>
  <si>
    <t>0503</t>
  </si>
  <si>
    <t>48-0503</t>
  </si>
  <si>
    <t>0504</t>
  </si>
  <si>
    <t>48-0504</t>
  </si>
  <si>
    <t>48-104-住宅</t>
  </si>
  <si>
    <t>48-(104-戊类储藏)</t>
  </si>
  <si>
    <t>48--204</t>
  </si>
  <si>
    <t>0505</t>
  </si>
  <si>
    <t>48-0505</t>
  </si>
  <si>
    <t>0506</t>
  </si>
  <si>
    <t>48-0506</t>
  </si>
  <si>
    <t>48-107-住宅</t>
  </si>
  <si>
    <t>48-(107-戊类储藏)</t>
  </si>
  <si>
    <t>48--207</t>
  </si>
  <si>
    <t>0493</t>
  </si>
  <si>
    <t>48-0493</t>
  </si>
  <si>
    <t>0494</t>
  </si>
  <si>
    <t>48-0494</t>
  </si>
  <si>
    <t>48-108-住宅</t>
  </si>
  <si>
    <t>48-(108-戊类储藏)</t>
  </si>
  <si>
    <t>48--208</t>
  </si>
  <si>
    <t>0491</t>
  </si>
  <si>
    <t>48-0491</t>
  </si>
  <si>
    <t>0492</t>
  </si>
  <si>
    <t>48-0492</t>
  </si>
  <si>
    <t>49-103-住宅</t>
  </si>
  <si>
    <t>49-(103-戊类储藏)</t>
  </si>
  <si>
    <t>49--203</t>
  </si>
  <si>
    <t>519</t>
  </si>
  <si>
    <t>49-519</t>
  </si>
  <si>
    <t>520</t>
  </si>
  <si>
    <t>49-520</t>
  </si>
  <si>
    <t>49-104-住宅</t>
  </si>
  <si>
    <t>49-(104-戊类储藏)</t>
  </si>
  <si>
    <t>49--204</t>
  </si>
  <si>
    <t>521</t>
  </si>
  <si>
    <t>49-521</t>
  </si>
  <si>
    <t>522</t>
  </si>
  <si>
    <t>49-522</t>
  </si>
  <si>
    <t>49-106-住宅</t>
  </si>
  <si>
    <t>49-(106-戊类储藏)</t>
  </si>
  <si>
    <t>49--206</t>
  </si>
  <si>
    <t>0511</t>
  </si>
  <si>
    <t>49-0511</t>
  </si>
  <si>
    <t>0512</t>
  </si>
  <si>
    <t>49-0512</t>
  </si>
  <si>
    <t>49-107-住宅</t>
  </si>
  <si>
    <t>49-(107-戊类储藏)</t>
  </si>
  <si>
    <t>49--207</t>
  </si>
  <si>
    <t>0509</t>
  </si>
  <si>
    <t>49-0509</t>
  </si>
  <si>
    <t>0510</t>
  </si>
  <si>
    <t>49-0510</t>
  </si>
  <si>
    <t>49-108-住宅</t>
  </si>
  <si>
    <t>49-(108-戊类储藏)</t>
  </si>
  <si>
    <t>49--208</t>
  </si>
  <si>
    <t>0507</t>
  </si>
  <si>
    <t>49-0507</t>
  </si>
  <si>
    <t>0508</t>
  </si>
  <si>
    <t>49-0508</t>
  </si>
  <si>
    <t>50-101-住宅</t>
  </si>
  <si>
    <t>50-(101-戊类储藏)</t>
  </si>
  <si>
    <t>50--201</t>
  </si>
  <si>
    <t>0529</t>
  </si>
  <si>
    <t>50-0529</t>
  </si>
  <si>
    <t>0530</t>
  </si>
  <si>
    <t>50-0530</t>
  </si>
  <si>
    <t>50-102-住宅</t>
  </si>
  <si>
    <t>50-(102-戊类储藏)</t>
  </si>
  <si>
    <t>50--202</t>
  </si>
  <si>
    <t>0531</t>
  </si>
  <si>
    <t>50-0531</t>
  </si>
  <si>
    <t>0532</t>
  </si>
  <si>
    <t>50-0532</t>
  </si>
  <si>
    <t>50-103-住宅</t>
  </si>
  <si>
    <t>50-(103-戊类储藏)</t>
  </si>
  <si>
    <t>50--203</t>
  </si>
  <si>
    <t>50-0533</t>
  </si>
  <si>
    <t>50-0534</t>
  </si>
  <si>
    <t>50-104-住宅</t>
  </si>
  <si>
    <t>50-(104-戊类储藏)</t>
  </si>
  <si>
    <t>50--204</t>
  </si>
  <si>
    <t>0535</t>
  </si>
  <si>
    <t>50-0535</t>
  </si>
  <si>
    <t>0536</t>
  </si>
  <si>
    <t>50-0536</t>
  </si>
  <si>
    <t>50-105-住宅</t>
  </si>
  <si>
    <t>50-(105-戊类储藏)</t>
  </si>
  <si>
    <t>50--205</t>
  </si>
  <si>
    <t>0527</t>
  </si>
  <si>
    <t>50-0527</t>
  </si>
  <si>
    <t>0528</t>
  </si>
  <si>
    <t>50-0528</t>
  </si>
  <si>
    <t>50-106-住宅</t>
  </si>
  <si>
    <t>50-(106-戊类储藏)</t>
  </si>
  <si>
    <t>50--206</t>
  </si>
  <si>
    <t>0525</t>
  </si>
  <si>
    <t>50-0525</t>
  </si>
  <si>
    <t>0526</t>
  </si>
  <si>
    <t>50-0526</t>
  </si>
  <si>
    <t>50-107-住宅</t>
  </si>
  <si>
    <t>50-(107-戊类储藏)</t>
  </si>
  <si>
    <t>50--207</t>
  </si>
  <si>
    <t>0523</t>
  </si>
  <si>
    <t>50-0523</t>
  </si>
  <si>
    <t>0524</t>
  </si>
  <si>
    <t>50-0524</t>
  </si>
  <si>
    <t>51-101-住宅</t>
  </si>
  <si>
    <t>51-(101-戊类储藏)</t>
  </si>
  <si>
    <t>51--201</t>
  </si>
  <si>
    <t>51-无产权</t>
  </si>
  <si>
    <t>51-102-住宅</t>
  </si>
  <si>
    <t>51-(102-戊类储藏)</t>
  </si>
  <si>
    <t>51--202</t>
  </si>
  <si>
    <t>51-103-住宅</t>
  </si>
  <si>
    <t>51-(103-戊类储藏)</t>
  </si>
  <si>
    <t>51--203</t>
  </si>
  <si>
    <t>51-104-住宅</t>
  </si>
  <si>
    <t>51-(104-戊类储藏)</t>
  </si>
  <si>
    <t>51--204</t>
  </si>
  <si>
    <t>51-105-住宅</t>
  </si>
  <si>
    <t>51-(105-戊类储藏)</t>
  </si>
  <si>
    <t>51--205</t>
  </si>
  <si>
    <t>0543</t>
  </si>
  <si>
    <t>51-0543</t>
  </si>
  <si>
    <t>0544</t>
  </si>
  <si>
    <t>51-0544</t>
  </si>
  <si>
    <t>51-106-住宅</t>
  </si>
  <si>
    <t>51-(106-戊类储藏)</t>
  </si>
  <si>
    <t>51--206</t>
  </si>
  <si>
    <t>0541</t>
  </si>
  <si>
    <t>51-0541</t>
  </si>
  <si>
    <t>0542</t>
  </si>
  <si>
    <t>51-0542</t>
  </si>
  <si>
    <t>51-107-住宅</t>
  </si>
  <si>
    <t>51-(107-戊类储藏)</t>
  </si>
  <si>
    <t>51--207</t>
  </si>
  <si>
    <t>0539</t>
  </si>
  <si>
    <t>51-0539</t>
  </si>
  <si>
    <t>0540</t>
  </si>
  <si>
    <t>51-0540</t>
  </si>
  <si>
    <t>51-108-住宅</t>
  </si>
  <si>
    <t>51-(108-戊类储藏)</t>
  </si>
  <si>
    <t>51--208</t>
  </si>
  <si>
    <t>51-0537</t>
  </si>
  <si>
    <t>51-0538</t>
  </si>
  <si>
    <t>52-101-住宅</t>
  </si>
  <si>
    <t>52-(101-戊类储藏)</t>
  </si>
  <si>
    <t>52--201</t>
  </si>
  <si>
    <t>0559</t>
  </si>
  <si>
    <t>52-0559</t>
  </si>
  <si>
    <t>0560</t>
  </si>
  <si>
    <t>52-0560</t>
  </si>
  <si>
    <t>52-102-住宅</t>
  </si>
  <si>
    <t>52-(102-戊类储藏)</t>
  </si>
  <si>
    <t>52--202</t>
  </si>
  <si>
    <t>0557</t>
  </si>
  <si>
    <t>52-0557</t>
  </si>
  <si>
    <t>0558</t>
  </si>
  <si>
    <t>52-0558</t>
  </si>
  <si>
    <t>52-103-住宅</t>
  </si>
  <si>
    <t>52-(103-戊类储藏)</t>
  </si>
  <si>
    <t>52--203</t>
  </si>
  <si>
    <t>52-0555</t>
  </si>
  <si>
    <t>52-0556</t>
  </si>
  <si>
    <t>52-104-住宅</t>
  </si>
  <si>
    <t>52-(104-戊类储藏)</t>
  </si>
  <si>
    <t>52--204</t>
  </si>
  <si>
    <t>0553</t>
  </si>
  <si>
    <t>52-0553</t>
  </si>
  <si>
    <t>0554</t>
  </si>
  <si>
    <t>52-0554</t>
  </si>
  <si>
    <t>52-105-住宅</t>
  </si>
  <si>
    <t>52-(105-戊类储藏)</t>
  </si>
  <si>
    <t>52--205</t>
  </si>
  <si>
    <t>0545</t>
  </si>
  <si>
    <t>52-0545</t>
  </si>
  <si>
    <t>0546</t>
  </si>
  <si>
    <t>52-0546</t>
  </si>
  <si>
    <t>52-106-住宅</t>
  </si>
  <si>
    <t>52-(106-戊类储藏)</t>
  </si>
  <si>
    <t>52--206</t>
  </si>
  <si>
    <t>0547</t>
  </si>
  <si>
    <t>52-0547</t>
  </si>
  <si>
    <t>0548</t>
  </si>
  <si>
    <t>52-0548</t>
  </si>
  <si>
    <t>52-107-住宅</t>
  </si>
  <si>
    <t>52-(107-戊类储藏)</t>
  </si>
  <si>
    <t>52--207</t>
  </si>
  <si>
    <t>0549</t>
  </si>
  <si>
    <t>52-0549</t>
  </si>
  <si>
    <t>0550</t>
  </si>
  <si>
    <t>52-0550</t>
  </si>
  <si>
    <t>52-108-住宅</t>
  </si>
  <si>
    <t>52-(108-戊类储藏)</t>
  </si>
  <si>
    <t>52--208</t>
  </si>
  <si>
    <t>0551</t>
  </si>
  <si>
    <t>52-0551</t>
  </si>
  <si>
    <t>0552</t>
  </si>
  <si>
    <t>52-0552</t>
  </si>
  <si>
    <t>53-101-住宅</t>
  </si>
  <si>
    <t>53-(101-戊类储藏)</t>
  </si>
  <si>
    <t>53--201</t>
  </si>
  <si>
    <t>0575</t>
  </si>
  <si>
    <t>53-0575</t>
  </si>
  <si>
    <t>0576</t>
  </si>
  <si>
    <t>53-0576</t>
  </si>
  <si>
    <t>53-102-住宅</t>
  </si>
  <si>
    <t>53-(102-戊类储藏)</t>
  </si>
  <si>
    <t>53--202</t>
  </si>
  <si>
    <t>53-0573</t>
  </si>
  <si>
    <t>53-0574</t>
  </si>
  <si>
    <t>53-103-住宅</t>
  </si>
  <si>
    <t>53-(103-戊类储藏)</t>
  </si>
  <si>
    <t>53--203</t>
  </si>
  <si>
    <t>571</t>
  </si>
  <si>
    <t>53-571</t>
  </si>
  <si>
    <t>572</t>
  </si>
  <si>
    <t>53-572</t>
  </si>
  <si>
    <t>53-104-住宅</t>
  </si>
  <si>
    <t>53-(104-戊类储藏)</t>
  </si>
  <si>
    <t>53--204</t>
  </si>
  <si>
    <t>0569</t>
  </si>
  <si>
    <t>53-0569</t>
  </si>
  <si>
    <t>0570</t>
  </si>
  <si>
    <t>53-0570</t>
  </si>
  <si>
    <t>53-105-住宅</t>
  </si>
  <si>
    <t>53-(105-戊类储藏)</t>
  </si>
  <si>
    <t>53--205</t>
  </si>
  <si>
    <t>0561</t>
  </si>
  <si>
    <t>53-0561</t>
  </si>
  <si>
    <t>0562</t>
  </si>
  <si>
    <t>53-0562</t>
  </si>
  <si>
    <t>53-106-住宅</t>
  </si>
  <si>
    <t>53-(106-戊类储藏)</t>
  </si>
  <si>
    <t>53--206</t>
  </si>
  <si>
    <t>0563</t>
  </si>
  <si>
    <t>53-0563</t>
  </si>
  <si>
    <t>0564</t>
  </si>
  <si>
    <t>53-0564</t>
  </si>
  <si>
    <t>53-107-住宅</t>
  </si>
  <si>
    <t>53-(107-戊类储藏)</t>
  </si>
  <si>
    <t>53--207</t>
  </si>
  <si>
    <t>565</t>
  </si>
  <si>
    <t>53-565</t>
  </si>
  <si>
    <t>566</t>
  </si>
  <si>
    <t>53-566</t>
  </si>
  <si>
    <t>53-108-住宅</t>
  </si>
  <si>
    <t>53-(108-戊类储藏)</t>
  </si>
  <si>
    <t>53--208</t>
  </si>
  <si>
    <t>0567</t>
  </si>
  <si>
    <t>53-0567</t>
  </si>
  <si>
    <t>0568</t>
  </si>
  <si>
    <t>53-0568</t>
  </si>
  <si>
    <t>54-101-住宅</t>
  </si>
  <si>
    <t>54-(101-戊类储藏)</t>
  </si>
  <si>
    <t>54--201</t>
  </si>
  <si>
    <t>0589</t>
  </si>
  <si>
    <t>54-0589</t>
  </si>
  <si>
    <t>0590</t>
  </si>
  <si>
    <t>54-0590</t>
  </si>
  <si>
    <t>54-102-住宅</t>
  </si>
  <si>
    <t>54-(102-戊类储藏)</t>
  </si>
  <si>
    <t>54--202</t>
  </si>
  <si>
    <t>0587</t>
  </si>
  <si>
    <t>54-0587</t>
  </si>
  <si>
    <t>0588</t>
  </si>
  <si>
    <t>54-0588</t>
  </si>
  <si>
    <t>54-103-住宅</t>
  </si>
  <si>
    <t>54-(103-戊类储藏)</t>
  </si>
  <si>
    <t>54--203</t>
  </si>
  <si>
    <t>0585</t>
  </si>
  <si>
    <t>54-0585</t>
  </si>
  <si>
    <t>0586</t>
  </si>
  <si>
    <t>54-0586</t>
  </si>
  <si>
    <t>54-104-住宅</t>
  </si>
  <si>
    <t>54-(104-戊类储藏)</t>
  </si>
  <si>
    <t>54--204</t>
  </si>
  <si>
    <t>0583</t>
  </si>
  <si>
    <t>54-0583</t>
  </si>
  <si>
    <t>0584</t>
  </si>
  <si>
    <t>54-0584</t>
  </si>
  <si>
    <t>54-105-住宅</t>
  </si>
  <si>
    <t>54-(105-戊类储藏)</t>
  </si>
  <si>
    <t>54--205</t>
  </si>
  <si>
    <t>0577</t>
  </si>
  <si>
    <t>54-0577</t>
  </si>
  <si>
    <t>0578</t>
  </si>
  <si>
    <t>54-0578</t>
  </si>
  <si>
    <t>54-106-住宅</t>
  </si>
  <si>
    <t>54-(106-戊类储藏)</t>
  </si>
  <si>
    <t>54--206</t>
  </si>
  <si>
    <t>579</t>
  </si>
  <si>
    <t>54-579</t>
  </si>
  <si>
    <t>580</t>
  </si>
  <si>
    <t>54-580</t>
  </si>
  <si>
    <t>54-107-住宅</t>
  </si>
  <si>
    <t>54-(107-戊类储藏)</t>
  </si>
  <si>
    <t>54--207</t>
  </si>
  <si>
    <t>0581</t>
  </si>
  <si>
    <t>54-0581</t>
  </si>
  <si>
    <t>0582</t>
  </si>
  <si>
    <t>54-0582</t>
  </si>
  <si>
    <t>55-101-住宅</t>
  </si>
  <si>
    <t>55-(101-戊类储藏)</t>
  </si>
  <si>
    <t>55--201</t>
  </si>
  <si>
    <t>0591</t>
  </si>
  <si>
    <t>55-0591</t>
  </si>
  <si>
    <t>0592</t>
  </si>
  <si>
    <t>55-0592</t>
  </si>
  <si>
    <t>55-102-住宅</t>
  </si>
  <si>
    <t>55-(102-戊类储藏)</t>
  </si>
  <si>
    <t>55--202</t>
  </si>
  <si>
    <t>0593</t>
  </si>
  <si>
    <t>55-0593</t>
  </si>
  <si>
    <t>0594</t>
  </si>
  <si>
    <t>55-0594</t>
  </si>
  <si>
    <t>55-103-住宅</t>
  </si>
  <si>
    <t>55-(103-戊类储藏)</t>
  </si>
  <si>
    <t>55--203</t>
  </si>
  <si>
    <t>0595</t>
  </si>
  <si>
    <t>55-0595</t>
  </si>
  <si>
    <t>0596</t>
  </si>
  <si>
    <t>55-0596</t>
  </si>
  <si>
    <t>55-104-住宅</t>
  </si>
  <si>
    <t>55-(104-戊类储藏)</t>
  </si>
  <si>
    <t>55--204</t>
  </si>
  <si>
    <t>0597</t>
  </si>
  <si>
    <t>55-0597</t>
  </si>
  <si>
    <t>0598</t>
  </si>
  <si>
    <t>55-0598</t>
  </si>
  <si>
    <t>56-101-住宅</t>
  </si>
  <si>
    <t>56-(101-戊类储藏)</t>
  </si>
  <si>
    <t>56--201</t>
  </si>
  <si>
    <t>0315</t>
  </si>
  <si>
    <t>56-0315</t>
  </si>
  <si>
    <t>0316</t>
  </si>
  <si>
    <t>56-0316</t>
  </si>
  <si>
    <t>56-102-住宅</t>
  </si>
  <si>
    <t>56-(102-戊类储藏)</t>
  </si>
  <si>
    <t>56--202</t>
  </si>
  <si>
    <t>56-0313</t>
  </si>
  <si>
    <t>56-0314</t>
  </si>
  <si>
    <t>56-103-住宅</t>
  </si>
  <si>
    <t>56-(103-戊类储藏)</t>
  </si>
  <si>
    <t>56--203</t>
  </si>
  <si>
    <t>0311</t>
  </si>
  <si>
    <t>56-0311</t>
  </si>
  <si>
    <t>0312</t>
  </si>
  <si>
    <t>56-0312</t>
  </si>
  <si>
    <t>56-104-住宅</t>
  </si>
  <si>
    <t>56-(104-戊类储藏)</t>
  </si>
  <si>
    <t>56--204</t>
  </si>
  <si>
    <t>0309</t>
  </si>
  <si>
    <t>56-0309</t>
  </si>
  <si>
    <t>0310</t>
  </si>
  <si>
    <t>56-0310</t>
  </si>
  <si>
    <t>56-105-住宅</t>
  </si>
  <si>
    <t>56-(105-戊类储藏)</t>
  </si>
  <si>
    <t>56--205</t>
  </si>
  <si>
    <t>0329</t>
  </si>
  <si>
    <t>56-0329</t>
  </si>
  <si>
    <t>0330</t>
  </si>
  <si>
    <t>56-0330</t>
  </si>
  <si>
    <t>56-106-住宅</t>
  </si>
  <si>
    <t>56-(106-戊类储藏)</t>
  </si>
  <si>
    <t>56--206</t>
  </si>
  <si>
    <t>0331</t>
  </si>
  <si>
    <t>56-0331</t>
  </si>
  <si>
    <t>0332</t>
  </si>
  <si>
    <t>56-0332</t>
  </si>
  <si>
    <t>56-107-住宅</t>
  </si>
  <si>
    <t>56-(107-戊类储藏)</t>
  </si>
  <si>
    <t>56--207</t>
  </si>
  <si>
    <t>333</t>
  </si>
  <si>
    <t>56-333</t>
  </si>
  <si>
    <t>334</t>
  </si>
  <si>
    <t>56-334</t>
  </si>
  <si>
    <t>56-108-住宅</t>
  </si>
  <si>
    <t>56-(108-戊类储藏)</t>
  </si>
  <si>
    <t>56--208</t>
  </si>
  <si>
    <t>0335</t>
  </si>
  <si>
    <t>56-0335</t>
  </si>
  <si>
    <t>0336</t>
  </si>
  <si>
    <t>56-0336</t>
  </si>
  <si>
    <t>57-101-住宅</t>
  </si>
  <si>
    <t>57-(101-戊类储藏)</t>
  </si>
  <si>
    <t>57--201</t>
  </si>
  <si>
    <t>0603</t>
  </si>
  <si>
    <t>57-0603</t>
  </si>
  <si>
    <t>0604</t>
  </si>
  <si>
    <t>57-0604</t>
  </si>
  <si>
    <t>57-102-住宅</t>
  </si>
  <si>
    <t>57-(102-戊类储藏)</t>
  </si>
  <si>
    <t>57--202</t>
  </si>
  <si>
    <t>0605</t>
  </si>
  <si>
    <t>57-0605</t>
  </si>
  <si>
    <t>0606</t>
  </si>
  <si>
    <t>57-0606</t>
  </si>
  <si>
    <t>57-103-住宅</t>
  </si>
  <si>
    <t>57-(103-戊类储藏)</t>
  </si>
  <si>
    <t>57--203</t>
  </si>
  <si>
    <t>0601</t>
  </si>
  <si>
    <t>57-0601</t>
  </si>
  <si>
    <t>0602</t>
  </si>
  <si>
    <t>57-0602</t>
  </si>
  <si>
    <t>57-104-住宅</t>
  </si>
  <si>
    <t>57-(104-戊类储藏)</t>
  </si>
  <si>
    <t>57--204</t>
  </si>
  <si>
    <t>0599</t>
  </si>
  <si>
    <t>57-0599</t>
  </si>
  <si>
    <t>0600</t>
  </si>
  <si>
    <t>57-0600</t>
  </si>
  <si>
    <t>58-102-住宅</t>
  </si>
  <si>
    <t>58-(102-戊类储藏)</t>
  </si>
  <si>
    <t>58--202</t>
  </si>
  <si>
    <t>0609</t>
  </si>
  <si>
    <t>58-0609</t>
  </si>
  <si>
    <t>0610</t>
  </si>
  <si>
    <t>58-0610</t>
  </si>
  <si>
    <t>58-103-住宅</t>
  </si>
  <si>
    <t>58-(103-戊类储藏)</t>
  </si>
  <si>
    <t>58--203</t>
  </si>
  <si>
    <t>0607</t>
  </si>
  <si>
    <t>58-0607</t>
  </si>
  <si>
    <t>0608</t>
  </si>
  <si>
    <t>58-0608</t>
  </si>
  <si>
    <t>0517</t>
  </si>
  <si>
    <t>0518</t>
  </si>
  <si>
    <t>装配式建筑</t>
  </si>
  <si>
    <t>P-2#</t>
  </si>
  <si>
    <r>
      <t>3</t>
    </r>
    <r>
      <rPr>
        <sz val="10"/>
        <color theme="1"/>
        <rFont val="华文细黑"/>
        <family val="3"/>
        <charset val="134"/>
      </rPr>
      <t>1地块</t>
    </r>
  </si>
  <si>
    <t>地下库房</t>
  </si>
  <si>
    <t>建字第110113201800094号</t>
  </si>
  <si>
    <t>预测报告</t>
  </si>
  <si>
    <t>工程进度</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</si>
  <si>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</si>
  <si>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</si>
  <si>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</si>
  <si>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</si>
  <si>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</si>
  <si>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</si>
  <si>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</si>
  <si>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</si>
  <si>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</si>
  <si>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</si>
  <si>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</si>
  <si>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</si>
  <si>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</si>
  <si>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</si>
  <si>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</si>
  <si>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</si>
  <si>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</si>
  <si>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</si>
  <si>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</si>
  <si>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</si>
  <si>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</si>
  <si>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</si>
  <si>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</si>
  <si>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</si>
  <si>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</si>
  <si>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</si>
  <si>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</si>
  <si>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</si>
  <si>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</si>
  <si>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</si>
  <si>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</si>
  <si>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</si>
  <si>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</si>
  <si>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</si>
  <si>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</si>
  <si>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</si>
  <si>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</si>
  <si>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</si>
  <si>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</si>
  <si>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</si>
  <si>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</si>
  <si>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</si>
  <si>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</si>
  <si>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</si>
  <si>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</si>
  <si>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</si>
  <si>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</si>
  <si>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</si>
  <si>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</si>
  <si>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</si>
  <si>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</si>
  <si>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</si>
  <si>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</si>
  <si>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</si>
  <si>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</si>
  <si>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</si>
  <si>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</si>
  <si>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</si>
  <si>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</si>
  <si>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2#地下车库</t>
  </si>
  <si>
    <t>2-60#</t>
  </si>
  <si>
    <t>2-61#</t>
  </si>
  <si>
    <t>1-58号楼</t>
  </si>
  <si>
    <t>59-61号楼</t>
  </si>
  <si>
    <t>单价</t>
  </si>
  <si>
    <r>
      <t>2#</t>
    </r>
    <r>
      <rPr>
        <sz val="10"/>
        <color rgb="FF000000"/>
        <rFont val="华文细黑"/>
        <family val="3"/>
        <charset val="134"/>
      </rPr>
      <t>地下车库</t>
    </r>
  </si>
  <si>
    <r>
      <t>031</t>
    </r>
    <r>
      <rPr>
        <b/>
        <sz val="10"/>
        <color rgb="FF000000"/>
        <rFont val="华文细黑"/>
        <family val="3"/>
        <charset val="134"/>
      </rPr>
      <t>号地块</t>
    </r>
  </si>
  <si>
    <t>类别</t>
  </si>
  <si>
    <t>项目类型</t>
  </si>
  <si>
    <t>规划建筑面积</t>
  </si>
  <si>
    <t>本次可抵押在建建筑物建筑面积</t>
  </si>
  <si>
    <t>经营性</t>
  </si>
  <si>
    <t>低密度住宅</t>
  </si>
  <si>
    <t>多层住宅</t>
  </si>
  <si>
    <t>多层住宅地下库房</t>
  </si>
  <si>
    <t>低密度地下库房</t>
  </si>
  <si>
    <r>
      <t>031</t>
    </r>
    <r>
      <rPr>
        <sz val="10"/>
        <color rgb="FF000000"/>
        <rFont val="华文细黑"/>
        <family val="3"/>
        <charset val="134"/>
      </rPr>
      <t>号地块经营性用房小计</t>
    </r>
  </si>
  <si>
    <t>非经营性</t>
  </si>
  <si>
    <t>设备及其他</t>
  </si>
  <si>
    <t>公共配套及物业（住宅）</t>
  </si>
  <si>
    <r>
      <t>031</t>
    </r>
    <r>
      <rPr>
        <sz val="10"/>
        <color rgb="FF000000"/>
        <rFont val="华文细黑"/>
        <family val="3"/>
        <charset val="134"/>
      </rPr>
      <t>号地块非经营性用房小计</t>
    </r>
  </si>
  <si>
    <r>
      <t>031</t>
    </r>
    <r>
      <rPr>
        <b/>
        <sz val="10"/>
        <color rgb="FF000000"/>
        <rFont val="华文细黑"/>
        <family val="3"/>
        <charset val="134"/>
      </rPr>
      <t>号地块总计</t>
    </r>
  </si>
  <si>
    <r>
      <t>021</t>
    </r>
    <r>
      <rPr>
        <b/>
        <sz val="10"/>
        <color rgb="FF000000"/>
        <rFont val="华文细黑"/>
        <family val="3"/>
        <charset val="134"/>
      </rPr>
      <t>号地块</t>
    </r>
  </si>
  <si>
    <r>
      <t>021</t>
    </r>
    <r>
      <rPr>
        <sz val="10"/>
        <color rgb="FF000000"/>
        <rFont val="华文细黑"/>
        <family val="3"/>
        <charset val="134"/>
      </rPr>
      <t>号地块经营性用房小计</t>
    </r>
  </si>
  <si>
    <r>
      <t>021</t>
    </r>
    <r>
      <rPr>
        <sz val="10"/>
        <color rgb="FF000000"/>
        <rFont val="华文细黑"/>
        <family val="3"/>
        <charset val="134"/>
      </rPr>
      <t>号地块非经营性用房小计</t>
    </r>
  </si>
  <si>
    <r>
      <t>021</t>
    </r>
    <r>
      <rPr>
        <b/>
        <sz val="10"/>
        <color rgb="FF000000"/>
        <rFont val="华文细黑"/>
        <family val="3"/>
        <charset val="134"/>
      </rPr>
      <t>号地块总计</t>
    </r>
  </si>
  <si>
    <t>估价对象总计</t>
  </si>
  <si>
    <t>项目名称</t>
  </si>
  <si>
    <t>规划建筑面积（不含人防）</t>
  </si>
  <si>
    <t>分摊土地面积（不含人防）</t>
  </si>
  <si>
    <t>出让国有建设用地使用权价值</t>
  </si>
  <si>
    <t>在建建筑物价值</t>
  </si>
  <si>
    <t>房地产价值</t>
  </si>
  <si>
    <t>（不含人防）</t>
  </si>
  <si>
    <t>楼面单价</t>
  </si>
  <si>
    <r>
      <t>总</t>
    </r>
    <r>
      <rPr>
        <sz val="10"/>
        <color theme="1"/>
        <rFont val="华文细黑"/>
        <family val="3"/>
        <charset val="134"/>
      </rPr>
      <t xml:space="preserve"> </t>
    </r>
    <r>
      <rPr>
        <sz val="10"/>
        <color theme="1"/>
        <rFont val="华文细黑"/>
        <family val="3"/>
        <charset val="134"/>
      </rPr>
      <t>价</t>
    </r>
  </si>
  <si>
    <r>
      <t>北京市顺义区高丽营镇于庄</t>
    </r>
    <r>
      <rPr>
        <sz val="10"/>
        <color theme="1"/>
        <rFont val="华文细黑"/>
        <family val="3"/>
        <charset val="134"/>
      </rPr>
      <t>03-31</t>
    </r>
    <r>
      <rPr>
        <sz val="10"/>
        <color theme="1"/>
        <rFont val="华文细黑"/>
        <family val="3"/>
        <charset val="134"/>
      </rPr>
      <t>号地块“观承文园”项目（部分）出让国有建设用地使用权及在建建筑物房地产</t>
    </r>
  </si>
  <si>
    <r>
      <t>北京市顺义区高丽营镇于庄</t>
    </r>
    <r>
      <rPr>
        <sz val="10"/>
        <color theme="1"/>
        <rFont val="华文细黑"/>
        <family val="3"/>
        <charset val="134"/>
      </rPr>
      <t>03-21</t>
    </r>
    <r>
      <rPr>
        <sz val="10"/>
        <color theme="1"/>
        <rFont val="华文细黑"/>
        <family val="3"/>
        <charset val="134"/>
      </rPr>
      <t>号地块</t>
    </r>
    <r>
      <rPr>
        <sz val="10"/>
        <color theme="1"/>
        <rFont val="华文细黑"/>
        <family val="3"/>
        <charset val="134"/>
      </rPr>
      <t>1</t>
    </r>
    <r>
      <rPr>
        <sz val="10"/>
        <color theme="1"/>
        <rFont val="华文细黑"/>
        <family val="3"/>
        <charset val="134"/>
      </rPr>
      <t>宗住宅、地下仓储、地下车库出让国有建设用地使用权</t>
    </r>
  </si>
  <si>
    <t>大写金额</t>
  </si>
  <si>
    <t>估价师知悉的法定优先受偿款</t>
  </si>
  <si>
    <t>零元整</t>
  </si>
  <si>
    <t>柒拾玖亿零玖佰玖拾贰万元整</t>
  </si>
  <si>
    <t>自持住宅</t>
    <phoneticPr fontId="8" type="noConversion"/>
  </si>
  <si>
    <t>收益法</t>
  </si>
  <si>
    <t>在建（套用方法）</t>
  </si>
  <si>
    <t>押一</t>
  </si>
  <si>
    <t>按租金收入计税</t>
  </si>
  <si>
    <t>钢混</t>
  </si>
  <si>
    <t>非生产用房</t>
  </si>
  <si>
    <t>在建</t>
  </si>
  <si>
    <t>假设开发法</t>
  </si>
  <si>
    <t>未封顶</t>
    <phoneticPr fontId="141" type="noConversion"/>
  </si>
  <si>
    <t>全部规划建筑面积</t>
    <phoneticPr fontId="141" type="noConversion"/>
  </si>
  <si>
    <t>已封顶住宅、仓储</t>
    <phoneticPr fontId="141" type="noConversion"/>
  </si>
  <si>
    <t>吴薇</t>
  </si>
  <si>
    <t>郑燚</t>
  </si>
  <si>
    <t>自定义</t>
  </si>
  <si>
    <t>自持住宅</t>
    <phoneticPr fontId="17" type="noConversion"/>
  </si>
  <si>
    <t>合院</t>
  </si>
  <si>
    <t>合院</t>
    <phoneticPr fontId="17" type="noConversion"/>
  </si>
  <si>
    <t>洋房</t>
    <phoneticPr fontId="8" type="noConversion"/>
  </si>
  <si>
    <t>地下仓储（配套）</t>
  </si>
  <si>
    <t>地下仓储（配套）</t>
    <phoneticPr fontId="8" type="noConversion"/>
  </si>
  <si>
    <t>地下仓储（洋房配套）</t>
  </si>
  <si>
    <t>地下仓储（洋房配套）</t>
    <phoneticPr fontId="8" type="noConversion"/>
  </si>
  <si>
    <t>序号</t>
    <phoneticPr fontId="141" type="noConversion"/>
  </si>
  <si>
    <t>楼号</t>
    <phoneticPr fontId="141" type="noConversion"/>
  </si>
  <si>
    <t>房号</t>
    <phoneticPr fontId="141" type="noConversion"/>
  </si>
  <si>
    <t>预测规划建筑面积</t>
  </si>
  <si>
    <t>本次抵押规划建筑面积</t>
  </si>
  <si>
    <t>分摊土地面积</t>
    <phoneticPr fontId="141" type="noConversion"/>
  </si>
  <si>
    <t>自持住宅</t>
    <phoneticPr fontId="141" type="noConversion"/>
  </si>
  <si>
    <t>1单元201</t>
  </si>
  <si>
    <t>1单元202</t>
  </si>
  <si>
    <t>1单元301</t>
  </si>
  <si>
    <t>1单元302</t>
  </si>
  <si>
    <t>1单元401</t>
  </si>
  <si>
    <t>1单元402</t>
  </si>
  <si>
    <t>1单元501</t>
  </si>
  <si>
    <t>1单元502</t>
  </si>
  <si>
    <t>1单元601</t>
  </si>
  <si>
    <t>1单元602</t>
  </si>
  <si>
    <t>1单元701</t>
  </si>
  <si>
    <t>1单元702</t>
  </si>
  <si>
    <t>1单元801</t>
  </si>
  <si>
    <t>1单元802</t>
  </si>
  <si>
    <t>2单元201</t>
  </si>
  <si>
    <t>2单元202</t>
  </si>
  <si>
    <t>2单元301</t>
  </si>
  <si>
    <t>2单元302</t>
  </si>
  <si>
    <t>2单元401</t>
  </si>
  <si>
    <t>2单元402</t>
  </si>
  <si>
    <t>2单元501</t>
  </si>
  <si>
    <t>2单元502</t>
  </si>
  <si>
    <t>2单元601</t>
  </si>
  <si>
    <t>2单元602</t>
  </si>
  <si>
    <t>2单元701</t>
  </si>
  <si>
    <t>2单元702</t>
  </si>
  <si>
    <t>2单元801</t>
  </si>
  <si>
    <t>2单元802</t>
  </si>
  <si>
    <t>3单元201</t>
  </si>
  <si>
    <t>3单元202</t>
  </si>
  <si>
    <t>3单元301</t>
  </si>
  <si>
    <t>3单元302</t>
  </si>
  <si>
    <t>3单元401</t>
  </si>
  <si>
    <t>3单元402</t>
  </si>
  <si>
    <t>3单元501</t>
  </si>
  <si>
    <t>3单元502</t>
  </si>
  <si>
    <t>3单元601</t>
  </si>
  <si>
    <t>3单元602</t>
  </si>
  <si>
    <t>3单元701</t>
  </si>
  <si>
    <t>3单元702</t>
  </si>
  <si>
    <t>3单元801</t>
  </si>
  <si>
    <t>3单元802</t>
  </si>
  <si>
    <t>4单元201</t>
  </si>
  <si>
    <t>4单元202</t>
  </si>
  <si>
    <t>4单元301</t>
  </si>
  <si>
    <t>4单元302</t>
  </si>
  <si>
    <t>4单元401</t>
  </si>
  <si>
    <t>4单元402</t>
  </si>
  <si>
    <t>4单元501</t>
  </si>
  <si>
    <t>4单元502</t>
  </si>
  <si>
    <t>4单元601</t>
  </si>
  <si>
    <t>4单元602</t>
  </si>
  <si>
    <t>4单元701</t>
  </si>
  <si>
    <t>4单元702</t>
  </si>
  <si>
    <t>4单元801</t>
  </si>
  <si>
    <t>4单元802</t>
  </si>
  <si>
    <t>可售住宅</t>
    <phoneticPr fontId="141" type="noConversion"/>
  </si>
  <si>
    <t>独立仓储未办预售证</t>
    <phoneticPr fontId="141" type="noConversion"/>
  </si>
  <si>
    <t>地下仓储（独立）</t>
  </si>
  <si>
    <t>地下仓储（独立）</t>
    <phoneticPr fontId="8" type="noConversion"/>
  </si>
  <si>
    <t>收益法（地下仓储）</t>
  </si>
  <si>
    <t>收益法（地下仓储）</t>
    <phoneticPr fontId="17" type="noConversion"/>
  </si>
  <si>
    <t>独立仓储</t>
    <phoneticPr fontId="141" type="noConversion"/>
  </si>
  <si>
    <t>13-101-住宅</t>
  </si>
  <si>
    <t>13-(101-戊类储藏)</t>
  </si>
  <si>
    <t>13--201</t>
  </si>
  <si>
    <t>157</t>
  </si>
  <si>
    <t>13-157</t>
  </si>
  <si>
    <t>158</t>
  </si>
  <si>
    <t>13-158</t>
  </si>
  <si>
    <t>36-106-住宅</t>
  </si>
  <si>
    <t>36-(106-戊类储藏)</t>
  </si>
  <si>
    <t>36--206</t>
  </si>
  <si>
    <t>0365</t>
  </si>
  <si>
    <t>36-0365</t>
  </si>
  <si>
    <t>0366</t>
  </si>
  <si>
    <t>36-0366</t>
  </si>
  <si>
    <t>下跃</t>
    <phoneticPr fontId="141" type="noConversion"/>
  </si>
  <si>
    <t>储藏间</t>
    <phoneticPr fontId="141" type="noConversion"/>
  </si>
  <si>
    <t>2018-3</t>
    <phoneticPr fontId="32" type="noConversion"/>
  </si>
  <si>
    <t>B3层底板施工，正在进行B3层主体结构施工</t>
    <phoneticPr fontId="141" type="noConversion"/>
  </si>
  <si>
    <t>B3层梁板施工完成，正在进行B2层主体结构施工</t>
    <phoneticPr fontId="141" type="noConversion"/>
  </si>
  <si>
    <t>B2层主体基本已完成、正在进行B2层梁板施工</t>
    <phoneticPr fontId="141" type="noConversion"/>
  </si>
  <si>
    <t>B1层主体基本已完成、正在进行B1层梁板施工</t>
    <phoneticPr fontId="141" type="noConversion"/>
  </si>
  <si>
    <t>1层梁板施工完成，正在进行2层主体结构施工</t>
    <phoneticPr fontId="141" type="noConversion"/>
  </si>
  <si>
    <t>1层主体施工基本完成，正在进行1层梁板结构施工</t>
    <phoneticPr fontId="141" type="noConversion"/>
  </si>
  <si>
    <t>面积共4层，单层修正12.5%</t>
    <phoneticPr fontId="141" type="noConversion"/>
  </si>
  <si>
    <t>已完工规划建筑面积</t>
  </si>
  <si>
    <t>地下楼层</t>
    <phoneticPr fontId="141" type="noConversion"/>
  </si>
  <si>
    <t>总规划建筑面积</t>
    <phoneticPr fontId="141" type="noConversion"/>
  </si>
  <si>
    <t>2-1#</t>
    <phoneticPr fontId="141" type="noConversion"/>
  </si>
  <si>
    <t>序号</t>
    <phoneticPr fontId="141" type="noConversion"/>
  </si>
  <si>
    <t>主体结构已封顶，正在进行二次结构施工及外立面施工</t>
  </si>
  <si>
    <t>主体结构已封顶，正在进行二次结构施工及外立面施工</t>
    <phoneticPr fontId="141" type="noConversion"/>
  </si>
  <si>
    <t>B3层主体结构已施工完成</t>
    <phoneticPr fontId="141" type="noConversion"/>
  </si>
  <si>
    <t>综合工程形象进度</t>
    <phoneticPr fontId="141" type="noConversion"/>
  </si>
  <si>
    <t xml:space="preserve">地上楼层 </t>
    <phoneticPr fontId="141" type="noConversion"/>
  </si>
  <si>
    <t>地下车库</t>
    <phoneticPr fontId="141" type="noConversion"/>
  </si>
  <si>
    <t>合计</t>
    <phoneticPr fontId="141" type="noConversion"/>
  </si>
  <si>
    <t>——</t>
    <phoneticPr fontId="141" type="noConversion"/>
  </si>
  <si>
    <t>498个，42万一个</t>
    <phoneticPr fontId="141" type="noConversion"/>
  </si>
  <si>
    <t>序号</t>
  </si>
  <si>
    <t>实测楼号</t>
  </si>
  <si>
    <t>实测面积</t>
  </si>
  <si>
    <t>对应预测楼号</t>
  </si>
  <si>
    <t>二区1号楼</t>
  </si>
  <si>
    <t>二区2号楼</t>
  </si>
  <si>
    <t>二区3号楼</t>
  </si>
  <si>
    <t>二区4号楼</t>
  </si>
  <si>
    <t>二区5号楼</t>
  </si>
  <si>
    <t>二区6号楼</t>
    <phoneticPr fontId="141" type="noConversion"/>
  </si>
  <si>
    <t>二区7号楼</t>
  </si>
  <si>
    <t>二区8号楼</t>
  </si>
  <si>
    <t>二区9号楼</t>
  </si>
  <si>
    <t>二区10号楼</t>
  </si>
  <si>
    <t>产证面积</t>
  </si>
  <si>
    <t>未售</t>
    <phoneticPr fontId="141" type="noConversion"/>
  </si>
  <si>
    <t>已售</t>
    <phoneticPr fontId="141" type="noConversion"/>
  </si>
  <si>
    <t>三区1号楼</t>
  </si>
  <si>
    <t>三区2号楼</t>
  </si>
  <si>
    <t>三区3号楼</t>
  </si>
  <si>
    <t>三区4号楼</t>
  </si>
  <si>
    <t>三区5号楼</t>
  </si>
  <si>
    <t>三区6号楼</t>
  </si>
  <si>
    <t>三区7号楼</t>
  </si>
  <si>
    <t>三区8号楼</t>
  </si>
  <si>
    <t>三区9号楼</t>
  </si>
  <si>
    <t>三区10号楼</t>
  </si>
  <si>
    <t>三区11号楼</t>
  </si>
  <si>
    <t>三区12号楼</t>
  </si>
  <si>
    <t>三区13号楼</t>
  </si>
  <si>
    <t>三区14号楼</t>
  </si>
  <si>
    <t>三区15号楼</t>
  </si>
  <si>
    <t>三区16号楼</t>
  </si>
  <si>
    <t>三区17号楼</t>
  </si>
  <si>
    <t>三区18号楼</t>
  </si>
  <si>
    <t>三区19号楼</t>
  </si>
  <si>
    <t>三区20号楼</t>
  </si>
  <si>
    <t>三区21号楼</t>
  </si>
  <si>
    <t>三区22号楼</t>
  </si>
  <si>
    <t>三区23号楼</t>
  </si>
  <si>
    <t>三区24号楼</t>
  </si>
  <si>
    <t>四区1号楼</t>
  </si>
  <si>
    <t>四区2号楼</t>
  </si>
  <si>
    <t>四区3号楼</t>
  </si>
  <si>
    <t>四区4号楼</t>
  </si>
  <si>
    <t>四区5号楼</t>
  </si>
  <si>
    <t>四区6号楼</t>
  </si>
  <si>
    <t>四区7号楼</t>
  </si>
  <si>
    <t>四区8号楼</t>
  </si>
  <si>
    <t>四区9号楼</t>
  </si>
  <si>
    <t>四区10号楼</t>
  </si>
  <si>
    <t>四区11号楼</t>
  </si>
  <si>
    <t>四区12号楼</t>
  </si>
  <si>
    <t>四区13号楼</t>
  </si>
  <si>
    <t>四区14号楼</t>
  </si>
  <si>
    <t>四区15号楼</t>
  </si>
  <si>
    <t>四区16号楼</t>
  </si>
  <si>
    <t>四区17号楼</t>
  </si>
  <si>
    <t>四区18号楼</t>
  </si>
  <si>
    <t>四区19号楼</t>
  </si>
  <si>
    <t>四区20号楼</t>
  </si>
  <si>
    <t>四区21号楼</t>
  </si>
  <si>
    <t>四区22号楼</t>
  </si>
  <si>
    <t>四区23号楼</t>
  </si>
  <si>
    <t>四区24号楼</t>
  </si>
  <si>
    <t>未售面积</t>
    <phoneticPr fontId="141" type="noConversion"/>
  </si>
  <si>
    <t>五区1号楼--开闭站</t>
  </si>
  <si>
    <t>五区2号楼</t>
  </si>
  <si>
    <t>五区3号楼</t>
  </si>
  <si>
    <t>五区4号楼</t>
  </si>
  <si>
    <t>五区5号楼</t>
  </si>
  <si>
    <t>五区6号楼</t>
  </si>
  <si>
    <t>五区7号楼</t>
  </si>
  <si>
    <t>五区8号楼</t>
  </si>
  <si>
    <t>五区9号楼</t>
  </si>
  <si>
    <t>五区10号楼</t>
  </si>
  <si>
    <t>五区11号楼</t>
  </si>
  <si>
    <t>五区12号楼</t>
  </si>
  <si>
    <t>五区13号楼</t>
  </si>
  <si>
    <t>五区14号楼</t>
  </si>
  <si>
    <t>五区15号楼</t>
  </si>
  <si>
    <t>五区16号楼</t>
  </si>
  <si>
    <t>五区17号楼</t>
  </si>
  <si>
    <t>五区18号楼</t>
  </si>
  <si>
    <t>五区19号楼</t>
  </si>
  <si>
    <t>五区20号楼</t>
  </si>
  <si>
    <t>五区21号楼</t>
  </si>
  <si>
    <t>五区22号楼</t>
  </si>
  <si>
    <t>五区23号楼</t>
  </si>
  <si>
    <t>五区24号楼</t>
  </si>
  <si>
    <t>五区25号楼</t>
  </si>
  <si>
    <t>五区26号楼</t>
  </si>
  <si>
    <t>住宅</t>
    <phoneticPr fontId="141" type="noConversion"/>
  </si>
  <si>
    <t>仓储</t>
    <phoneticPr fontId="141" type="noConversion"/>
  </si>
  <si>
    <t>户数</t>
    <phoneticPr fontId="267" type="noConversion"/>
  </si>
  <si>
    <t>单元</t>
    <phoneticPr fontId="141" type="noConversion"/>
  </si>
  <si>
    <t>房号</t>
    <phoneticPr fontId="267" type="noConversion"/>
  </si>
  <si>
    <t>普通住宅</t>
    <phoneticPr fontId="267" type="noConversion"/>
  </si>
  <si>
    <t>仓储</t>
    <phoneticPr fontId="267" type="noConversion"/>
  </si>
  <si>
    <t>商业</t>
    <phoneticPr fontId="267" type="noConversion"/>
  </si>
  <si>
    <t>地上公配</t>
    <phoneticPr fontId="141" type="noConversion"/>
  </si>
  <si>
    <t>地下公配</t>
    <phoneticPr fontId="141" type="noConversion"/>
  </si>
  <si>
    <t>地上设备</t>
    <phoneticPr fontId="141" type="noConversion"/>
  </si>
  <si>
    <t>地下设备</t>
    <phoneticPr fontId="141" type="noConversion"/>
  </si>
  <si>
    <t>合计</t>
    <phoneticPr fontId="267" type="noConversion"/>
  </si>
  <si>
    <r>
      <t>1-</t>
    </r>
    <r>
      <rPr>
        <sz val="11"/>
        <color theme="1"/>
        <rFont val="宋体"/>
        <family val="3"/>
        <charset val="134"/>
        <scheme val="minor"/>
      </rPr>
      <t>84</t>
    </r>
    <phoneticPr fontId="141" type="noConversion"/>
  </si>
  <si>
    <t>1单元</t>
    <phoneticPr fontId="141" type="noConversion"/>
  </si>
  <si>
    <t>本楼1单元201-801、202-802、2单元201-801、202-802、3单元201-801、202-802为自持住宅</t>
    <phoneticPr fontId="141" type="noConversion"/>
  </si>
  <si>
    <t>1单元</t>
  </si>
  <si>
    <t>2单元</t>
    <phoneticPr fontId="141" type="noConversion"/>
  </si>
  <si>
    <t>2单元</t>
  </si>
  <si>
    <t>3单元</t>
    <phoneticPr fontId="141" type="noConversion"/>
  </si>
  <si>
    <t>3单元</t>
  </si>
  <si>
    <t>地下仓储</t>
    <phoneticPr fontId="141" type="noConversion"/>
  </si>
  <si>
    <t>其他</t>
    <phoneticPr fontId="141" type="noConversion"/>
  </si>
  <si>
    <t>84号楼小计</t>
    <phoneticPr fontId="141" type="noConversion"/>
  </si>
  <si>
    <r>
      <t>1</t>
    </r>
    <r>
      <rPr>
        <sz val="11"/>
        <color theme="1"/>
        <rFont val="宋体"/>
        <family val="3"/>
        <charset val="134"/>
        <scheme val="minor"/>
      </rPr>
      <t>01</t>
    </r>
    <phoneticPr fontId="141" type="noConversion"/>
  </si>
  <si>
    <r>
      <t>1</t>
    </r>
    <r>
      <rPr>
        <sz val="11"/>
        <color theme="1"/>
        <rFont val="宋体"/>
        <family val="3"/>
        <charset val="134"/>
        <scheme val="minor"/>
      </rPr>
      <t>02</t>
    </r>
    <phoneticPr fontId="141" type="noConversion"/>
  </si>
  <si>
    <t>86号楼小计</t>
    <phoneticPr fontId="141" type="noConversion"/>
  </si>
  <si>
    <t>本楼1单元201-801、202-802、2单元101-801、102-802为自持住宅</t>
    <phoneticPr fontId="141" type="noConversion"/>
  </si>
  <si>
    <t>87号楼小计</t>
    <phoneticPr fontId="141" type="noConversion"/>
  </si>
  <si>
    <t>88号楼小计</t>
    <phoneticPr fontId="141" type="noConversion"/>
  </si>
  <si>
    <r>
      <t>本楼1单元</t>
    </r>
    <r>
      <rPr>
        <sz val="11"/>
        <color theme="1"/>
        <rFont val="宋体"/>
        <family val="3"/>
        <charset val="134"/>
        <scheme val="minor"/>
      </rPr>
      <t>601-701、602-702、2单元601-701、502-702为自持住宅</t>
    </r>
    <phoneticPr fontId="141" type="noConversion"/>
  </si>
  <si>
    <t>89号楼小计</t>
    <phoneticPr fontId="141" type="noConversion"/>
  </si>
  <si>
    <t>90号楼小计</t>
    <phoneticPr fontId="141" type="noConversion"/>
  </si>
  <si>
    <t>本楼1单元201-701、202-702、2单元201-701、202-702为自持住宅</t>
    <phoneticPr fontId="141" type="noConversion"/>
  </si>
  <si>
    <t>91号楼小计</t>
    <phoneticPr fontId="141" type="noConversion"/>
  </si>
  <si>
    <t>总规划建筑面积</t>
  </si>
  <si>
    <t>地上规划建筑面积</t>
  </si>
  <si>
    <t>地下规划建筑面积</t>
  </si>
  <si>
    <t>配套用房及设备</t>
  </si>
  <si>
    <t>仓储用房</t>
  </si>
  <si>
    <t>地下车库用房</t>
  </si>
  <si>
    <t>地下商业</t>
  </si>
  <si>
    <t>配套用房及其他</t>
  </si>
  <si>
    <r>
      <t>8</t>
    </r>
    <r>
      <rPr>
        <sz val="11"/>
        <color theme="1"/>
        <rFont val="宋体"/>
        <family val="3"/>
        <charset val="134"/>
        <scheme val="minor"/>
      </rPr>
      <t>40</t>
    </r>
    <phoneticPr fontId="141" type="noConversion"/>
  </si>
  <si>
    <t>车位个数</t>
    <phoneticPr fontId="141" type="noConversion"/>
  </si>
  <si>
    <t>单套</t>
    <phoneticPr fontId="141" type="noConversion"/>
  </si>
  <si>
    <t>底商</t>
  </si>
  <si>
    <t>商业</t>
    <phoneticPr fontId="8" type="noConversion"/>
  </si>
  <si>
    <r>
      <t>1</t>
    </r>
    <r>
      <rPr>
        <sz val="11"/>
        <color theme="1"/>
        <rFont val="宋体"/>
        <family val="3"/>
        <charset val="134"/>
        <scheme val="minor"/>
      </rPr>
      <t>-83号楼</t>
    </r>
    <phoneticPr fontId="141" type="noConversion"/>
  </si>
  <si>
    <r>
      <t>8</t>
    </r>
    <r>
      <rPr>
        <sz val="11"/>
        <color theme="1"/>
        <rFont val="宋体"/>
        <family val="3"/>
        <charset val="134"/>
        <scheme val="minor"/>
      </rPr>
      <t>4-91号楼</t>
    </r>
    <phoneticPr fontId="141" type="noConversion"/>
  </si>
  <si>
    <t>地下车位</t>
    <phoneticPr fontId="141" type="noConversion"/>
  </si>
  <si>
    <t>工程进度</t>
    <phoneticPr fontId="141" type="noConversion"/>
  </si>
  <si>
    <t>建筑物</t>
    <phoneticPr fontId="141" type="noConversion"/>
  </si>
  <si>
    <t>楼号及位置</t>
    <phoneticPr fontId="141" type="noConversion"/>
  </si>
  <si>
    <t>2018-4</t>
    <phoneticPr fontId="32" type="noConversion"/>
  </si>
  <si>
    <t>2018-2</t>
    <phoneticPr fontId="32" type="noConversion"/>
  </si>
  <si>
    <t>收益法（商业）</t>
  </si>
  <si>
    <t>收益法（商业）</t>
    <phoneticPr fontId="17" type="noConversion"/>
  </si>
  <si>
    <t>——</t>
    <phoneticPr fontId="141" type="noConversion"/>
  </si>
  <si>
    <t>项目近一年均价</t>
    <phoneticPr fontId="141" type="noConversion"/>
  </si>
  <si>
    <t>项目均价</t>
    <phoneticPr fontId="141" type="noConversion"/>
  </si>
  <si>
    <t>均价</t>
    <phoneticPr fontId="141" type="noConversion"/>
  </si>
  <si>
    <t>近一年</t>
    <phoneticPr fontId="141" type="noConversion"/>
  </si>
  <si>
    <t>近期</t>
    <phoneticPr fontId="141" type="noConversion"/>
  </si>
  <si>
    <t>公园十七区</t>
    <phoneticPr fontId="141" type="noConversion"/>
  </si>
  <si>
    <t>祥云赋</t>
    <phoneticPr fontId="141" type="noConversion"/>
  </si>
  <si>
    <t>低密度（合院）住宅</t>
    <phoneticPr fontId="141" type="noConversion"/>
  </si>
  <si>
    <t>洋房（下跃）住宅</t>
    <phoneticPr fontId="141" type="noConversion"/>
  </si>
  <si>
    <t>配套地下仓储（洋房下跃）</t>
    <phoneticPr fontId="141" type="noConversion"/>
  </si>
  <si>
    <t>配套地下仓储（低密度住宅）</t>
    <phoneticPr fontId="141" type="noConversion"/>
  </si>
  <si>
    <t>独立地下仓储</t>
    <phoneticPr fontId="141" type="noConversion"/>
  </si>
  <si>
    <t>规划建筑面积</t>
    <phoneticPr fontId="141" type="noConversion"/>
  </si>
  <si>
    <r>
      <t>03-31</t>
    </r>
    <r>
      <rPr>
        <b/>
        <sz val="10"/>
        <color indexed="8"/>
        <rFont val="宋体"/>
        <family val="3"/>
        <charset val="134"/>
      </rPr>
      <t>地块经营性小计</t>
    </r>
    <phoneticPr fontId="141" type="noConversion"/>
  </si>
  <si>
    <r>
      <t>03-31</t>
    </r>
    <r>
      <rPr>
        <b/>
        <sz val="10"/>
        <color indexed="8"/>
        <rFont val="宋体"/>
        <family val="3"/>
        <charset val="134"/>
      </rPr>
      <t>地块非经营性小计</t>
    </r>
    <phoneticPr fontId="141" type="noConversion"/>
  </si>
  <si>
    <r>
      <t>03-31</t>
    </r>
    <r>
      <rPr>
        <b/>
        <sz val="10"/>
        <color indexed="8"/>
        <rFont val="宋体"/>
        <family val="3"/>
        <charset val="134"/>
      </rPr>
      <t>地块合计</t>
    </r>
    <phoneticPr fontId="141" type="noConversion"/>
  </si>
  <si>
    <r>
      <t>03-21</t>
    </r>
    <r>
      <rPr>
        <b/>
        <sz val="10"/>
        <color indexed="8"/>
        <rFont val="宋体"/>
        <family val="3"/>
        <charset val="134"/>
      </rPr>
      <t>地块经营性小计</t>
    </r>
    <phoneticPr fontId="141" type="noConversion"/>
  </si>
  <si>
    <r>
      <t>03-21</t>
    </r>
    <r>
      <rPr>
        <b/>
        <sz val="10"/>
        <color indexed="8"/>
        <rFont val="宋体"/>
        <family val="3"/>
        <charset val="134"/>
      </rPr>
      <t>地块非经营性小计</t>
    </r>
    <phoneticPr fontId="141" type="noConversion"/>
  </si>
  <si>
    <r>
      <t>03-21</t>
    </r>
    <r>
      <rPr>
        <b/>
        <sz val="10"/>
        <color indexed="8"/>
        <rFont val="宋体"/>
        <family val="3"/>
        <charset val="134"/>
      </rPr>
      <t>地块合计</t>
    </r>
    <phoneticPr fontId="141" type="noConversion"/>
  </si>
  <si>
    <t>咨询对象总计</t>
    <phoneticPr fontId="141" type="noConversion"/>
  </si>
  <si>
    <t>03-31地块</t>
    <phoneticPr fontId="141" type="noConversion"/>
  </si>
  <si>
    <t>03-21地块</t>
    <phoneticPr fontId="141" type="noConversion"/>
  </si>
  <si>
    <t>地块</t>
  </si>
  <si>
    <t>楼栋</t>
  </si>
  <si>
    <t>单元</t>
  </si>
  <si>
    <t>产品类型</t>
  </si>
  <si>
    <t>戊类储藏</t>
  </si>
  <si>
    <t>抵押物名称</t>
  </si>
  <si>
    <t>(规划)建筑面积</t>
  </si>
  <si>
    <t>(分摊)土地面积</t>
  </si>
  <si>
    <t>总 价</t>
  </si>
  <si>
    <t>北京市0321地块部分在建工程出让国有建设用地使用权及在建建筑物房地产</t>
  </si>
  <si>
    <r>
      <t>0331</t>
    </r>
    <r>
      <rPr>
        <sz val="10"/>
        <rFont val="宋体"/>
        <family val="3"/>
        <charset val="134"/>
      </rPr>
      <t>地块部分在建工程</t>
    </r>
    <phoneticPr fontId="7" type="noConversion"/>
  </si>
  <si>
    <t>合计</t>
    <phoneticPr fontId="141" type="noConversion"/>
  </si>
  <si>
    <t>大写金额</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</si>
</sst>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Red]\(0.000000\)"/>
    <numFmt numFmtId="198" formatCode="0.00000000000_ "/>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theme="1"/>
      <name val="华文细黑"/>
      <family val="3"/>
      <charset val="134"/>
    </font>
    <font>
      <sz val="10"/>
      <color theme="1"/>
      <name val="华文细黑"/>
      <family val="3"/>
      <charset val="134"/>
    </font>
    <font>
      <b/>
      <sz val="10"/>
      <color rgb="FF000000"/>
      <name val="微软雅黑"/>
      <family val="2"/>
      <charset val="134"/>
    </font>
    <font>
      <b/>
      <sz val="9"/>
      <color theme="1"/>
      <name val="华文细黑"/>
      <family val="3"/>
      <charset val="134"/>
    </font>
    <font>
      <b/>
      <sz val="9"/>
      <color theme="1"/>
      <name val="Arial"/>
      <family val="2"/>
    </font>
    <font>
      <sz val="10"/>
      <color rgb="FF000000"/>
      <name val="华文细黑"/>
      <family val="3"/>
      <charset val="134"/>
    </font>
    <font>
      <b/>
      <sz val="10"/>
      <color rgb="FF000000"/>
      <name val="华文细黑"/>
      <family val="3"/>
      <charset val="134"/>
    </font>
    <font>
      <b/>
      <sz val="9"/>
      <name val="宋体"/>
      <family val="3"/>
      <charset val="134"/>
    </font>
    <font>
      <sz val="9"/>
      <color theme="1"/>
      <name val="微软雅黑"/>
      <family val="2"/>
      <charset val="134"/>
    </font>
    <font>
      <sz val="10"/>
      <color theme="1"/>
      <name val="Arial Unicode MS"/>
      <family val="2"/>
      <charset val="134"/>
    </font>
    <font>
      <sz val="10"/>
      <color rgb="FF000000"/>
      <name val="Arial Unicode MS"/>
      <family val="2"/>
      <charset val="134"/>
    </font>
    <font>
      <sz val="11"/>
      <name val="宋体"/>
      <family val="3"/>
      <charset val="134"/>
      <scheme val="minor"/>
    </font>
    <font>
      <sz val="9"/>
      <name val="宋体"/>
      <family val="2"/>
      <charset val="134"/>
      <scheme val="minor"/>
    </font>
    <font>
      <sz val="9"/>
      <color rgb="FF000000"/>
      <name val="华文细黑"/>
      <family val="3"/>
      <charset val="134"/>
    </font>
    <font>
      <sz val="9"/>
      <color rgb="FF000000"/>
      <name val="Arial"/>
      <family val="2"/>
    </font>
    <font>
      <sz val="11"/>
      <color theme="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0070C0"/>
        <bgColor indexed="64"/>
      </patternFill>
    </fill>
    <fill>
      <patternFill patternType="solid">
        <fgColor rgb="FF00B050"/>
        <bgColor indexed="64"/>
      </patternFill>
    </fill>
    <fill>
      <patternFill patternType="solid">
        <fgColor rgb="FF7030A0"/>
        <bgColor indexed="64"/>
      </patternFill>
    </fill>
    <fill>
      <patternFill patternType="solid">
        <fgColor rgb="FFE6B9B8"/>
        <bgColor indexed="64"/>
      </patternFill>
    </fill>
    <fill>
      <patternFill patternType="solid">
        <fgColor theme="9" tint="0.39988402966399123"/>
        <bgColor indexed="64"/>
      </patternFill>
    </fill>
    <fill>
      <patternFill patternType="solid">
        <fgColor rgb="FFB2A1C6"/>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270" fillId="0" borderId="0" applyFont="0" applyFill="0" applyBorder="0" applyAlignment="0" applyProtection="0">
      <alignment vertical="center"/>
    </xf>
  </cellStyleXfs>
  <cellXfs count="37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99" fillId="0" borderId="0" xfId="0" applyFont="1">
      <alignment vertical="center"/>
    </xf>
    <xf numFmtId="0" fontId="0" fillId="20" borderId="0" xfId="0" applyFill="1">
      <alignment vertical="center"/>
    </xf>
    <xf numFmtId="0" fontId="143" fillId="0" borderId="1" xfId="0" applyFont="1" applyBorder="1" applyAlignment="1">
      <alignment horizontal="center" vertical="center" wrapText="1"/>
    </xf>
    <xf numFmtId="0" fontId="143" fillId="7" borderId="1" xfId="0" applyFont="1" applyFill="1" applyBorder="1" applyAlignment="1">
      <alignment horizontal="center" vertical="center" wrapText="1"/>
    </xf>
    <xf numFmtId="0" fontId="129" fillId="0" borderId="0" xfId="0" applyFont="1" applyAlignment="1">
      <alignment horizontal="center" vertical="center"/>
    </xf>
    <xf numFmtId="0" fontId="129" fillId="7" borderId="1" xfId="0" applyFont="1" applyFill="1" applyBorder="1" applyAlignment="1">
      <alignment horizontal="center" vertical="center"/>
    </xf>
    <xf numFmtId="0" fontId="129" fillId="7" borderId="1" xfId="0" applyFont="1" applyFill="1" applyBorder="1" applyAlignment="1">
      <alignment horizontal="center" vertical="center" wrapText="1"/>
    </xf>
    <xf numFmtId="49" fontId="56" fillId="13"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0" fillId="0" borderId="0" xfId="0" applyNumberFormat="1">
      <alignment vertical="center"/>
    </xf>
    <xf numFmtId="0" fontId="98" fillId="0" borderId="10"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0" xfId="0" applyFont="1" applyAlignment="1">
      <alignment horizontal="center" vertical="center" wrapText="1"/>
    </xf>
    <xf numFmtId="0" fontId="99" fillId="0" borderId="0" xfId="0" applyFont="1" applyAlignment="1">
      <alignment horizontal="center" vertical="center" wrapText="1"/>
    </xf>
    <xf numFmtId="0" fontId="0" fillId="9" borderId="0" xfId="0" applyFill="1" applyAlignment="1">
      <alignment horizontal="center" vertical="center" wrapText="1"/>
    </xf>
    <xf numFmtId="0" fontId="135" fillId="0" borderId="46" xfId="0" applyFont="1" applyFill="1" applyBorder="1" applyAlignment="1" applyProtection="1">
      <alignment horizontal="center" vertical="center" wrapText="1"/>
      <protection locked="0"/>
    </xf>
    <xf numFmtId="9" fontId="0" fillId="9" borderId="0" xfId="0" applyNumberFormat="1" applyFill="1" applyAlignment="1">
      <alignment horizontal="center" vertical="center" wrapText="1"/>
    </xf>
    <xf numFmtId="0" fontId="99" fillId="9" borderId="0" xfId="0" applyFont="1" applyFill="1" applyAlignment="1">
      <alignment horizontal="center" vertical="center" wrapText="1"/>
    </xf>
    <xf numFmtId="0" fontId="0" fillId="20" borderId="0" xfId="0" applyFill="1" applyAlignment="1">
      <alignment horizontal="center" vertical="center" wrapText="1"/>
    </xf>
    <xf numFmtId="0" fontId="135" fillId="0" borderId="33"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256" fillId="15" borderId="1" xfId="0" applyFont="1" applyFill="1" applyBorder="1" applyAlignment="1">
      <alignment horizontal="left" vertical="center"/>
    </xf>
    <xf numFmtId="0" fontId="256" fillId="0" borderId="0" xfId="0" applyFont="1" applyAlignment="1">
      <alignment horizontal="left" vertical="center"/>
    </xf>
    <xf numFmtId="0" fontId="256" fillId="10" borderId="1" xfId="0" applyFont="1" applyFill="1" applyBorder="1" applyAlignment="1">
      <alignment horizontal="left" vertical="center"/>
    </xf>
    <xf numFmtId="0" fontId="256" fillId="22" borderId="1" xfId="0" applyFont="1" applyFill="1" applyBorder="1" applyAlignment="1">
      <alignment horizontal="left" vertical="center"/>
    </xf>
    <xf numFmtId="0" fontId="256" fillId="23" borderId="1" xfId="0" applyFont="1" applyFill="1" applyBorder="1" applyAlignment="1">
      <alignment horizontal="left" vertical="center"/>
    </xf>
    <xf numFmtId="0" fontId="256" fillId="24" borderId="1" xfId="0" applyFont="1" applyFill="1" applyBorder="1" applyAlignment="1">
      <alignment horizontal="left" vertical="center"/>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12" fillId="21" borderId="0" xfId="0" applyFont="1" applyFill="1" applyAlignment="1">
      <alignment horizontal="center" vertical="center" wrapText="1"/>
    </xf>
    <xf numFmtId="0" fontId="112" fillId="21" borderId="0" xfId="0" applyFont="1" applyFill="1" applyAlignment="1">
      <alignment horizontal="center" vertical="center"/>
    </xf>
    <xf numFmtId="9" fontId="75" fillId="20" borderId="1" xfId="0" applyNumberFormat="1" applyFont="1" applyFill="1" applyBorder="1" applyAlignment="1" applyProtection="1">
      <alignment horizontal="center" vertical="center"/>
      <protection locked="0"/>
    </xf>
    <xf numFmtId="0" fontId="256" fillId="20" borderId="1" xfId="0" applyFont="1" applyFill="1" applyBorder="1" applyAlignment="1">
      <alignment horizontal="left" vertical="center"/>
    </xf>
    <xf numFmtId="0" fontId="135" fillId="0" borderId="51" xfId="0" applyNumberFormat="1" applyFont="1" applyFill="1" applyBorder="1" applyAlignment="1" applyProtection="1">
      <alignment horizontal="center" vertical="center" wrapText="1"/>
      <protection locked="0"/>
    </xf>
    <xf numFmtId="0" fontId="20" fillId="0" borderId="0" xfId="0" applyFont="1" applyAlignment="1"/>
    <xf numFmtId="14" fontId="20" fillId="0" borderId="0" xfId="0" applyNumberFormat="1" applyFont="1" applyAlignment="1"/>
    <xf numFmtId="0" fontId="257" fillId="0" borderId="0" xfId="0" applyFont="1" applyAlignment="1">
      <alignment horizontal="center" vertical="center" readingOrder="1"/>
    </xf>
    <xf numFmtId="57" fontId="20" fillId="0" borderId="0" xfId="0" applyNumberFormat="1" applyFont="1" applyAlignment="1"/>
    <xf numFmtId="0" fontId="20" fillId="0" borderId="0" xfId="0" applyNumberFormat="1" applyFont="1" applyAlignment="1"/>
    <xf numFmtId="0" fontId="20" fillId="20" borderId="0" xfId="0" applyFont="1" applyFill="1" applyAlignment="1"/>
    <xf numFmtId="0" fontId="20" fillId="0" borderId="0" xfId="0" applyFont="1" applyFill="1" applyAlignment="1"/>
    <xf numFmtId="57" fontId="0" fillId="0" borderId="0" xfId="0" applyNumberFormat="1">
      <alignment vertical="center"/>
    </xf>
    <xf numFmtId="0" fontId="112" fillId="0" borderId="0" xfId="0" applyFont="1">
      <alignment vertical="center"/>
    </xf>
    <xf numFmtId="57" fontId="112" fillId="0" borderId="0" xfId="0" applyNumberFormat="1" applyFont="1">
      <alignment vertical="center"/>
    </xf>
    <xf numFmtId="0" fontId="54" fillId="13" borderId="0" xfId="0" applyNumberFormat="1" applyFont="1" applyFill="1" applyAlignment="1" applyProtection="1">
      <alignment horizontal="center" vertical="center"/>
      <protection locked="0"/>
    </xf>
    <xf numFmtId="0" fontId="84" fillId="7" borderId="1" xfId="0" applyFont="1" applyFill="1" applyBorder="1" applyAlignment="1">
      <alignment horizontal="center" vertical="center" wrapText="1"/>
    </xf>
    <xf numFmtId="176" fontId="84" fillId="7" borderId="1" xfId="0" applyNumberFormat="1" applyFont="1" applyFill="1" applyBorder="1" applyAlignment="1">
      <alignment horizontal="center" vertical="center" wrapText="1"/>
    </xf>
    <xf numFmtId="0" fontId="20" fillId="7" borderId="1" xfId="0" applyFont="1" applyFill="1" applyBorder="1" applyAlignment="1">
      <alignment horizontal="center" vertical="center" wrapText="1"/>
    </xf>
    <xf numFmtId="0" fontId="129" fillId="0" borderId="1" xfId="0" applyFont="1" applyBorder="1" applyAlignment="1">
      <alignment horizontal="center" vertical="center" wrapText="1"/>
    </xf>
    <xf numFmtId="0" fontId="143" fillId="0" borderId="0" xfId="0" applyFont="1" applyBorder="1" applyAlignment="1">
      <alignment horizontal="center" vertical="center" wrapText="1"/>
    </xf>
    <xf numFmtId="0" fontId="129" fillId="0" borderId="0" xfId="0" applyFont="1" applyBorder="1" applyAlignment="1">
      <alignment horizontal="center" vertical="center"/>
    </xf>
    <xf numFmtId="0" fontId="256" fillId="0" borderId="1" xfId="0" applyFont="1" applyBorder="1" applyAlignment="1">
      <alignment horizontal="left" vertical="center"/>
    </xf>
    <xf numFmtId="2" fontId="256" fillId="0" borderId="0" xfId="0" applyNumberFormat="1" applyFont="1" applyAlignment="1">
      <alignment horizontal="left" vertical="center"/>
    </xf>
    <xf numFmtId="0" fontId="256" fillId="0" borderId="58" xfId="0" applyFont="1" applyBorder="1" applyAlignment="1">
      <alignment horizontal="left" vertical="center"/>
    </xf>
    <xf numFmtId="0" fontId="256" fillId="25" borderId="0" xfId="0" applyFont="1" applyFill="1" applyAlignment="1">
      <alignment horizontal="left" vertical="center"/>
    </xf>
    <xf numFmtId="0" fontId="256" fillId="9" borderId="0" xfId="0" applyFont="1" applyFill="1" applyAlignment="1">
      <alignment horizontal="left" vertical="center"/>
    </xf>
    <xf numFmtId="9" fontId="256" fillId="0" borderId="0" xfId="0" applyNumberFormat="1" applyFont="1" applyAlignment="1">
      <alignment horizontal="left" vertical="center"/>
    </xf>
    <xf numFmtId="0" fontId="256" fillId="20" borderId="0" xfId="0" applyFont="1" applyFill="1" applyAlignment="1">
      <alignment horizontal="left" vertical="center"/>
    </xf>
    <xf numFmtId="0" fontId="256" fillId="0" borderId="15" xfId="0" applyFont="1" applyBorder="1" applyAlignment="1">
      <alignment horizontal="left" vertical="center"/>
    </xf>
    <xf numFmtId="0" fontId="260" fillId="0" borderId="65" xfId="0" applyFont="1" applyBorder="1" applyAlignment="1">
      <alignment horizontal="left" vertical="center"/>
    </xf>
    <xf numFmtId="0" fontId="260" fillId="0" borderId="65" xfId="0" applyFont="1" applyBorder="1" applyAlignment="1">
      <alignment horizontal="left" vertical="center" wrapText="1"/>
    </xf>
    <xf numFmtId="0" fontId="256" fillId="0" borderId="65" xfId="0" applyFont="1" applyBorder="1" applyAlignment="1">
      <alignment horizontal="left" vertical="center"/>
    </xf>
    <xf numFmtId="0" fontId="260" fillId="0" borderId="81" xfId="0" applyFont="1" applyBorder="1" applyAlignment="1">
      <alignment horizontal="left" vertical="center"/>
    </xf>
    <xf numFmtId="0" fontId="260" fillId="0" borderId="43" xfId="0" applyFont="1" applyBorder="1" applyAlignment="1">
      <alignment horizontal="left" vertical="center"/>
    </xf>
    <xf numFmtId="0" fontId="256" fillId="0" borderId="43" xfId="0" applyFont="1" applyBorder="1" applyAlignment="1">
      <alignment horizontal="left" vertical="center"/>
    </xf>
    <xf numFmtId="0" fontId="260" fillId="0" borderId="43" xfId="0" applyFont="1" applyBorder="1" applyAlignment="1">
      <alignment horizontal="left" vertical="center" wrapText="1"/>
    </xf>
    <xf numFmtId="0" fontId="256" fillId="0" borderId="43" xfId="0" applyFont="1" applyBorder="1" applyAlignment="1">
      <alignment horizontal="left" vertical="center" wrapText="1"/>
    </xf>
    <xf numFmtId="0" fontId="256" fillId="0" borderId="19" xfId="0" applyFont="1" applyBorder="1" applyAlignment="1">
      <alignment horizontal="left" vertical="center"/>
    </xf>
    <xf numFmtId="0" fontId="260" fillId="0" borderId="0" xfId="0" applyFont="1" applyAlignment="1">
      <alignment horizontal="left" vertical="center"/>
    </xf>
    <xf numFmtId="0" fontId="255" fillId="0" borderId="164" xfId="0" applyFont="1" applyBorder="1" applyAlignment="1">
      <alignment horizontal="left" vertical="center"/>
    </xf>
    <xf numFmtId="0" fontId="261" fillId="0" borderId="164" xfId="0" applyFont="1" applyBorder="1" applyAlignment="1">
      <alignment horizontal="left" vertical="center"/>
    </xf>
    <xf numFmtId="0" fontId="260" fillId="0" borderId="164" xfId="0" applyFont="1" applyBorder="1" applyAlignment="1">
      <alignment horizontal="left" vertical="center"/>
    </xf>
    <xf numFmtId="0" fontId="260" fillId="0" borderId="164" xfId="0" applyFont="1" applyBorder="1" applyAlignment="1">
      <alignment horizontal="left" vertical="center" wrapText="1"/>
    </xf>
    <xf numFmtId="0" fontId="256" fillId="0" borderId="166" xfId="0" applyFont="1" applyBorder="1" applyAlignment="1">
      <alignment horizontal="left" vertical="center" wrapText="1"/>
    </xf>
    <xf numFmtId="0" fontId="256" fillId="0" borderId="170" xfId="0" applyFont="1" applyBorder="1" applyAlignment="1">
      <alignment horizontal="left" vertical="center" wrapText="1"/>
    </xf>
    <xf numFmtId="0" fontId="256" fillId="0" borderId="169" xfId="0" applyFont="1" applyBorder="1" applyAlignment="1">
      <alignment horizontal="left" vertical="center" wrapText="1"/>
    </xf>
    <xf numFmtId="0" fontId="260" fillId="0" borderId="170" xfId="0" applyFont="1" applyBorder="1" applyAlignment="1">
      <alignment horizontal="left" vertical="center" wrapText="1"/>
    </xf>
    <xf numFmtId="177" fontId="135" fillId="0" borderId="1" xfId="1" applyNumberFormat="1" applyFont="1" applyFill="1" applyBorder="1" applyAlignment="1" applyProtection="1">
      <alignment vertical="center"/>
      <protection locked="0"/>
    </xf>
    <xf numFmtId="10" fontId="256" fillId="9" borderId="0" xfId="0" applyNumberFormat="1" applyFont="1" applyFill="1" applyAlignment="1">
      <alignment horizontal="left" vertical="center"/>
    </xf>
    <xf numFmtId="182" fontId="263" fillId="7" borderId="1" xfId="2" applyNumberFormat="1" applyFont="1" applyFill="1" applyBorder="1" applyAlignment="1">
      <alignment horizontal="center" vertical="center" wrapText="1"/>
    </xf>
    <xf numFmtId="1" fontId="47" fillId="0" borderId="37" xfId="0" applyNumberFormat="1" applyFont="1" applyFill="1" applyBorder="1" applyAlignment="1" applyProtection="1">
      <alignment horizontal="center" vertical="center" wrapText="1"/>
      <protection locked="0"/>
    </xf>
    <xf numFmtId="0" fontId="50" fillId="20" borderId="23" xfId="0"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129" fillId="26" borderId="1" xfId="0" applyFont="1" applyFill="1" applyBorder="1" applyAlignment="1">
      <alignment horizontal="left" vertical="center"/>
    </xf>
    <xf numFmtId="0" fontId="143" fillId="26" borderId="1" xfId="0" applyFont="1" applyFill="1" applyBorder="1" applyAlignment="1">
      <alignment horizontal="left" vertical="center" wrapText="1"/>
    </xf>
    <xf numFmtId="0" fontId="118" fillId="0" borderId="1" xfId="0" applyFont="1" applyBorder="1" applyAlignment="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256" fillId="0" borderId="0" xfId="0" applyFont="1" applyAlignment="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0" fillId="0" borderId="0" xfId="0" applyAlignment="1">
      <alignment horizontal="left" vertical="center"/>
    </xf>
    <xf numFmtId="2" fontId="0" fillId="0" borderId="0" xfId="0" applyNumberFormat="1" applyAlignment="1">
      <alignment horizontal="left" vertical="center"/>
    </xf>
    <xf numFmtId="0" fontId="0" fillId="0" borderId="1" xfId="0" applyBorder="1" applyAlignment="1">
      <alignment horizontal="left" vertical="center"/>
    </xf>
    <xf numFmtId="2" fontId="99" fillId="0" borderId="1" xfId="0" applyNumberFormat="1" applyFont="1" applyBorder="1" applyAlignment="1">
      <alignment horizontal="left" vertical="center"/>
    </xf>
    <xf numFmtId="2" fontId="0" fillId="0" borderId="1" xfId="0" applyNumberFormat="1" applyBorder="1" applyAlignment="1">
      <alignment horizontal="left" vertical="center"/>
    </xf>
    <xf numFmtId="0" fontId="256" fillId="0" borderId="0" xfId="0" applyFont="1" applyAlignment="1">
      <alignment horizontal="left" vertical="center"/>
    </xf>
    <xf numFmtId="179" fontId="47" fillId="0" borderId="0" xfId="0" applyNumberFormat="1" applyFont="1" applyProtection="1">
      <alignment vertical="center"/>
      <protection locked="0"/>
    </xf>
    <xf numFmtId="0" fontId="20" fillId="0" borderId="1" xfId="0" applyFont="1" applyBorder="1" applyAlignment="1">
      <alignment horizontal="center" vertical="center" wrapText="1"/>
    </xf>
    <xf numFmtId="0" fontId="129" fillId="5" borderId="1" xfId="0" applyFont="1" applyFill="1" applyBorder="1" applyAlignment="1">
      <alignment horizontal="center" vertical="center"/>
    </xf>
    <xf numFmtId="0" fontId="129"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129" fillId="5" borderId="0" xfId="0" applyFont="1" applyFill="1" applyAlignment="1">
      <alignment horizontal="center" vertical="center"/>
    </xf>
    <xf numFmtId="10" fontId="256" fillId="0" borderId="0" xfId="0" applyNumberFormat="1" applyFont="1" applyAlignment="1">
      <alignment horizontal="left" vertical="center"/>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263" fillId="7" borderId="1" xfId="2" applyNumberFormat="1" applyFont="1" applyFill="1" applyBorder="1" applyAlignment="1">
      <alignment horizontal="center" vertical="center" wrapText="1"/>
    </xf>
    <xf numFmtId="2" fontId="49" fillId="6" borderId="13" xfId="0" applyNumberFormat="1" applyFont="1" applyFill="1" applyBorder="1" applyAlignment="1" applyProtection="1">
      <alignment vertical="center"/>
    </xf>
    <xf numFmtId="0" fontId="256" fillId="0" borderId="0" xfId="0" applyFont="1" applyAlignment="1">
      <alignment horizontal="left" vertical="center"/>
    </xf>
    <xf numFmtId="0" fontId="47" fillId="0" borderId="0" xfId="0" applyNumberFormat="1" applyFont="1" applyProtection="1">
      <alignment vertical="center"/>
      <protection locked="0"/>
    </xf>
    <xf numFmtId="0" fontId="256" fillId="0" borderId="0" xfId="0" applyFont="1" applyFill="1" applyAlignment="1">
      <alignment horizontal="left" vertical="center"/>
    </xf>
    <xf numFmtId="181" fontId="256" fillId="0" borderId="0" xfId="0" applyNumberFormat="1" applyFont="1" applyAlignment="1">
      <alignment horizontal="left" vertical="center"/>
    </xf>
    <xf numFmtId="0" fontId="256" fillId="27" borderId="0" xfId="0" applyFont="1" applyFill="1" applyAlignment="1">
      <alignment horizontal="left" vertical="center"/>
    </xf>
    <xf numFmtId="179" fontId="50" fillId="0" borderId="1" xfId="0" applyNumberFormat="1" applyFont="1" applyFill="1" applyBorder="1" applyAlignment="1" applyProtection="1">
      <alignment horizontal="center" vertical="center" wrapText="1"/>
      <protection locked="0"/>
    </xf>
    <xf numFmtId="197" fontId="50" fillId="3" borderId="0" xfId="0" applyNumberFormat="1" applyFont="1" applyFill="1" applyAlignment="1" applyProtection="1">
      <alignment horizontal="center" vertical="center"/>
      <protection locked="0"/>
    </xf>
    <xf numFmtId="0" fontId="256" fillId="0" borderId="0" xfId="0" applyFont="1" applyAlignment="1">
      <alignment horizontal="left" vertical="center"/>
    </xf>
    <xf numFmtId="0" fontId="256" fillId="0" borderId="0" xfId="0" applyNumberFormat="1" applyFont="1" applyAlignment="1">
      <alignment horizontal="left" vertical="center"/>
    </xf>
    <xf numFmtId="0" fontId="265" fillId="0" borderId="0" xfId="0" applyFont="1" applyFill="1" applyBorder="1" applyAlignment="1">
      <alignment horizontal="center" vertical="center" wrapText="1"/>
    </xf>
    <xf numFmtId="0" fontId="264" fillId="0" borderId="0" xfId="0" applyFont="1">
      <alignment vertical="center"/>
    </xf>
    <xf numFmtId="0" fontId="264" fillId="0" borderId="0" xfId="0" applyNumberFormat="1" applyFont="1">
      <alignment vertical="center"/>
    </xf>
    <xf numFmtId="198" fontId="264" fillId="0" borderId="0" xfId="0" applyNumberFormat="1" applyFont="1">
      <alignment vertical="center"/>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0" fontId="264" fillId="0" borderId="1" xfId="0" applyNumberFormat="1" applyFont="1" applyBorder="1" applyAlignment="1">
      <alignment horizontal="left" vertical="center" wrapText="1"/>
    </xf>
    <xf numFmtId="0" fontId="265" fillId="0" borderId="1" xfId="0" applyFont="1" applyFill="1" applyBorder="1" applyAlignment="1">
      <alignment horizontal="left" vertical="center" wrapText="1"/>
    </xf>
    <xf numFmtId="0" fontId="265" fillId="0" borderId="1" xfId="0" applyFont="1" applyBorder="1" applyAlignment="1">
      <alignment horizontal="left" vertical="center"/>
    </xf>
    <xf numFmtId="0" fontId="264" fillId="0" borderId="1" xfId="0" applyFont="1" applyBorder="1" applyAlignment="1">
      <alignment horizontal="left"/>
    </xf>
    <xf numFmtId="181" fontId="264" fillId="0" borderId="1" xfId="0" applyNumberFormat="1" applyFont="1" applyBorder="1" applyAlignment="1">
      <alignment horizontal="left" vertical="center"/>
    </xf>
    <xf numFmtId="2" fontId="264" fillId="0" borderId="1" xfId="0" applyNumberFormat="1" applyFont="1" applyBorder="1" applyAlignment="1">
      <alignment horizontal="left"/>
    </xf>
    <xf numFmtId="0" fontId="264" fillId="0" borderId="1" xfId="0" applyNumberFormat="1" applyFont="1" applyBorder="1" applyAlignment="1">
      <alignment horizontal="left" vertical="center"/>
    </xf>
    <xf numFmtId="2" fontId="264" fillId="0" borderId="1" xfId="0" applyNumberFormat="1" applyFont="1" applyBorder="1" applyAlignment="1">
      <alignment horizontal="left" vertical="center"/>
    </xf>
    <xf numFmtId="10" fontId="264" fillId="0" borderId="1" xfId="0" applyNumberFormat="1" applyFont="1" applyBorder="1" applyAlignment="1">
      <alignment horizontal="lef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0" fillId="5" borderId="0" xfId="0" applyFill="1">
      <alignment vertical="center"/>
    </xf>
    <xf numFmtId="0" fontId="266" fillId="0" borderId="0" xfId="0" applyFont="1">
      <alignment vertical="center"/>
    </xf>
    <xf numFmtId="0" fontId="266" fillId="9" borderId="0" xfId="0" applyFont="1" applyFill="1">
      <alignment vertical="center"/>
    </xf>
    <xf numFmtId="0" fontId="266" fillId="20" borderId="0" xfId="0" applyFont="1" applyFill="1">
      <alignment vertical="center"/>
    </xf>
    <xf numFmtId="179" fontId="266" fillId="0" borderId="0" xfId="0" applyNumberFormat="1" applyFont="1">
      <alignment vertical="center"/>
    </xf>
    <xf numFmtId="2" fontId="266" fillId="0" borderId="0" xfId="0" applyNumberFormat="1" applyFont="1">
      <alignment vertical="center"/>
    </xf>
    <xf numFmtId="179" fontId="0" fillId="5" borderId="0" xfId="0" applyNumberFormat="1" applyFill="1">
      <alignment vertical="center"/>
    </xf>
    <xf numFmtId="0" fontId="99" fillId="0" borderId="0" xfId="0" applyFont="1" applyFill="1">
      <alignment vertical="center"/>
    </xf>
    <xf numFmtId="0" fontId="206" fillId="0" borderId="1" xfId="0" applyFont="1" applyBorder="1" applyAlignment="1">
      <alignment horizontal="center" vertical="center"/>
    </xf>
    <xf numFmtId="49" fontId="206"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0" fontId="99" fillId="0" borderId="0" xfId="0" applyFont="1" applyAlignment="1">
      <alignment vertical="center" wrapText="1"/>
    </xf>
    <xf numFmtId="49" fontId="0" fillId="0" borderId="1" xfId="0" applyNumberFormat="1" applyBorder="1" applyAlignment="1">
      <alignment horizontal="center" vertical="center"/>
    </xf>
    <xf numFmtId="0" fontId="100" fillId="0" borderId="1" xfId="0" applyFont="1" applyBorder="1" applyAlignment="1">
      <alignment horizontal="center" vertical="center"/>
    </xf>
    <xf numFmtId="0" fontId="100" fillId="0" borderId="0" xfId="0" applyFont="1" applyAlignment="1">
      <alignment vertical="center" wrapText="1"/>
    </xf>
    <xf numFmtId="0" fontId="100" fillId="0" borderId="0" xfId="0" applyFont="1">
      <alignment vertical="center"/>
    </xf>
    <xf numFmtId="49" fontId="0" fillId="0" borderId="0" xfId="0" applyNumberFormat="1">
      <alignment vertical="center"/>
    </xf>
    <xf numFmtId="0" fontId="0" fillId="0" borderId="1" xfId="0" applyBorder="1">
      <alignment vertical="center"/>
    </xf>
    <xf numFmtId="0" fontId="268" fillId="0" borderId="1" xfId="0" applyFont="1" applyBorder="1">
      <alignment vertical="center"/>
    </xf>
    <xf numFmtId="0" fontId="268" fillId="0" borderId="1" xfId="0" applyFont="1" applyBorder="1" applyAlignment="1">
      <alignment vertical="center" wrapText="1"/>
    </xf>
    <xf numFmtId="0" fontId="269" fillId="0" borderId="1" xfId="0" applyFont="1" applyBorder="1">
      <alignment vertical="center"/>
    </xf>
    <xf numFmtId="0" fontId="99" fillId="0" borderId="1" xfId="0" applyFont="1" applyBorder="1">
      <alignment vertical="center"/>
    </xf>
    <xf numFmtId="2" fontId="0" fillId="0" borderId="1" xfId="0" applyNumberFormat="1" applyBorder="1">
      <alignment vertical="center"/>
    </xf>
    <xf numFmtId="49" fontId="0" fillId="0" borderId="1" xfId="0" applyNumberFormat="1" applyBorder="1">
      <alignment vertical="center"/>
    </xf>
    <xf numFmtId="49" fontId="99" fillId="0" borderId="0" xfId="0" applyNumberFormat="1" applyFont="1">
      <alignment vertical="center"/>
    </xf>
    <xf numFmtId="0" fontId="99" fillId="0" borderId="0" xfId="0" applyNumberFormat="1" applyFont="1">
      <alignment vertical="center"/>
    </xf>
    <xf numFmtId="177" fontId="135" fillId="0" borderId="3" xfId="1" applyNumberFormat="1" applyFont="1" applyFill="1" applyBorder="1" applyAlignment="1" applyProtection="1">
      <alignment vertical="center"/>
      <protection locked="0"/>
    </xf>
    <xf numFmtId="0" fontId="1" fillId="0" borderId="1" xfId="12" applyFont="1" applyBorder="1" applyAlignment="1" applyProtection="1">
      <alignment horizontal="left"/>
      <protection locked="0"/>
    </xf>
    <xf numFmtId="0" fontId="84" fillId="0" borderId="0" xfId="0" applyFont="1" applyAlignment="1">
      <alignment horizontal="center" vertical="center" wrapText="1"/>
    </xf>
    <xf numFmtId="0" fontId="20" fillId="0" borderId="0" xfId="0" applyFont="1" applyAlignment="1">
      <alignment horizontal="center" vertical="center" wrapText="1"/>
    </xf>
    <xf numFmtId="192"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58" fillId="9" borderId="0" xfId="0" applyFont="1" applyFill="1" applyAlignment="1">
      <alignment horizontal="center" vertical="center"/>
    </xf>
    <xf numFmtId="0" fontId="0" fillId="0" borderId="0" xfId="0" applyAlignment="1">
      <alignment horizontal="center" vertical="center"/>
    </xf>
    <xf numFmtId="0" fontId="0" fillId="0" borderId="0" xfId="0" applyNumberFormat="1" applyAlignment="1">
      <alignment horizontal="center" vertical="center"/>
    </xf>
    <xf numFmtId="0" fontId="99" fillId="0" borderId="0" xfId="0" applyFont="1" applyAlignment="1">
      <alignment horizontal="center" vertical="center"/>
    </xf>
    <xf numFmtId="0" fontId="99" fillId="0" borderId="0" xfId="0" applyNumberFormat="1" applyFont="1" applyAlignment="1">
      <alignment horizontal="center" vertical="center"/>
    </xf>
    <xf numFmtId="0" fontId="84" fillId="0" borderId="0" xfId="0" applyFont="1" applyAlignment="1">
      <alignment horizontal="center" vertical="center"/>
    </xf>
    <xf numFmtId="0" fontId="20" fillId="0" borderId="0" xfId="0" applyFont="1" applyAlignment="1">
      <alignment horizontal="center" vertical="center"/>
    </xf>
    <xf numFmtId="192" fontId="20" fillId="0" borderId="0" xfId="0" applyNumberFormat="1" applyFont="1" applyAlignment="1">
      <alignment horizontal="center" vertical="center"/>
    </xf>
    <xf numFmtId="57" fontId="20" fillId="0" borderId="0" xfId="0" applyNumberFormat="1" applyFont="1" applyAlignment="1">
      <alignment horizontal="center" vertical="center"/>
    </xf>
    <xf numFmtId="0" fontId="20" fillId="0" borderId="0" xfId="0" applyNumberFormat="1" applyFont="1" applyAlignment="1">
      <alignment horizontal="center" vertical="center"/>
    </xf>
    <xf numFmtId="179" fontId="0" fillId="0" borderId="1" xfId="0" applyNumberFormat="1" applyBorder="1" applyAlignment="1">
      <alignment horizontal="left" vertical="center"/>
    </xf>
    <xf numFmtId="176" fontId="56" fillId="0" borderId="1" xfId="1"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xf>
    <xf numFmtId="177" fontId="80" fillId="0" borderId="1" xfId="1" applyNumberFormat="1" applyFont="1" applyFill="1" applyBorder="1" applyAlignment="1" applyProtection="1">
      <alignment horizontal="left" vertical="center" wrapText="1"/>
      <protection locked="0" hidden="1"/>
    </xf>
    <xf numFmtId="176" fontId="50" fillId="0"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horizontal="left" vertical="center" wrapText="1"/>
      <protection locked="0"/>
    </xf>
    <xf numFmtId="176" fontId="55" fillId="0" borderId="1" xfId="0" applyNumberFormat="1" applyFont="1" applyFill="1" applyBorder="1" applyAlignment="1" applyProtection="1">
      <alignment horizontal="left" vertical="center" wrapText="1"/>
    </xf>
    <xf numFmtId="176" fontId="50" fillId="0" borderId="1" xfId="0" applyNumberFormat="1" applyFont="1" applyFill="1" applyBorder="1" applyAlignment="1">
      <alignment horizontal="left" vertical="center" wrapText="1"/>
    </xf>
    <xf numFmtId="176" fontId="55" fillId="0" borderId="1" xfId="0" applyNumberFormat="1" applyFont="1" applyFill="1" applyBorder="1" applyAlignment="1">
      <alignment horizontal="left" vertical="center" wrapText="1"/>
    </xf>
    <xf numFmtId="0" fontId="50" fillId="0" borderId="1" xfId="0" applyFont="1" applyFill="1" applyBorder="1" applyAlignment="1">
      <alignment horizontal="left" vertical="center" wrapText="1"/>
    </xf>
    <xf numFmtId="0" fontId="257" fillId="28" borderId="1" xfId="2" applyFont="1" applyFill="1" applyBorder="1" applyAlignment="1">
      <alignment horizontal="center" vertical="center" wrapText="1"/>
    </xf>
    <xf numFmtId="182" fontId="257" fillId="28" borderId="1" xfId="2" applyNumberFormat="1" applyFont="1" applyFill="1" applyBorder="1" applyAlignment="1">
      <alignment horizontal="center" vertical="center" wrapText="1"/>
    </xf>
    <xf numFmtId="0" fontId="257" fillId="29" borderId="1" xfId="2" applyFont="1" applyFill="1" applyBorder="1" applyAlignment="1">
      <alignment horizontal="center" vertical="center" wrapText="1"/>
    </xf>
    <xf numFmtId="0" fontId="257" fillId="30" borderId="1" xfId="2" applyFont="1" applyFill="1" applyBorder="1" applyAlignment="1">
      <alignment horizontal="center" vertical="center" wrapText="1"/>
    </xf>
    <xf numFmtId="0" fontId="263" fillId="7" borderId="1" xfId="2" applyFont="1" applyFill="1" applyBorder="1" applyAlignment="1">
      <alignment horizontal="center" vertical="center" wrapText="1"/>
    </xf>
    <xf numFmtId="0" fontId="0" fillId="7" borderId="1" xfId="0" applyFill="1" applyBorder="1" applyAlignment="1">
      <alignment horizontal="center" vertical="center" wrapText="1"/>
    </xf>
    <xf numFmtId="0" fontId="99" fillId="0" borderId="0" xfId="0" applyFont="1" applyFill="1" applyBorder="1">
      <alignment vertical="center"/>
    </xf>
    <xf numFmtId="181" fontId="47" fillId="0" borderId="1" xfId="0" applyNumberFormat="1" applyFont="1" applyFill="1" applyBorder="1" applyAlignment="1" applyProtection="1">
      <alignment vertical="center"/>
      <protection locked="0"/>
    </xf>
    <xf numFmtId="0" fontId="47" fillId="0"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47" fillId="0" borderId="1" xfId="0" applyFont="1" applyFill="1" applyBorder="1" applyAlignment="1">
      <alignment horizontal="left" vertical="center" wrapText="1"/>
    </xf>
    <xf numFmtId="0" fontId="99" fillId="0" borderId="1" xfId="0" applyFont="1" applyFill="1" applyBorder="1">
      <alignment vertical="center"/>
    </xf>
    <xf numFmtId="2" fontId="0" fillId="0" borderId="1" xfId="0" applyNumberFormat="1" applyFill="1" applyBorder="1">
      <alignment vertical="center"/>
    </xf>
    <xf numFmtId="179" fontId="0" fillId="0" borderId="0" xfId="0" applyNumberFormat="1">
      <alignment vertical="center"/>
    </xf>
    <xf numFmtId="9" fontId="0" fillId="0" borderId="0" xfId="0" applyNumberFormat="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00" fillId="0" borderId="1" xfId="0" applyFont="1" applyBorder="1" applyAlignment="1">
      <alignment horizontal="left" vertical="center" wrapText="1"/>
    </xf>
    <xf numFmtId="0" fontId="50" fillId="0" borderId="1" xfId="0" applyFont="1" applyFill="1" applyBorder="1" applyAlignment="1" applyProtection="1">
      <alignment horizontal="left" vertical="center" wrapText="1"/>
    </xf>
    <xf numFmtId="176" fontId="84" fillId="0" borderId="1" xfId="1" applyNumberFormat="1" applyFont="1" applyFill="1" applyBorder="1" applyAlignment="1" applyProtection="1">
      <alignment horizontal="left" vertical="center" wrapText="1"/>
    </xf>
    <xf numFmtId="43" fontId="55" fillId="0" borderId="1" xfId="17"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100" fillId="0" borderId="1" xfId="0" applyFont="1" applyBorder="1" applyAlignment="1">
      <alignment horizontal="left" vertical="center"/>
    </xf>
    <xf numFmtId="0" fontId="50" fillId="0" borderId="1" xfId="0" applyFont="1" applyFill="1" applyBorder="1" applyAlignment="1">
      <alignment horizontal="left" vertical="center" wrapText="1"/>
    </xf>
    <xf numFmtId="0" fontId="55" fillId="0" borderId="1" xfId="0" applyFont="1" applyFill="1" applyBorder="1" applyAlignment="1">
      <alignment horizontal="left"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47" fillId="0" borderId="1" xfId="0" applyFont="1" applyFill="1" applyBorder="1" applyAlignment="1" applyProtection="1">
      <alignment horizontal="left" vertical="center" wrapText="1"/>
    </xf>
    <xf numFmtId="182" fontId="0" fillId="0" borderId="1" xfId="0" applyNumberFormat="1" applyFill="1" applyBorder="1" applyAlignment="1">
      <alignment horizontal="center" vertical="center"/>
    </xf>
    <xf numFmtId="0" fontId="47" fillId="0" borderId="1" xfId="0" applyFont="1" applyFill="1" applyBorder="1" applyAlignment="1" applyProtection="1">
      <alignment horizontal="left" vertical="center" wrapText="1"/>
      <protection locked="0"/>
    </xf>
    <xf numFmtId="0" fontId="20" fillId="0" borderId="13"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 xfId="0" applyFont="1" applyBorder="1" applyAlignment="1">
      <alignment horizontal="center" vertical="center" wrapText="1"/>
    </xf>
    <xf numFmtId="0" fontId="129" fillId="0" borderId="13" xfId="0" applyFont="1" applyBorder="1" applyAlignment="1">
      <alignment horizontal="center" vertical="center"/>
    </xf>
    <xf numFmtId="0" fontId="129" fillId="0" borderId="15" xfId="0" applyFont="1" applyBorder="1" applyAlignment="1">
      <alignment horizontal="center" vertical="center"/>
    </xf>
    <xf numFmtId="0" fontId="129" fillId="0" borderId="2" xfId="0" applyFont="1" applyBorder="1" applyAlignment="1">
      <alignment horizontal="center" vertical="center"/>
    </xf>
    <xf numFmtId="0" fontId="129" fillId="0" borderId="1" xfId="0" applyFont="1" applyBorder="1" applyAlignment="1">
      <alignment horizontal="center" vertical="center"/>
    </xf>
    <xf numFmtId="0" fontId="256" fillId="0" borderId="174" xfId="0" applyFont="1" applyBorder="1" applyAlignment="1">
      <alignment horizontal="left" vertical="center" wrapText="1"/>
    </xf>
    <xf numFmtId="0" fontId="256" fillId="0" borderId="175" xfId="0" applyFont="1" applyBorder="1" applyAlignment="1">
      <alignment horizontal="left" vertical="center" wrapText="1"/>
    </xf>
    <xf numFmtId="0" fontId="256" fillId="0" borderId="176" xfId="0" applyFont="1" applyBorder="1" applyAlignment="1">
      <alignment horizontal="left" vertical="center" wrapText="1"/>
    </xf>
    <xf numFmtId="0" fontId="255" fillId="0" borderId="171" xfId="0" applyFont="1" applyBorder="1" applyAlignment="1">
      <alignment horizontal="left" vertical="center" wrapText="1"/>
    </xf>
    <xf numFmtId="0" fontId="255" fillId="0" borderId="173" xfId="0" applyFont="1" applyBorder="1" applyAlignment="1">
      <alignment horizontal="left" vertical="center" wrapText="1"/>
    </xf>
    <xf numFmtId="0" fontId="255" fillId="0" borderId="172" xfId="0" applyFont="1" applyBorder="1" applyAlignment="1">
      <alignment horizontal="left" vertical="center" wrapText="1"/>
    </xf>
    <xf numFmtId="0" fontId="256" fillId="0" borderId="171" xfId="0" applyFont="1" applyBorder="1" applyAlignment="1">
      <alignment horizontal="left" vertical="center" wrapText="1"/>
    </xf>
    <xf numFmtId="0" fontId="256" fillId="0" borderId="173" xfId="0" applyFont="1" applyBorder="1" applyAlignment="1">
      <alignment horizontal="left" vertical="center" wrapText="1"/>
    </xf>
    <xf numFmtId="0" fontId="256" fillId="0" borderId="172" xfId="0" applyFont="1" applyBorder="1" applyAlignment="1">
      <alignment horizontal="left" vertical="center" wrapText="1"/>
    </xf>
    <xf numFmtId="0" fontId="256" fillId="0" borderId="167" xfId="0" applyFont="1" applyBorder="1" applyAlignment="1">
      <alignment horizontal="left" vertical="center" wrapText="1"/>
    </xf>
    <xf numFmtId="0" fontId="256" fillId="0" borderId="168" xfId="0" applyFont="1" applyBorder="1" applyAlignment="1">
      <alignment horizontal="left" vertical="center" wrapText="1"/>
    </xf>
    <xf numFmtId="0" fontId="261" fillId="0" borderId="159" xfId="0" applyFont="1" applyBorder="1" applyAlignment="1">
      <alignment horizontal="left" vertical="center"/>
    </xf>
    <xf numFmtId="0" fontId="261" fillId="0" borderId="160" xfId="0" applyFont="1" applyBorder="1" applyAlignment="1">
      <alignment horizontal="left" vertical="center"/>
    </xf>
    <xf numFmtId="0" fontId="261" fillId="0" borderId="161" xfId="0" applyFont="1" applyBorder="1" applyAlignment="1">
      <alignment horizontal="left" vertical="center"/>
    </xf>
    <xf numFmtId="0" fontId="256" fillId="0" borderId="165" xfId="0" applyFont="1" applyBorder="1" applyAlignment="1">
      <alignment horizontal="left" vertical="center" wrapText="1"/>
    </xf>
    <xf numFmtId="0" fontId="256" fillId="0" borderId="169" xfId="0" applyFont="1" applyBorder="1" applyAlignment="1">
      <alignment horizontal="left" vertical="center" wrapText="1"/>
    </xf>
    <xf numFmtId="0" fontId="261" fillId="0" borderId="158" xfId="0" applyFont="1" applyBorder="1" applyAlignment="1">
      <alignment horizontal="left" vertical="center"/>
    </xf>
    <xf numFmtId="0" fontId="261" fillId="0" borderId="162" xfId="0" applyFont="1" applyBorder="1" applyAlignment="1">
      <alignment horizontal="left" vertical="center"/>
    </xf>
    <xf numFmtId="0" fontId="261" fillId="0" borderId="163" xfId="0" applyFont="1" applyBorder="1" applyAlignment="1">
      <alignment horizontal="left" vertical="center"/>
    </xf>
    <xf numFmtId="0" fontId="260" fillId="0" borderId="158" xfId="0" applyFont="1" applyBorder="1" applyAlignment="1">
      <alignment horizontal="left" vertical="center"/>
    </xf>
    <xf numFmtId="0" fontId="260" fillId="0" borderId="162" xfId="0" applyFont="1" applyBorder="1" applyAlignment="1">
      <alignment horizontal="left" vertical="center"/>
    </xf>
    <xf numFmtId="0" fontId="260" fillId="0" borderId="163" xfId="0" applyFont="1" applyBorder="1" applyAlignment="1">
      <alignment horizontal="left" vertical="center"/>
    </xf>
    <xf numFmtId="0" fontId="260" fillId="0" borderId="158" xfId="0" applyFont="1" applyBorder="1" applyAlignment="1">
      <alignment horizontal="left" vertical="center" wrapText="1"/>
    </xf>
    <xf numFmtId="0" fontId="260" fillId="0" borderId="162" xfId="0" applyFont="1" applyBorder="1" applyAlignment="1">
      <alignment horizontal="left" vertical="center" wrapText="1"/>
    </xf>
    <xf numFmtId="0" fontId="260" fillId="0" borderId="163" xfId="0" applyFont="1" applyBorder="1" applyAlignment="1">
      <alignment horizontal="left" vertical="center" wrapText="1"/>
    </xf>
    <xf numFmtId="0" fontId="260" fillId="0" borderId="159" xfId="0" applyFont="1" applyBorder="1" applyAlignment="1">
      <alignment horizontal="left" vertical="center"/>
    </xf>
    <xf numFmtId="0" fontId="260" fillId="0" borderId="161" xfId="0" applyFont="1" applyBorder="1" applyAlignment="1">
      <alignment horizontal="left" vertical="center"/>
    </xf>
    <xf numFmtId="0" fontId="260" fillId="0" borderId="63" xfId="0" applyFont="1" applyBorder="1" applyAlignment="1">
      <alignment horizontal="left" vertical="center"/>
    </xf>
    <xf numFmtId="0" fontId="260" fillId="0" borderId="65" xfId="0" applyFont="1" applyBorder="1" applyAlignment="1">
      <alignment horizontal="left" vertical="center"/>
    </xf>
    <xf numFmtId="0" fontId="255" fillId="0" borderId="159" xfId="0" applyFont="1" applyBorder="1" applyAlignment="1">
      <alignment horizontal="left" vertical="center"/>
    </xf>
    <xf numFmtId="0" fontId="255" fillId="0" borderId="160" xfId="0" applyFont="1" applyBorder="1" applyAlignment="1">
      <alignment horizontal="left" vertical="center"/>
    </xf>
    <xf numFmtId="0" fontId="255" fillId="0" borderId="161" xfId="0" applyFont="1" applyBorder="1" applyAlignment="1">
      <alignment horizontal="left" vertical="center"/>
    </xf>
    <xf numFmtId="0" fontId="255" fillId="0" borderId="158" xfId="0" applyFont="1" applyBorder="1" applyAlignment="1">
      <alignment horizontal="left" vertical="center" wrapText="1"/>
    </xf>
    <xf numFmtId="0" fontId="255" fillId="0" borderId="163" xfId="0" applyFont="1" applyBorder="1" applyAlignment="1">
      <alignment horizontal="left" vertical="center" wrapText="1"/>
    </xf>
    <xf numFmtId="0" fontId="256" fillId="0" borderId="1" xfId="0" applyFont="1" applyBorder="1" applyAlignment="1">
      <alignment horizontal="left" vertical="center"/>
    </xf>
    <xf numFmtId="0" fontId="256" fillId="0" borderId="0" xfId="0" applyFont="1" applyAlignment="1">
      <alignment horizontal="lef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68" fillId="0" borderId="1" xfId="0" applyFont="1" applyBorder="1">
      <alignment vertical="center"/>
    </xf>
    <xf numFmtId="0" fontId="264" fillId="0" borderId="5" xfId="0" applyFont="1" applyBorder="1" applyAlignment="1">
      <alignment horizontal="center" vertical="center"/>
    </xf>
    <xf numFmtId="0" fontId="264" fillId="0" borderId="3"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20" borderId="13"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55" fillId="15" borderId="1" xfId="0" applyFont="1" applyFill="1" applyBorder="1" applyAlignment="1">
      <alignment horizontal="left" vertical="center"/>
    </xf>
    <xf numFmtId="0" fontId="255" fillId="10" borderId="1" xfId="0" applyFont="1" applyFill="1" applyBorder="1" applyAlignment="1">
      <alignment horizontal="left" vertical="center"/>
    </xf>
    <xf numFmtId="0" fontId="255" fillId="22" borderId="1" xfId="0" applyFont="1" applyFill="1" applyBorder="1" applyAlignment="1">
      <alignment horizontal="left" vertical="center"/>
    </xf>
    <xf numFmtId="0" fontId="255" fillId="23" borderId="1" xfId="0" applyFont="1" applyFill="1" applyBorder="1" applyAlignment="1">
      <alignment horizontal="left" vertical="center"/>
    </xf>
    <xf numFmtId="0" fontId="255" fillId="24" borderId="1" xfId="0" applyFont="1" applyFill="1" applyBorder="1" applyAlignment="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9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457200</xdr:colOff>
      <xdr:row>133</xdr:row>
      <xdr:rowOff>47625</xdr:rowOff>
    </xdr:from>
    <xdr:to>
      <xdr:col>32</xdr:col>
      <xdr:colOff>0</xdr:colOff>
      <xdr:row>223</xdr:row>
      <xdr:rowOff>143452</xdr:rowOff>
    </xdr:to>
    <xdr:pic>
      <xdr:nvPicPr>
        <xdr:cNvPr id="3" name="图片 2">
          <a:extLst>
            <a:ext uri="{FF2B5EF4-FFF2-40B4-BE49-F238E27FC236}">
              <a16:creationId xmlns:a16="http://schemas.microsoft.com/office/drawing/2014/main" id="{182F1ACC-1C40-4A4D-BA13-DE92B923A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45025" y="4210050"/>
          <a:ext cx="7772400" cy="2677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133350</xdr:colOff>
      <xdr:row>47</xdr:row>
      <xdr:rowOff>80570</xdr:rowOff>
    </xdr:to>
    <xdr:pic>
      <xdr:nvPicPr>
        <xdr:cNvPr id="3" name="图片 2">
          <a:extLst>
            <a:ext uri="{FF2B5EF4-FFF2-40B4-BE49-F238E27FC236}">
              <a16:creationId xmlns:a16="http://schemas.microsoft.com/office/drawing/2014/main" id="{247995AB-FD92-4EEA-B206-25E6E45E6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19600"/>
          <a:ext cx="7772400" cy="4709720"/>
        </a:xfrm>
        <a:prstGeom prst="rect">
          <a:avLst/>
        </a:prstGeom>
      </xdr:spPr>
    </xdr:pic>
    <xdr:clientData/>
  </xdr:twoCellAnchor>
  <xdr:twoCellAnchor editAs="oneCell">
    <xdr:from>
      <xdr:col>0</xdr:col>
      <xdr:colOff>0</xdr:colOff>
      <xdr:row>48</xdr:row>
      <xdr:rowOff>0</xdr:rowOff>
    </xdr:from>
    <xdr:to>
      <xdr:col>4</xdr:col>
      <xdr:colOff>133350</xdr:colOff>
      <xdr:row>69</xdr:row>
      <xdr:rowOff>6774</xdr:rowOff>
    </xdr:to>
    <xdr:pic>
      <xdr:nvPicPr>
        <xdr:cNvPr id="5" name="图片 4">
          <a:extLst>
            <a:ext uri="{FF2B5EF4-FFF2-40B4-BE49-F238E27FC236}">
              <a16:creationId xmlns:a16="http://schemas.microsoft.com/office/drawing/2014/main" id="{923F272A-0891-4B82-B947-A9DE15833B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20200"/>
          <a:ext cx="7772400" cy="3607224"/>
        </a:xfrm>
        <a:prstGeom prst="rect">
          <a:avLst/>
        </a:prstGeom>
      </xdr:spPr>
    </xdr:pic>
    <xdr:clientData/>
  </xdr:twoCellAnchor>
  <xdr:twoCellAnchor editAs="oneCell">
    <xdr:from>
      <xdr:col>0</xdr:col>
      <xdr:colOff>38100</xdr:colOff>
      <xdr:row>72</xdr:row>
      <xdr:rowOff>57150</xdr:rowOff>
    </xdr:from>
    <xdr:to>
      <xdr:col>4</xdr:col>
      <xdr:colOff>171450</xdr:colOff>
      <xdr:row>98</xdr:row>
      <xdr:rowOff>72181</xdr:rowOff>
    </xdr:to>
    <xdr:pic>
      <xdr:nvPicPr>
        <xdr:cNvPr id="7" name="图片 6">
          <a:extLst>
            <a:ext uri="{FF2B5EF4-FFF2-40B4-BE49-F238E27FC236}">
              <a16:creationId xmlns:a16="http://schemas.microsoft.com/office/drawing/2014/main" id="{7C899D09-4616-4A55-91A0-0DD96BDDF9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3392150"/>
          <a:ext cx="7772400" cy="4472731"/>
        </a:xfrm>
        <a:prstGeom prst="rect">
          <a:avLst/>
        </a:prstGeom>
      </xdr:spPr>
    </xdr:pic>
    <xdr:clientData/>
  </xdr:twoCellAnchor>
  <xdr:twoCellAnchor editAs="oneCell">
    <xdr:from>
      <xdr:col>0</xdr:col>
      <xdr:colOff>0</xdr:colOff>
      <xdr:row>99</xdr:row>
      <xdr:rowOff>0</xdr:rowOff>
    </xdr:from>
    <xdr:to>
      <xdr:col>4</xdr:col>
      <xdr:colOff>133350</xdr:colOff>
      <xdr:row>129</xdr:row>
      <xdr:rowOff>38100</xdr:rowOff>
    </xdr:to>
    <xdr:pic>
      <xdr:nvPicPr>
        <xdr:cNvPr id="9" name="图片 8">
          <a:extLst>
            <a:ext uri="{FF2B5EF4-FFF2-40B4-BE49-F238E27FC236}">
              <a16:creationId xmlns:a16="http://schemas.microsoft.com/office/drawing/2014/main" id="{EB3CA5F0-D1AF-42A5-B366-8683C48A8B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64150"/>
          <a:ext cx="7772400" cy="5181600"/>
        </a:xfrm>
        <a:prstGeom prst="rect">
          <a:avLst/>
        </a:prstGeom>
      </xdr:spPr>
    </xdr:pic>
    <xdr:clientData/>
  </xdr:twoCellAnchor>
  <xdr:twoCellAnchor editAs="oneCell">
    <xdr:from>
      <xdr:col>0</xdr:col>
      <xdr:colOff>0</xdr:colOff>
      <xdr:row>131</xdr:row>
      <xdr:rowOff>0</xdr:rowOff>
    </xdr:from>
    <xdr:to>
      <xdr:col>4</xdr:col>
      <xdr:colOff>133350</xdr:colOff>
      <xdr:row>161</xdr:row>
      <xdr:rowOff>75539</xdr:rowOff>
    </xdr:to>
    <xdr:pic>
      <xdr:nvPicPr>
        <xdr:cNvPr id="11" name="图片 10">
          <a:extLst>
            <a:ext uri="{FF2B5EF4-FFF2-40B4-BE49-F238E27FC236}">
              <a16:creationId xmlns:a16="http://schemas.microsoft.com/office/drawing/2014/main" id="{D6E08CD6-595F-49F0-AC76-68BB00810A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450550"/>
          <a:ext cx="7772400" cy="5219039"/>
        </a:xfrm>
        <a:prstGeom prst="rect">
          <a:avLst/>
        </a:prstGeom>
      </xdr:spPr>
    </xdr:pic>
    <xdr:clientData/>
  </xdr:twoCellAnchor>
  <xdr:twoCellAnchor editAs="oneCell">
    <xdr:from>
      <xdr:col>0</xdr:col>
      <xdr:colOff>0</xdr:colOff>
      <xdr:row>162</xdr:row>
      <xdr:rowOff>0</xdr:rowOff>
    </xdr:from>
    <xdr:to>
      <xdr:col>4</xdr:col>
      <xdr:colOff>133350</xdr:colOff>
      <xdr:row>185</xdr:row>
      <xdr:rowOff>139785</xdr:rowOff>
    </xdr:to>
    <xdr:pic>
      <xdr:nvPicPr>
        <xdr:cNvPr id="13" name="图片 12">
          <a:extLst>
            <a:ext uri="{FF2B5EF4-FFF2-40B4-BE49-F238E27FC236}">
              <a16:creationId xmlns:a16="http://schemas.microsoft.com/office/drawing/2014/main" id="{31E4D7B3-5BD5-4274-A313-7812038EED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765500"/>
          <a:ext cx="7772400" cy="4083135"/>
        </a:xfrm>
        <a:prstGeom prst="rect">
          <a:avLst/>
        </a:prstGeom>
      </xdr:spPr>
    </xdr:pic>
    <xdr:clientData/>
  </xdr:twoCellAnchor>
  <xdr:twoCellAnchor editAs="oneCell">
    <xdr:from>
      <xdr:col>5</xdr:col>
      <xdr:colOff>0</xdr:colOff>
      <xdr:row>20</xdr:row>
      <xdr:rowOff>0</xdr:rowOff>
    </xdr:from>
    <xdr:to>
      <xdr:col>12</xdr:col>
      <xdr:colOff>152400</xdr:colOff>
      <xdr:row>52</xdr:row>
      <xdr:rowOff>99438</xdr:rowOff>
    </xdr:to>
    <xdr:pic>
      <xdr:nvPicPr>
        <xdr:cNvPr id="4" name="图片 3">
          <a:extLst>
            <a:ext uri="{FF2B5EF4-FFF2-40B4-BE49-F238E27FC236}">
              <a16:creationId xmlns:a16="http://schemas.microsoft.com/office/drawing/2014/main" id="{B363B376-1FEE-497A-9AD3-AC78536AC3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96325" y="4419600"/>
          <a:ext cx="7772400" cy="55858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133985</xdr:colOff>
      <xdr:row>17</xdr:row>
      <xdr:rowOff>114300</xdr:rowOff>
    </xdr:from>
    <xdr:to>
      <xdr:col>15</xdr:col>
      <xdr:colOff>610235</xdr:colOff>
      <xdr:row>49</xdr:row>
      <xdr:rowOff>38100</xdr:rowOff>
    </xdr:to>
    <xdr:pic>
      <xdr:nvPicPr>
        <xdr:cNvPr id="2" name="图片 1">
          <a:extLst>
            <a:ext uri="{FF2B5EF4-FFF2-40B4-BE49-F238E27FC236}">
              <a16:creationId xmlns:a16="http://schemas.microsoft.com/office/drawing/2014/main" id="{69DC5FBF-5E38-477D-A6EA-AD2CADCA1CE2}"/>
            </a:ext>
          </a:extLst>
        </xdr:cNvPr>
        <xdr:cNvPicPr>
          <a:picLocks noChangeAspect="1"/>
        </xdr:cNvPicPr>
      </xdr:nvPicPr>
      <xdr:blipFill>
        <a:blip xmlns:r="http://schemas.openxmlformats.org/officeDocument/2006/relationships" r:embed="rId1"/>
        <a:stretch>
          <a:fillRect/>
        </a:stretch>
      </xdr:blipFill>
      <xdr:spPr>
        <a:xfrm>
          <a:off x="133985" y="3190875"/>
          <a:ext cx="11106150" cy="5715000"/>
        </a:xfrm>
        <a:prstGeom prst="rect">
          <a:avLst/>
        </a:prstGeom>
        <a:noFill/>
        <a:ln w="9525">
          <a:noFill/>
        </a:ln>
      </xdr:spPr>
    </xdr:pic>
    <xdr:clientData/>
  </xdr:twoCellAnchor>
  <xdr:twoCellAnchor editAs="oneCell">
    <xdr:from>
      <xdr:col>0</xdr:col>
      <xdr:colOff>77470</xdr:colOff>
      <xdr:row>49</xdr:row>
      <xdr:rowOff>152400</xdr:rowOff>
    </xdr:from>
    <xdr:to>
      <xdr:col>15</xdr:col>
      <xdr:colOff>582295</xdr:colOff>
      <xdr:row>81</xdr:row>
      <xdr:rowOff>114300</xdr:rowOff>
    </xdr:to>
    <xdr:pic>
      <xdr:nvPicPr>
        <xdr:cNvPr id="3" name="图片 2">
          <a:extLst>
            <a:ext uri="{FF2B5EF4-FFF2-40B4-BE49-F238E27FC236}">
              <a16:creationId xmlns:a16="http://schemas.microsoft.com/office/drawing/2014/main" id="{4FA003D9-B3B8-48FE-94C7-0B87968FFF09}"/>
            </a:ext>
          </a:extLst>
        </xdr:cNvPr>
        <xdr:cNvPicPr>
          <a:picLocks noChangeAspect="1"/>
        </xdr:cNvPicPr>
      </xdr:nvPicPr>
      <xdr:blipFill>
        <a:blip xmlns:r="http://schemas.openxmlformats.org/officeDocument/2006/relationships" r:embed="rId2"/>
        <a:stretch>
          <a:fillRect/>
        </a:stretch>
      </xdr:blipFill>
      <xdr:spPr>
        <a:xfrm>
          <a:off x="77470" y="9020175"/>
          <a:ext cx="11134725" cy="5753100"/>
        </a:xfrm>
        <a:prstGeom prst="rect">
          <a:avLst/>
        </a:prstGeom>
        <a:noFill/>
        <a:ln w="9525">
          <a:noFill/>
        </a:ln>
      </xdr:spPr>
    </xdr:pic>
    <xdr:clientData/>
  </xdr:twoCellAnchor>
  <xdr:twoCellAnchor editAs="oneCell">
    <xdr:from>
      <xdr:col>0</xdr:col>
      <xdr:colOff>0</xdr:colOff>
      <xdr:row>83</xdr:row>
      <xdr:rowOff>0</xdr:rowOff>
    </xdr:from>
    <xdr:to>
      <xdr:col>9</xdr:col>
      <xdr:colOff>542043</xdr:colOff>
      <xdr:row>111</xdr:row>
      <xdr:rowOff>85081</xdr:rowOff>
    </xdr:to>
    <xdr:pic>
      <xdr:nvPicPr>
        <xdr:cNvPr id="4" name="图片 3">
          <a:extLst>
            <a:ext uri="{FF2B5EF4-FFF2-40B4-BE49-F238E27FC236}">
              <a16:creationId xmlns:a16="http://schemas.microsoft.com/office/drawing/2014/main" id="{EB5930A2-0136-4B1D-BA00-737E3D171AE5}"/>
            </a:ext>
          </a:extLst>
        </xdr:cNvPr>
        <xdr:cNvPicPr>
          <a:picLocks noChangeAspect="1"/>
        </xdr:cNvPicPr>
      </xdr:nvPicPr>
      <xdr:blipFill>
        <a:blip xmlns:r="http://schemas.openxmlformats.org/officeDocument/2006/relationships" r:embed="rId3"/>
        <a:stretch>
          <a:fillRect/>
        </a:stretch>
      </xdr:blipFill>
      <xdr:spPr>
        <a:xfrm>
          <a:off x="0" y="15020925"/>
          <a:ext cx="7057143"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0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21&#24180;\2021-1-0487&#39640;&#20029;&#33829;\F01DYGJ2\&#32467;&#26524;\&#26410;&#32593;&#31614;&#26126;&#32454;&#26368;&#32456;11.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9579;&#36229;&#23731;\2020&#24180;\2020-1-0061&#35266;&#25215;&#21035;&#22661;&#19977;&#26399;\F02DYGJ2\&#32467;&#26524;\&#12304;0331&#22320;&#22359;&#27979;&#31639;&#26032;&#12305;2020-1-0061-F02&#21271;&#20140;&#24066;&#39034;&#20041;&#21306;&#39640;&#20029;&#33829;&#38215;&#20110;&#24196;03-31&#21495;&#22320;&#22359;&#8220;&#35266;&#25215;&#25991;&#22253;&#8221;&#39033;&#30446;&#65288;&#37096;&#20998;&#65289;&#20986;&#35753;&#22269;&#26377;&#24314;&#35774;&#29992;&#22320;&#20351;&#29992;&#26435;&#21450;&#22312;&#24314;&#24314;&#31569;&#29289;&#25151;&#22320;&#20135;&#20197;&#21450;03-21&#21495;&#22320;&#22359;1&#23447;&#20303;&#23429;&#12289;&#22320;&#19979;&#20179;&#20648;&#12289;&#22320;&#19979;&#36710;&#24211;&#29992;&#22320;&#20986;&#35753;&#22269;&#26377;&#24314;&#35774;&#29992;&#22320;&#20351;&#29992;&#264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面积清单次此"/>
      <sheetName val="规证及工程进度"/>
      <sheetName val="全部清单"/>
      <sheetName val="1-83号楼面积"/>
      <sheetName val="84-91号楼"/>
      <sheetName val="洋房清单"/>
      <sheetName val="报告用"/>
      <sheetName val="估价对象房地状况"/>
      <sheetName val="系统读取表"/>
      <sheetName val="结果表"/>
      <sheetName val="成本法"/>
      <sheetName val="成本法 (元)"/>
      <sheetName val="收益法 (元)"/>
      <sheetName val="收益法（汇总）"/>
      <sheetName val="酒店收入计算"/>
      <sheetName val="土地比较法-住宅、综合"/>
      <sheetName val="土地案例"/>
      <sheetName val="假设开发法"/>
      <sheetName val="比较法-住宅"/>
      <sheetName val="住宅案例"/>
      <sheetName val="比较法-商业"/>
      <sheetName val="比较法-办公"/>
      <sheetName val="比较法-工业"/>
      <sheetName val="结果表 (地下仓储)"/>
      <sheetName val="成本法 (地下仓储)"/>
      <sheetName val="比较法-仓储"/>
      <sheetName val="结果表 (车位)"/>
      <sheetName val="成本法 (车位)"/>
      <sheetName val="车库案例"/>
      <sheetName val="比较法-车位"/>
      <sheetName val="收益法"/>
      <sheetName val="比较法-住宅 (精装洋房)"/>
      <sheetName val="收益法（地下仓储）"/>
      <sheetName val="收益法（商业）"/>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4">
          <cell r="B14">
            <v>137478.11000000004</v>
          </cell>
          <cell r="C14">
            <v>53102.95</v>
          </cell>
          <cell r="D14">
            <v>328534</v>
          </cell>
        </row>
      </sheetData>
      <sheetData sheetId="25">
        <row r="118">
          <cell r="D118">
            <v>280431</v>
          </cell>
          <cell r="E118">
            <v>20398</v>
          </cell>
          <cell r="F118">
            <v>48103</v>
          </cell>
          <cell r="G118">
            <v>3499</v>
          </cell>
          <cell r="H118">
            <v>328534</v>
          </cell>
          <cell r="I118">
            <v>23897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合院抵押物清单家企业提供"/>
      <sheetName val="31合院抵押物清单企业提供"/>
      <sheetName val="洋房"/>
      <sheetName val="实测房本对应房号"/>
      <sheetName val="21规证及工程进度"/>
      <sheetName val="31按大证分抵押物清单（过程）"/>
      <sheetName val="0331地块现房（评估公司自整理）"/>
      <sheetName val="31现房清单"/>
      <sheetName val="银行需求提供"/>
      <sheetName val="21在建抵押清单（过程）"/>
      <sheetName val="21在建清单"/>
      <sheetName val="Sheet3"/>
      <sheetName val="31在建抵押清单（取得产证不做了）"/>
      <sheetName val="Sheet4"/>
    </sheetNames>
    <sheetDataSet>
      <sheetData sheetId="0"/>
      <sheetData sheetId="1"/>
      <sheetData sheetId="2"/>
      <sheetData sheetId="3"/>
      <sheetData sheetId="4"/>
      <sheetData sheetId="5">
        <row r="70">
          <cell r="G70">
            <v>7081.6299999999983</v>
          </cell>
        </row>
        <row r="164">
          <cell r="G164">
            <v>9442.630000000001</v>
          </cell>
        </row>
        <row r="295">
          <cell r="G295">
            <v>13200.780000000004</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规证"/>
      <sheetName val="合院测绘"/>
      <sheetName val="合院清单"/>
      <sheetName val="洋房测绘"/>
      <sheetName val="洋房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自持住宅）"/>
      <sheetName val="收益法（商业）"/>
      <sheetName val="收益法 (元)"/>
      <sheetName val="比较法-车位"/>
      <sheetName val="收益法（车库）"/>
      <sheetName val="车库案例"/>
      <sheetName val="收益法（仓储）"/>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0">
          <cell r="D110">
            <v>6984.06</v>
          </cell>
          <cell r="H110">
            <v>1622.72</v>
          </cell>
          <cell r="I110">
            <v>228.24</v>
          </cell>
        </row>
        <row r="117">
          <cell r="F117">
            <v>1000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北京市0331地块部分在建工程出让国有建设用地使用权及在建建筑物房地产抵押价值预评估</v>
      </c>
    </row>
    <row r="3" spans="1:2" s="1358" customFormat="1">
      <c r="A3" s="1356" t="s">
        <v>1188</v>
      </c>
      <c r="B3" s="1357">
        <f>'预评函-封皮'!B40</f>
        <v>0</v>
      </c>
    </row>
    <row r="4" spans="1:2" s="1358" customFormat="1">
      <c r="A4" s="1356" t="s">
        <v>1189</v>
      </c>
      <c r="B4" s="1357" t="str">
        <f ca="1">'预评函-封皮'!B46</f>
        <v>吴薇（注册号：1419970001)、郑燚（注册号：1120070131)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受贵公司委托，我公司对北京市0331地块部分在建工程出让国有建设用地使用权及在建建筑物房地产抵押价值进行了预评估。</v>
      </c>
    </row>
    <row r="7" spans="1:2" s="1358" customFormat="1">
      <c r="A7" s="1356" t="s">
        <v>1231</v>
      </c>
      <c r="B7" s="1357" t="str">
        <f>'预评函-1'!A7</f>
        <v>估价对象为北京市0331地块部分在建工程出让国有建设用地使用权及在建建筑物房地产，为所有。根据，估价对象（分摊）出让国有建设用地使用权面积为35230.35平方米，建筑面积为86417.1平方米。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0331地块部分在建工程出让国有建设用地使用权及在建建筑物房地产,属开发建设的，该项目尚在开发建设中。根据，估价对象（分摊）出让国有建设用地使用权面积为35230.35平方米，规划建筑面积为86417.1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2022年1月7日（评估专业人员实地查勘之日）</v>
      </c>
    </row>
    <row r="13" spans="1:2" s="1358" customFormat="1">
      <c r="A13" s="1356" t="s">
        <v>1194</v>
      </c>
      <c r="B13" s="1357" t="str">
        <f>'预评函-1'!A18</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179944</v>
      </c>
    </row>
    <row r="21" spans="1:2" s="1358" customFormat="1">
      <c r="A21" s="1356" t="s">
        <v>1202</v>
      </c>
      <c r="B21" s="1357">
        <f ca="1">'预评函-2'!D7</f>
        <v>20823</v>
      </c>
    </row>
    <row r="22" spans="1:2" s="1358" customFormat="1">
      <c r="A22" s="1356" t="s">
        <v>1203</v>
      </c>
      <c r="B22" s="1357" t="str">
        <f ca="1">'预评函-2'!D6</f>
        <v>壹拾柒亿玖仟玖佰肆拾肆万元整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179944</v>
      </c>
    </row>
    <row r="31" spans="1:2" s="1358" customFormat="1">
      <c r="A31" s="1356" t="s">
        <v>1241</v>
      </c>
      <c r="B31" s="1357">
        <f ca="1">'预评函-2'!D15</f>
        <v>20823</v>
      </c>
    </row>
    <row r="32" spans="1:2" s="1358" customFormat="1">
      <c r="A32" s="1356" t="s">
        <v>1208</v>
      </c>
      <c r="B32" s="1357" t="str">
        <f ca="1">'预评函-2'!D14</f>
        <v>壹拾柒亿玖仟玖佰肆拾肆万元整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北京市0331地块部分在建工程出让国有建设用地使用权及在建建筑物房地产</v>
      </c>
    </row>
    <row r="42" spans="1:2" s="1358" customFormat="1">
      <c r="A42" s="1356" t="s">
        <v>1255</v>
      </c>
      <c r="B42" s="1357" t="str">
        <f>'预评函-3'!B2</f>
        <v>建筑面积</v>
      </c>
    </row>
    <row r="43" spans="1:2" s="1358" customFormat="1">
      <c r="A43" s="1356" t="s">
        <v>1256</v>
      </c>
      <c r="B43" s="1357">
        <f>'预评函-3'!B4</f>
        <v>86417.1</v>
      </c>
    </row>
    <row r="44" spans="1:2" s="1358" customFormat="1">
      <c r="A44" s="1356" t="s">
        <v>1240</v>
      </c>
      <c r="B44" s="1357" t="str">
        <f>'预评函-3'!C2</f>
        <v>(分摊)土地面积</v>
      </c>
    </row>
    <row r="45" spans="1:2" s="1358" customFormat="1">
      <c r="A45" s="1356" t="s">
        <v>1212</v>
      </c>
      <c r="B45" s="1357">
        <f>'预评函-3'!C4</f>
        <v>35230.35</v>
      </c>
    </row>
    <row r="46" spans="1:2" s="1358" customFormat="1">
      <c r="A46" s="1356" t="s">
        <v>1238</v>
      </c>
      <c r="B46" s="1357" t="str">
        <f>'预评函-3'!D2</f>
        <v>出让国有建设用地使用权价值</v>
      </c>
    </row>
    <row r="47" spans="1:2" s="1358" customFormat="1">
      <c r="A47" s="1356" t="s">
        <v>1213</v>
      </c>
      <c r="B47" s="1357">
        <f ca="1">'预评函-3'!D4</f>
        <v>160839</v>
      </c>
    </row>
    <row r="48" spans="1:2" s="1358" customFormat="1">
      <c r="A48" s="1356" t="s">
        <v>1214</v>
      </c>
      <c r="B48" s="1357">
        <f ca="1">'预评函-3'!E4</f>
        <v>18612</v>
      </c>
    </row>
    <row r="49" spans="1:2" s="1358" customFormat="1">
      <c r="A49" s="1356" t="s">
        <v>1215</v>
      </c>
      <c r="B49" s="1357" t="str">
        <f ca="1">'预评函-3'!D5</f>
        <v>壹拾陆亿零捌佰叁拾玖万元整</v>
      </c>
    </row>
    <row r="50" spans="1:2" s="1358" customFormat="1">
      <c r="A50" s="1356" t="s">
        <v>1239</v>
      </c>
      <c r="B50" s="1357" t="str">
        <f>'预评函-3'!F2</f>
        <v>在建建筑物价值</v>
      </c>
    </row>
    <row r="51" spans="1:2" s="1358" customFormat="1">
      <c r="A51" s="1356" t="s">
        <v>1216</v>
      </c>
      <c r="B51" s="1357">
        <f ca="1">'预评函-3'!F4</f>
        <v>19105</v>
      </c>
    </row>
    <row r="52" spans="1:2" s="1358" customFormat="1">
      <c r="A52" s="1356" t="s">
        <v>1217</v>
      </c>
      <c r="B52" s="1357">
        <f ca="1">'预评函-3'!G4</f>
        <v>2211</v>
      </c>
    </row>
    <row r="53" spans="1:2" s="1358" customFormat="1">
      <c r="A53" s="1356" t="s">
        <v>1245</v>
      </c>
      <c r="B53" s="1357" t="str">
        <f ca="1">'预评函-3'!F5</f>
        <v>壹亿玖仟壹佰零伍万元整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吴薇</v>
      </c>
    </row>
    <row r="71" spans="1:2">
      <c r="A71" s="1356" t="s">
        <v>1228</v>
      </c>
      <c r="B71" s="1357">
        <f ca="1">'预评函-4'!B4</f>
        <v>1419970001</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30" sqref="D3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7" t="s">
        <v>3247</v>
      </c>
      <c r="C2" s="1725" t="s">
        <v>760</v>
      </c>
      <c r="D2" s="1726" t="s">
        <v>1672</v>
      </c>
      <c r="E2" s="1726" t="s">
        <v>1673</v>
      </c>
      <c r="F2" s="1726" t="s">
        <v>1674</v>
      </c>
      <c r="G2" s="1726">
        <v>40</v>
      </c>
      <c r="H2" s="1726" t="s">
        <v>1674</v>
      </c>
      <c r="I2" s="1726" t="s">
        <v>1675</v>
      </c>
      <c r="J2" s="1726" t="s">
        <v>1676</v>
      </c>
      <c r="K2" s="1726" t="s">
        <v>1677</v>
      </c>
      <c r="L2" s="1726" t="s">
        <v>1677</v>
      </c>
      <c r="M2" s="1726" t="s">
        <v>1677</v>
      </c>
      <c r="N2" s="1726" t="s">
        <v>1677</v>
      </c>
      <c r="O2" s="1726" t="s">
        <v>1677</v>
      </c>
      <c r="P2" s="1726" t="s">
        <v>1677</v>
      </c>
      <c r="Q2" s="1726" t="s">
        <v>1677</v>
      </c>
      <c r="R2" s="1726" t="s">
        <v>1108</v>
      </c>
      <c r="S2" s="1726" t="s">
        <v>1677</v>
      </c>
      <c r="T2" s="1726" t="s">
        <v>1678</v>
      </c>
      <c r="U2" s="1726" t="s">
        <v>1677</v>
      </c>
      <c r="V2" s="1726" t="s">
        <v>1679</v>
      </c>
      <c r="W2" s="1726" t="s">
        <v>1677</v>
      </c>
    </row>
    <row r="3" spans="1:23">
      <c r="A3" s="1724" t="s">
        <v>1680</v>
      </c>
      <c r="B3" s="1727" t="s">
        <v>1113</v>
      </c>
      <c r="C3" s="1728" t="s">
        <v>761</v>
      </c>
      <c r="D3" s="1726" t="s">
        <v>1681</v>
      </c>
      <c r="E3" s="1726" t="s">
        <v>16</v>
      </c>
      <c r="F3" s="1726" t="s">
        <v>1682</v>
      </c>
      <c r="G3" s="1726">
        <v>50</v>
      </c>
      <c r="H3" s="1726" t="s">
        <v>1682</v>
      </c>
      <c r="I3" s="1726" t="s">
        <v>1683</v>
      </c>
      <c r="J3" s="1726" t="s">
        <v>1684</v>
      </c>
      <c r="K3" s="1726" t="s">
        <v>1685</v>
      </c>
      <c r="L3" s="1726" t="s">
        <v>1685</v>
      </c>
      <c r="M3" s="1726" t="s">
        <v>1685</v>
      </c>
      <c r="N3" s="1726" t="s">
        <v>1685</v>
      </c>
      <c r="O3" s="1726" t="s">
        <v>1685</v>
      </c>
      <c r="P3" s="1726" t="s">
        <v>1685</v>
      </c>
      <c r="Q3" s="1726" t="s">
        <v>1685</v>
      </c>
      <c r="R3" s="1726" t="s">
        <v>1107</v>
      </c>
      <c r="S3" s="1726" t="s">
        <v>1685</v>
      </c>
      <c r="T3" s="1726" t="s">
        <v>1686</v>
      </c>
      <c r="U3" s="1726" t="s">
        <v>1685</v>
      </c>
      <c r="V3" s="1726" t="s">
        <v>1687</v>
      </c>
      <c r="W3" s="1726" t="s">
        <v>1685</v>
      </c>
    </row>
    <row r="4" spans="1:23">
      <c r="A4" s="1724" t="s">
        <v>1688</v>
      </c>
      <c r="B4" s="1724" t="s">
        <v>1689</v>
      </c>
      <c r="C4" s="1725" t="s">
        <v>762</v>
      </c>
      <c r="D4" s="1726" t="s">
        <v>836</v>
      </c>
      <c r="E4" s="1726" t="s">
        <v>1690</v>
      </c>
      <c r="F4" s="1726" t="s">
        <v>1691</v>
      </c>
      <c r="G4" s="1726">
        <v>70</v>
      </c>
      <c r="H4" s="1726" t="s">
        <v>1691</v>
      </c>
      <c r="I4" s="1726" t="s">
        <v>1692</v>
      </c>
      <c r="K4" s="1726" t="s">
        <v>1693</v>
      </c>
      <c r="L4" s="1726" t="s">
        <v>1693</v>
      </c>
      <c r="M4" s="1726" t="s">
        <v>1693</v>
      </c>
      <c r="N4" s="1726" t="s">
        <v>1693</v>
      </c>
      <c r="O4" s="1726" t="s">
        <v>1693</v>
      </c>
      <c r="P4" s="1726" t="s">
        <v>1693</v>
      </c>
      <c r="Q4" s="1726" t="s">
        <v>1693</v>
      </c>
      <c r="R4" s="1726" t="s">
        <v>1109</v>
      </c>
      <c r="S4" s="1726" t="s">
        <v>1693</v>
      </c>
      <c r="T4" s="1726" t="s">
        <v>1694</v>
      </c>
      <c r="U4" s="1726" t="s">
        <v>1693</v>
      </c>
      <c r="W4" s="1726" t="s">
        <v>1693</v>
      </c>
    </row>
    <row r="5" spans="1:23">
      <c r="A5" s="1724" t="s">
        <v>1695</v>
      </c>
      <c r="B5" s="1724" t="s">
        <v>1696</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3030</v>
      </c>
      <c r="C17" s="1725"/>
    </row>
    <row r="18" spans="1:3">
      <c r="A18" s="1724" t="s">
        <v>1731</v>
      </c>
      <c r="B18" s="1724" t="s">
        <v>757</v>
      </c>
      <c r="C18" s="1725"/>
    </row>
    <row r="19" spans="1:3">
      <c r="A19" s="1724" t="s">
        <v>1732</v>
      </c>
      <c r="B19" s="1724" t="s">
        <v>757</v>
      </c>
      <c r="C19" s="1725"/>
    </row>
    <row r="20" spans="1:3">
      <c r="A20" s="1724" t="s">
        <v>1733</v>
      </c>
      <c r="B20" s="1724" t="s">
        <v>3244</v>
      </c>
      <c r="C20" s="1725"/>
    </row>
    <row r="21" spans="1:3">
      <c r="A21" s="1724" t="s">
        <v>1734</v>
      </c>
      <c r="B21" s="1724" t="s">
        <v>3245</v>
      </c>
      <c r="C21" s="1725"/>
    </row>
    <row r="22" spans="1:3">
      <c r="A22" s="1724" t="s">
        <v>1735</v>
      </c>
      <c r="B22" s="1724" t="s">
        <v>3418</v>
      </c>
      <c r="C22" s="1725"/>
    </row>
    <row r="23" spans="1:3">
      <c r="A23" s="1724" t="s">
        <v>1736</v>
      </c>
      <c r="B23" s="1724" t="s">
        <v>3416</v>
      </c>
      <c r="C23" s="1725"/>
    </row>
    <row r="24" spans="1:3">
      <c r="A24" s="1724" t="s">
        <v>1737</v>
      </c>
      <c r="B24" s="1724" t="s">
        <v>757</v>
      </c>
      <c r="C24" s="1725"/>
    </row>
    <row r="25" spans="1:3">
      <c r="A25" s="1724" t="s">
        <v>1738</v>
      </c>
      <c r="B25" s="1724" t="s">
        <v>5496</v>
      </c>
      <c r="C25" s="1725"/>
    </row>
    <row r="26" spans="1:3">
      <c r="A26" s="1724" t="s">
        <v>1739</v>
      </c>
      <c r="B26" s="1724" t="s">
        <v>757</v>
      </c>
      <c r="C26" s="1725"/>
    </row>
    <row r="27" spans="1:3">
      <c r="A27" s="1724" t="s">
        <v>5420</v>
      </c>
      <c r="B27" s="1724" t="s">
        <v>5685</v>
      </c>
      <c r="C27" s="1725"/>
    </row>
    <row r="28" spans="1:3">
      <c r="A28" s="1724" t="s">
        <v>757</v>
      </c>
      <c r="B28" s="1724" t="s">
        <v>757</v>
      </c>
      <c r="C28" s="1725"/>
    </row>
    <row r="29" spans="1:3">
      <c r="A29" s="1724" t="s">
        <v>5422</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33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732" t="s">
        <v>832</v>
      </c>
      <c r="C54" s="1729" t="s">
        <v>1248</v>
      </c>
    </row>
    <row r="55" spans="1:4">
      <c r="A55" s="3337"/>
      <c r="B55" s="1732" t="s">
        <v>833</v>
      </c>
      <c r="C55" s="1729" t="s">
        <v>1249</v>
      </c>
    </row>
    <row r="56" spans="1:4">
      <c r="A56" s="3337"/>
      <c r="B56" s="1732" t="s">
        <v>834</v>
      </c>
      <c r="C56" s="1729" t="s">
        <v>1253</v>
      </c>
    </row>
    <row r="57" spans="1:4">
      <c r="A57" s="333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4" customWidth="1"/>
    <col min="12" max="13" width="10" style="284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2911</v>
      </c>
      <c r="B1" s="3338" t="str">
        <f>IF(B10="北京市","北京市",C10)&amp;F10&amp;IF(结果表!G1="在建","出让国有建设用地使用权及在建建筑物",IF(结果表!G1="土地","出让国有建设用地使用权",))&amp;B9&amp;"预评估"</f>
        <v>北京市0331地块部分在建工程出让国有建设用地使用权及在建建筑物房地产抵押价值预评估</v>
      </c>
      <c r="C1" s="3339"/>
      <c r="D1" s="3339"/>
      <c r="E1" s="3339"/>
      <c r="F1" s="3339"/>
      <c r="G1" s="3339"/>
      <c r="H1" s="3339"/>
      <c r="I1" s="3340"/>
      <c r="J1" s="2687"/>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北京市0331地块部分在建工程出让国有建设用地使用权及在建建筑物房地产抵押价值</v>
      </c>
      <c r="T1" s="1923"/>
      <c r="U1" s="1923"/>
      <c r="V1" s="1923"/>
      <c r="W1" s="1923"/>
      <c r="X1" s="1923"/>
      <c r="Y1" s="1923"/>
      <c r="Z1" s="1923"/>
      <c r="AA1" s="1923"/>
      <c r="AB1" s="1923"/>
    </row>
    <row r="2" spans="1:28">
      <c r="A2" s="2583" t="s">
        <v>2912</v>
      </c>
      <c r="B2" s="2587"/>
      <c r="C2" s="2588"/>
      <c r="D2" s="2887"/>
      <c r="E2" s="2878"/>
      <c r="F2" s="2878"/>
      <c r="G2" s="2879"/>
      <c r="H2" s="2879"/>
      <c r="I2" s="2879"/>
      <c r="J2" s="2687"/>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北京市0331地块部分在建工程出让国有建设用地使用权及在建建筑物房地产</v>
      </c>
      <c r="T2" s="1923"/>
      <c r="U2" s="1923"/>
      <c r="V2" s="1923"/>
      <c r="W2" s="1923"/>
      <c r="X2" s="1923"/>
      <c r="Y2" s="1923"/>
      <c r="Z2" s="1923"/>
      <c r="AA2" s="1923"/>
      <c r="AB2" s="1923"/>
    </row>
    <row r="3" spans="1:28">
      <c r="A3" s="303" t="s">
        <v>2913</v>
      </c>
      <c r="B3" s="2589">
        <v>44568</v>
      </c>
      <c r="C3" s="2590" t="s">
        <v>2914</v>
      </c>
      <c r="D3" s="2589">
        <f>B3</f>
        <v>44568</v>
      </c>
      <c r="E3" s="2879"/>
      <c r="F3" s="2879"/>
      <c r="G3" s="2879"/>
      <c r="H3" s="2879"/>
      <c r="I3" s="2879"/>
      <c r="J3" s="2687"/>
      <c r="K3" s="2584"/>
      <c r="L3" s="2585"/>
      <c r="M3" s="2585"/>
      <c r="N3" s="2586"/>
      <c r="O3" s="1754"/>
      <c r="P3" s="2586"/>
      <c r="Q3" s="2586"/>
      <c r="R3" s="2586"/>
      <c r="S3" s="1860"/>
      <c r="T3" s="1923"/>
      <c r="U3" s="1923"/>
      <c r="V3" s="1923"/>
      <c r="W3" s="1923"/>
      <c r="X3" s="1923"/>
      <c r="Y3" s="1923"/>
      <c r="Z3" s="1923"/>
      <c r="AA3" s="1923"/>
      <c r="AB3" s="1923"/>
    </row>
    <row r="4" spans="1:28" ht="13.5" thickBot="1">
      <c r="A4" s="1244" t="s">
        <v>2915</v>
      </c>
      <c r="B4" s="2591" t="s">
        <v>5417</v>
      </c>
      <c r="C4" s="2592">
        <f ca="1">SUMIF(注册房地产估价师,B4,估价师及机构信息!B3:B24)</f>
        <v>1419970001</v>
      </c>
      <c r="D4" s="2591" t="s">
        <v>5418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吴薇（注册号：1419970001)、郑燚（注册号：1120070131)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2916</v>
      </c>
      <c r="B5" s="2596"/>
      <c r="C5" s="2597"/>
      <c r="D5" s="2598"/>
      <c r="E5" s="2880"/>
      <c r="F5" s="2880"/>
      <c r="G5" s="2880"/>
      <c r="H5" s="2880"/>
      <c r="I5" s="2880"/>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2917</v>
      </c>
      <c r="B6" s="2600"/>
      <c r="C6" s="2601"/>
      <c r="D6" s="2602"/>
      <c r="E6" s="2878"/>
      <c r="F6" s="2880"/>
      <c r="G6" s="2880"/>
      <c r="H6" s="2880"/>
      <c r="I6" s="2880"/>
      <c r="J6" s="2657"/>
      <c r="K6" s="2830" t="str">
        <f>IF(COUNTIF(B6,"*上海银行*"),"上海银行","")</f>
        <v/>
      </c>
      <c r="L6" s="2828"/>
      <c r="M6" s="2828"/>
      <c r="N6" s="2657"/>
      <c r="O6" s="2668"/>
      <c r="P6" s="2657"/>
      <c r="Q6" s="2657"/>
      <c r="R6" s="2657"/>
    </row>
    <row r="7" spans="1:28">
      <c r="A7" s="2599" t="s">
        <v>2918</v>
      </c>
      <c r="B7" s="2603"/>
      <c r="C7" s="2601"/>
      <c r="D7" s="2602"/>
      <c r="E7" s="2878"/>
      <c r="F7" s="2880"/>
      <c r="G7" s="2880"/>
      <c r="H7" s="2880"/>
      <c r="I7" s="2880"/>
      <c r="J7" s="2657"/>
      <c r="K7" s="2831"/>
      <c r="L7" s="2828"/>
      <c r="M7" s="2828"/>
      <c r="N7" s="2657"/>
      <c r="O7" s="2668"/>
      <c r="P7" s="2657"/>
      <c r="Q7" s="2657"/>
      <c r="R7" s="2657"/>
    </row>
    <row r="8" spans="1:28">
      <c r="A8" s="2604" t="s">
        <v>2919</v>
      </c>
      <c r="B8" s="2605" t="s">
        <v>3225</v>
      </c>
      <c r="C8" s="2606"/>
      <c r="D8" s="3341" t="s">
        <v>2920</v>
      </c>
      <c r="E8" s="2607" t="s">
        <v>3226</v>
      </c>
      <c r="F8" s="2608"/>
      <c r="G8" s="2879"/>
      <c r="H8" s="2879"/>
      <c r="I8" s="2879"/>
      <c r="J8" s="2657"/>
      <c r="K8" s="2829"/>
      <c r="L8" s="2828"/>
      <c r="M8" s="2828"/>
      <c r="N8" s="2657"/>
      <c r="O8" s="2668"/>
      <c r="P8" s="2657"/>
      <c r="Q8" s="2657"/>
      <c r="R8" s="2657"/>
    </row>
    <row r="9" spans="1:28" ht="13.5" thickBot="1">
      <c r="A9" s="2609" t="s">
        <v>2921</v>
      </c>
      <c r="B9" s="2610" t="s">
        <v>3226</v>
      </c>
      <c r="C9" s="2611"/>
      <c r="D9" s="3342"/>
      <c r="E9" s="2610" t="s">
        <v>70</v>
      </c>
      <c r="F9" s="2612"/>
      <c r="G9" s="2881"/>
      <c r="H9" s="2881"/>
      <c r="I9" s="2881"/>
      <c r="J9" s="2657"/>
      <c r="K9" s="2831"/>
      <c r="L9" s="2828"/>
      <c r="M9" s="2828"/>
      <c r="N9" s="2657"/>
      <c r="O9" s="2668"/>
      <c r="P9" s="2657"/>
      <c r="Q9" s="2657"/>
      <c r="R9" s="2657"/>
    </row>
    <row r="10" spans="1:28" ht="13.5" thickTop="1">
      <c r="A10" s="2613" t="s">
        <v>2922</v>
      </c>
      <c r="B10" s="2614" t="s">
        <v>3227</v>
      </c>
      <c r="C10" s="2615"/>
      <c r="D10" s="2598"/>
      <c r="E10" s="2616" t="s">
        <v>2923</v>
      </c>
      <c r="F10" s="3073" t="s">
        <v>5719</v>
      </c>
      <c r="G10" s="2882"/>
      <c r="H10" s="2883"/>
      <c r="I10" s="2884"/>
      <c r="J10" s="2657"/>
      <c r="K10" s="2831"/>
      <c r="L10" s="2828"/>
      <c r="M10" s="2828"/>
      <c r="N10" s="2657"/>
      <c r="O10" s="2668"/>
      <c r="P10" s="2657"/>
      <c r="Q10" s="2657"/>
      <c r="R10" s="2657"/>
    </row>
    <row r="11" spans="1:28">
      <c r="A11" s="2617" t="s">
        <v>2924</v>
      </c>
      <c r="B11" s="2618" t="s">
        <v>3228</v>
      </c>
      <c r="C11" s="2619"/>
      <c r="D11" s="2620"/>
      <c r="E11" s="2586"/>
      <c r="F11" s="2586"/>
      <c r="G11" s="2586"/>
      <c r="H11" s="2586"/>
      <c r="I11" s="2586"/>
      <c r="J11" s="2657"/>
      <c r="K11" s="2831"/>
      <c r="L11" s="2828"/>
      <c r="M11" s="2828"/>
      <c r="N11" s="2657"/>
      <c r="O11" s="2668"/>
      <c r="P11" s="2657"/>
      <c r="Q11" s="2657"/>
      <c r="R11" s="2657"/>
    </row>
    <row r="12" spans="1:28">
      <c r="A12" s="2621" t="s">
        <v>2925</v>
      </c>
      <c r="B12" s="2618" t="s">
        <v>3389</v>
      </c>
      <c r="C12" s="324" t="s">
        <v>2926</v>
      </c>
      <c r="D12" s="2622" t="s">
        <v>2927</v>
      </c>
      <c r="E12" s="2622" t="s">
        <v>2928</v>
      </c>
      <c r="F12" s="2622" t="s">
        <v>2929</v>
      </c>
      <c r="G12" s="2622" t="s">
        <v>2930</v>
      </c>
      <c r="H12" s="2622" t="s">
        <v>2931</v>
      </c>
      <c r="I12" s="2622" t="s">
        <v>2932</v>
      </c>
      <c r="J12" s="2657"/>
      <c r="K12" s="2831"/>
      <c r="L12" s="2828"/>
      <c r="M12" s="2828"/>
      <c r="N12" s="2657"/>
      <c r="O12" s="2668"/>
      <c r="P12" s="2657"/>
      <c r="Q12" s="2657"/>
      <c r="R12" s="2657"/>
    </row>
    <row r="13" spans="1:28">
      <c r="A13" s="1235"/>
      <c r="B13" s="2623"/>
      <c r="C13" s="2624" t="s">
        <v>2933</v>
      </c>
      <c r="D13" s="959">
        <v>68510</v>
      </c>
      <c r="E13" s="959">
        <v>57553</v>
      </c>
      <c r="F13" s="959"/>
      <c r="G13" s="959">
        <v>61205</v>
      </c>
      <c r="H13" s="959">
        <v>61205</v>
      </c>
      <c r="I13" s="959"/>
      <c r="J13" s="2657"/>
      <c r="K13" s="2831"/>
      <c r="L13" s="2828"/>
      <c r="M13" s="2828"/>
      <c r="N13" s="2657"/>
      <c r="O13" s="2668"/>
      <c r="P13" s="2657"/>
      <c r="Q13" s="2657"/>
      <c r="R13" s="2657"/>
    </row>
    <row r="14" spans="1:28">
      <c r="A14" s="1235"/>
      <c r="B14" s="2623"/>
      <c r="C14" s="2624" t="s">
        <v>2934</v>
      </c>
      <c r="D14" s="2625">
        <v>70</v>
      </c>
      <c r="E14" s="2625">
        <v>40</v>
      </c>
      <c r="F14" s="2625"/>
      <c r="G14" s="2625">
        <v>50</v>
      </c>
      <c r="H14" s="2625">
        <v>50</v>
      </c>
      <c r="I14" s="2625"/>
      <c r="J14" s="2657"/>
      <c r="K14" s="2832"/>
      <c r="L14" s="2828"/>
      <c r="M14" s="2828"/>
      <c r="N14" s="2657"/>
      <c r="O14" s="2668"/>
      <c r="P14" s="2657"/>
      <c r="Q14" s="2657"/>
      <c r="R14" s="2657"/>
    </row>
    <row r="15" spans="1:28">
      <c r="A15" s="321"/>
      <c r="B15" s="2626"/>
      <c r="C15" s="2627" t="s">
        <v>2935</v>
      </c>
      <c r="D15" s="2628">
        <f>IF(B12="出让",IF(D13="","",ROUNDDOWN(MIN((D13-$D$3)/365,D14),2)),D14)</f>
        <v>65.59</v>
      </c>
      <c r="E15" s="2628">
        <f>IF(B12="出让",IF(E13="","",ROUNDDOWN(MIN((E13-$D$3)/365,E14),2)),E14)</f>
        <v>35.57</v>
      </c>
      <c r="F15" s="2628" t="str">
        <f>IF(B12="出让",IF(F13="","",ROUNDDOWN(MIN((F13-$D$3)/365,F14),2)),F14)</f>
        <v/>
      </c>
      <c r="G15" s="2628">
        <f>IF(B12="出让",IF(G13="","",ROUNDDOWN(MIN((G13-$D$3)/365,G14),2)),G14)</f>
        <v>45.58</v>
      </c>
      <c r="H15" s="2628">
        <f>IF(B12="出让",IF(H13="","",ROUNDDOWN(MIN((H13-$D$3)/365,H14),2)),H14)</f>
        <v>45.58</v>
      </c>
      <c r="I15" s="2628" t="str">
        <f>IF(B12="出让",IF(I13="","",ROUNDDOWN(MIN((I13-$D$3)/365,I14),2)),I14)</f>
        <v/>
      </c>
      <c r="J15" s="2657"/>
      <c r="K15" s="2833"/>
      <c r="L15" s="2669"/>
      <c r="M15" s="2669"/>
      <c r="N15" s="2724"/>
      <c r="O15" s="2669"/>
      <c r="P15" s="2724"/>
      <c r="Q15" s="2657"/>
      <c r="R15" s="2657"/>
    </row>
    <row r="16" spans="1:28">
      <c r="A16" s="2616" t="s">
        <v>2936</v>
      </c>
      <c r="B16" s="3348"/>
      <c r="C16" s="3349"/>
      <c r="D16" s="3350"/>
      <c r="E16" s="2631" t="s">
        <v>2937</v>
      </c>
      <c r="F16" s="3351"/>
      <c r="G16" s="3352"/>
      <c r="H16" s="3352"/>
      <c r="I16" s="3353"/>
      <c r="J16" s="2657"/>
      <c r="K16" s="2833"/>
      <c r="L16" s="2669"/>
      <c r="M16" s="2669"/>
      <c r="N16" s="2724"/>
      <c r="O16" s="2669"/>
      <c r="P16" s="2724"/>
      <c r="Q16" s="2657"/>
      <c r="R16" s="2657"/>
    </row>
    <row r="17" spans="1:28">
      <c r="A17" s="314" t="s">
        <v>2938</v>
      </c>
      <c r="B17" s="303" t="s">
        <v>2939</v>
      </c>
      <c r="C17" s="11">
        <f>'数据-汇总表'!E3</f>
        <v>86417.1</v>
      </c>
      <c r="D17" s="2537" t="s">
        <v>2940</v>
      </c>
      <c r="E17" s="3354"/>
      <c r="F17" s="3355"/>
      <c r="G17" s="3355"/>
      <c r="H17" s="3355"/>
      <c r="I17" s="3356"/>
      <c r="J17" s="2657"/>
      <c r="K17" s="2834"/>
      <c r="L17" s="2669"/>
      <c r="M17" s="2669"/>
      <c r="N17" s="2724"/>
      <c r="O17" s="2669"/>
      <c r="P17" s="2724"/>
      <c r="Q17" s="2657"/>
      <c r="R17" s="2657"/>
      <c r="S17" s="2657"/>
      <c r="T17" s="2657"/>
      <c r="U17" s="2657"/>
      <c r="V17" s="2657"/>
    </row>
    <row r="18" spans="1:28" ht="24.75" thickBot="1">
      <c r="A18" s="2632" t="s">
        <v>2941</v>
      </c>
      <c r="B18" s="1244" t="s">
        <v>2942</v>
      </c>
      <c r="C18" s="2633">
        <f>'数据-汇总表'!D3</f>
        <v>35230.35</v>
      </c>
      <c r="D18" s="1246" t="s">
        <v>2943</v>
      </c>
      <c r="E18" s="3357"/>
      <c r="F18" s="3358"/>
      <c r="G18" s="3358"/>
      <c r="H18" s="3358"/>
      <c r="I18" s="3359"/>
      <c r="J18" s="2657"/>
      <c r="K18" s="2834"/>
      <c r="L18" s="2669"/>
      <c r="M18" s="2669"/>
      <c r="N18" s="2724"/>
      <c r="O18" s="2669"/>
      <c r="P18" s="2724"/>
      <c r="Q18" s="2657"/>
      <c r="R18" s="2657"/>
      <c r="S18" s="2657"/>
      <c r="T18" s="2657"/>
      <c r="U18" s="2657"/>
      <c r="V18" s="2657"/>
    </row>
    <row r="19" spans="1:28" ht="37.5" thickTop="1" thickBot="1">
      <c r="A19" s="328" t="s">
        <v>1740</v>
      </c>
      <c r="B19" s="308" t="s">
        <v>2944</v>
      </c>
      <c r="C19" s="1741"/>
      <c r="D19" s="1742" t="s">
        <v>2945</v>
      </c>
      <c r="E19" s="1743"/>
      <c r="F19" s="1744" t="str">
        <f>IF(AND(C19="是",E19="否"),"是否提供他项权证或相关说明","")</f>
        <v/>
      </c>
      <c r="G19" s="1745"/>
      <c r="H19" s="2880"/>
      <c r="I19" s="2880"/>
      <c r="J19" s="2657"/>
      <c r="K19" s="2831"/>
      <c r="L19" s="2828"/>
      <c r="M19" s="2828"/>
      <c r="N19" s="2724"/>
      <c r="O19" s="2669"/>
      <c r="P19" s="2724"/>
      <c r="Q19" s="2657"/>
      <c r="R19" s="2657"/>
      <c r="S19" s="2657"/>
      <c r="T19" s="2657"/>
      <c r="U19" s="2657"/>
      <c r="V19" s="2657"/>
    </row>
    <row r="20" spans="1:28">
      <c r="A20" s="2848" t="s">
        <v>2946</v>
      </c>
      <c r="B20" s="3344" t="s">
        <v>2947</v>
      </c>
      <c r="C20" s="3345"/>
      <c r="D20" s="3346" t="s">
        <v>2948</v>
      </c>
      <c r="E20" s="3347"/>
      <c r="F20" s="2863" t="s">
        <v>1741</v>
      </c>
      <c r="G20" s="2880"/>
      <c r="H20" s="2880"/>
      <c r="I20" s="2880"/>
      <c r="J20" s="2657"/>
      <c r="K20" s="3343" t="s">
        <v>2949</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48"/>
      <c r="B21" s="2849" t="s">
        <v>2950</v>
      </c>
      <c r="C21" s="2850" t="s">
        <v>1742</v>
      </c>
      <c r="D21" s="1746" t="s">
        <v>2951</v>
      </c>
      <c r="E21" s="2851" t="s">
        <v>1742</v>
      </c>
      <c r="F21" s="2864"/>
      <c r="G21" s="2880"/>
      <c r="H21" s="2880"/>
      <c r="I21" s="2880"/>
      <c r="J21" s="2657"/>
      <c r="K21" s="3343"/>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48"/>
      <c r="B22" s="2852" t="s">
        <v>2952</v>
      </c>
      <c r="C22" s="2850" t="s">
        <v>1743</v>
      </c>
      <c r="D22" s="2879"/>
      <c r="E22" s="2879"/>
      <c r="F22" s="2879"/>
      <c r="G22" s="2880"/>
      <c r="H22" s="2880"/>
      <c r="I22" s="2880"/>
      <c r="J22" s="2657"/>
      <c r="K22" s="3343"/>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3" t="s">
        <v>2953</v>
      </c>
      <c r="B23" s="2717" t="s">
        <v>2954</v>
      </c>
      <c r="C23" s="2854"/>
      <c r="D23" s="2855" t="s">
        <v>2954</v>
      </c>
      <c r="E23" s="2856"/>
      <c r="F23" s="2879"/>
      <c r="G23" s="2880"/>
      <c r="H23" s="2880"/>
      <c r="I23" s="2880"/>
      <c r="J23" s="2657"/>
      <c r="K23" s="2835"/>
      <c r="L23" s="2691"/>
      <c r="M23" s="2828"/>
      <c r="N23" s="2724"/>
      <c r="O23" s="2669"/>
      <c r="P23" s="2724"/>
      <c r="Q23" s="2657"/>
      <c r="R23" s="2657"/>
      <c r="S23" s="2657"/>
      <c r="T23" s="2657"/>
      <c r="U23" s="2657"/>
      <c r="V23" s="2657"/>
    </row>
    <row r="24" spans="1:28">
      <c r="A24" s="2853"/>
      <c r="B24" s="2717" t="s">
        <v>1744</v>
      </c>
      <c r="C24" s="2857"/>
      <c r="D24" s="2853" t="s">
        <v>1744</v>
      </c>
      <c r="E24" s="2858"/>
      <c r="F24" s="2879"/>
      <c r="G24" s="2880"/>
      <c r="H24" s="2880"/>
      <c r="I24" s="2880"/>
      <c r="J24" s="2657"/>
      <c r="K24" s="2835"/>
      <c r="L24" s="2691"/>
      <c r="M24" s="2828"/>
      <c r="N24" s="2724"/>
      <c r="O24" s="2669"/>
      <c r="P24" s="2724"/>
      <c r="Q24" s="2657"/>
      <c r="R24" s="2657"/>
      <c r="S24" s="2657"/>
      <c r="T24" s="2657"/>
      <c r="U24" s="2657"/>
      <c r="V24" s="2657"/>
    </row>
    <row r="25" spans="1:28">
      <c r="A25" s="2853"/>
      <c r="B25" s="2717" t="s">
        <v>1745</v>
      </c>
      <c r="C25" s="2857"/>
      <c r="D25" s="2853" t="s">
        <v>1745</v>
      </c>
      <c r="E25" s="2858"/>
      <c r="F25" s="2879"/>
      <c r="G25" s="2880"/>
      <c r="H25" s="2880"/>
      <c r="I25" s="2880"/>
      <c r="J25" s="2657"/>
      <c r="K25" s="2831"/>
      <c r="L25" s="2828"/>
      <c r="M25" s="2828"/>
      <c r="N25" s="2724"/>
      <c r="O25" s="2669"/>
      <c r="P25" s="2724"/>
      <c r="Q25" s="2657"/>
      <c r="R25" s="2657"/>
      <c r="S25" s="2657"/>
      <c r="T25" s="2657"/>
      <c r="U25" s="2657"/>
      <c r="V25" s="2657"/>
    </row>
    <row r="26" spans="1:28" ht="13.5" thickBot="1">
      <c r="A26" s="2859"/>
      <c r="B26" s="2860" t="s">
        <v>1746</v>
      </c>
      <c r="C26" s="2861"/>
      <c r="D26" s="2859" t="s">
        <v>1746</v>
      </c>
      <c r="E26" s="2862"/>
      <c r="F26" s="2881"/>
      <c r="G26" s="2881"/>
      <c r="H26" s="2881"/>
      <c r="I26" s="2881"/>
      <c r="J26" s="2657"/>
      <c r="K26" s="2831"/>
      <c r="L26" s="2828"/>
      <c r="M26" s="2828"/>
      <c r="N26" s="2724"/>
      <c r="O26" s="2669"/>
      <c r="P26" s="2724"/>
      <c r="Q26" s="2657"/>
      <c r="R26" s="2657"/>
      <c r="S26" s="2657"/>
      <c r="T26" s="2657"/>
      <c r="U26" s="2657"/>
      <c r="V26" s="2657"/>
    </row>
    <row r="27" spans="1:28" ht="13.5" thickTop="1">
      <c r="A27" s="3361" t="s">
        <v>2955</v>
      </c>
      <c r="B27" s="321" t="s">
        <v>2956</v>
      </c>
      <c r="C27" s="2634"/>
      <c r="D27" s="2635"/>
      <c r="E27" s="2880"/>
      <c r="F27" s="2880"/>
      <c r="G27" s="2880"/>
      <c r="H27" s="2880"/>
      <c r="I27" s="2880"/>
      <c r="J27" s="2657"/>
      <c r="K27" s="2833"/>
      <c r="L27" s="2669"/>
      <c r="M27" s="2669"/>
      <c r="N27" s="2724"/>
      <c r="O27" s="2669"/>
      <c r="P27" s="2724"/>
      <c r="Q27" s="2657"/>
      <c r="R27" s="2657"/>
      <c r="S27" s="2657"/>
      <c r="T27" s="2657"/>
      <c r="U27" s="2657"/>
      <c r="V27" s="2657"/>
    </row>
    <row r="28" spans="1:28">
      <c r="A28" s="3361"/>
      <c r="B28" s="303" t="s">
        <v>2957</v>
      </c>
      <c r="C28" s="2636"/>
      <c r="D28" s="2637"/>
      <c r="E28" s="2880"/>
      <c r="F28" s="2880"/>
      <c r="G28" s="2880"/>
      <c r="H28" s="2880"/>
      <c r="I28" s="2880"/>
      <c r="J28" s="2657"/>
      <c r="K28" s="2831"/>
      <c r="L28" s="2828"/>
      <c r="M28" s="2828"/>
      <c r="N28" s="2657"/>
      <c r="O28" s="2668"/>
      <c r="P28" s="2657"/>
      <c r="Q28" s="2657"/>
      <c r="R28" s="2657"/>
      <c r="S28" s="2657"/>
      <c r="T28" s="2657"/>
      <c r="U28" s="2657"/>
      <c r="V28" s="2657"/>
    </row>
    <row r="29" spans="1:28">
      <c r="A29" s="3361"/>
      <c r="B29" s="303" t="s">
        <v>2958</v>
      </c>
      <c r="C29" s="2638"/>
      <c r="D29" s="2639"/>
      <c r="E29" s="2880"/>
      <c r="F29" s="2880"/>
      <c r="G29" s="2880"/>
      <c r="H29" s="2880"/>
      <c r="I29" s="2880"/>
      <c r="J29" s="2657"/>
      <c r="K29" s="2831"/>
      <c r="L29" s="2828"/>
      <c r="M29" s="2828"/>
      <c r="N29" s="2657"/>
      <c r="O29" s="2668"/>
      <c r="P29" s="2657"/>
      <c r="Q29" s="2657"/>
      <c r="R29" s="2657"/>
      <c r="S29" s="2657"/>
      <c r="T29" s="2657"/>
      <c r="U29" s="2657"/>
      <c r="V29" s="2657"/>
    </row>
    <row r="30" spans="1:28">
      <c r="A30" s="3362"/>
      <c r="B30" s="303" t="s">
        <v>2959</v>
      </c>
      <c r="C30" s="3363"/>
      <c r="D30" s="3364"/>
      <c r="E30" s="2880"/>
      <c r="F30" s="2880"/>
      <c r="G30" s="2880"/>
      <c r="H30" s="2880"/>
      <c r="I30" s="2880"/>
      <c r="J30" s="2657"/>
      <c r="K30" s="2831"/>
      <c r="L30" s="2828"/>
      <c r="M30" s="2828"/>
      <c r="N30" s="2657"/>
      <c r="O30" s="2668"/>
      <c r="P30" s="2657"/>
      <c r="Q30" s="2657"/>
      <c r="R30" s="2657"/>
      <c r="S30" s="2657"/>
      <c r="T30" s="2657"/>
      <c r="U30" s="2657"/>
      <c r="V30" s="2657"/>
    </row>
    <row r="31" spans="1:28">
      <c r="A31" s="3365" t="s">
        <v>2960</v>
      </c>
      <c r="B31" s="2640"/>
      <c r="C31" s="2538" t="str">
        <f>IF(B31="现房","成新及维护状况正常否",IF(B31="在建","工程状态是否正常",IF(B31="土地","是否闲置","-")))</f>
        <v>-</v>
      </c>
      <c r="D31" s="1550"/>
      <c r="E31" s="2641"/>
      <c r="F31" s="2880"/>
      <c r="G31" s="2880"/>
      <c r="H31" s="2880"/>
      <c r="I31" s="2880"/>
      <c r="J31" s="2657"/>
      <c r="K31" s="2830"/>
      <c r="L31" s="2828"/>
      <c r="M31" s="2828"/>
      <c r="N31" s="2657"/>
      <c r="O31" s="2668"/>
      <c r="P31" s="2657"/>
      <c r="Q31" s="2657"/>
      <c r="R31" s="2657"/>
      <c r="S31" s="2657"/>
      <c r="T31" s="2657"/>
      <c r="U31" s="2657"/>
      <c r="V31" s="2657"/>
    </row>
    <row r="32" spans="1:28">
      <c r="A32" s="3366"/>
      <c r="B32" s="2640"/>
      <c r="C32" s="2538" t="str">
        <f>IF(B32="现房","成新及维护状况是否正常",IF(B32="在建","工程状态是否正常",IF(B32="土地","是否闲置","-")))</f>
        <v>-</v>
      </c>
      <c r="D32" s="1550"/>
      <c r="E32" s="2641"/>
      <c r="F32" s="2880"/>
      <c r="G32" s="2880"/>
      <c r="H32" s="2880"/>
      <c r="I32" s="2880"/>
      <c r="J32" s="2657"/>
      <c r="K32" s="2831"/>
      <c r="L32" s="2828"/>
      <c r="M32" s="2828"/>
      <c r="N32" s="2657"/>
      <c r="O32" s="2668"/>
      <c r="P32" s="2657"/>
      <c r="Q32" s="2657"/>
      <c r="R32" s="2657"/>
      <c r="S32" s="2657"/>
      <c r="T32" s="2657"/>
      <c r="U32" s="2657"/>
      <c r="V32" s="2657"/>
    </row>
    <row r="33" spans="1:30">
      <c r="A33" s="3366"/>
      <c r="B33" s="2643"/>
      <c r="C33" s="1768" t="str">
        <f>IF(B33="现房","成新及维护状况是否正常",IF(B33="在建","工程状态是否正常",IF(B33="土地","是否闲置","-")))</f>
        <v>-</v>
      </c>
      <c r="D33" s="1542"/>
      <c r="E33" s="2644"/>
      <c r="F33" s="2880"/>
      <c r="G33" s="2880"/>
      <c r="H33" s="2880"/>
      <c r="I33" s="2880"/>
      <c r="J33" s="2657"/>
      <c r="K33" s="2831"/>
      <c r="L33" s="2828"/>
      <c r="M33" s="2828"/>
      <c r="N33" s="2657"/>
      <c r="O33" s="2668"/>
      <c r="P33" s="2657"/>
      <c r="Q33" s="2657"/>
      <c r="R33" s="2657"/>
      <c r="S33" s="2657"/>
      <c r="T33" s="2657"/>
      <c r="U33" s="2657"/>
      <c r="V33" s="2657"/>
    </row>
    <row r="34" spans="1:30">
      <c r="A34" s="303" t="s">
        <v>2961</v>
      </c>
      <c r="B34" s="2206"/>
      <c r="C34" s="2206"/>
      <c r="D34" s="2206"/>
      <c r="E34" s="2206"/>
      <c r="F34" s="2206"/>
      <c r="G34" s="2206"/>
      <c r="H34" s="2206"/>
      <c r="I34" s="2880"/>
      <c r="J34" s="2657"/>
      <c r="K34" s="2645">
        <f>COUNTIF(B34:H34,"——")</f>
        <v>0</v>
      </c>
      <c r="L34" s="324" t="s">
        <v>2962</v>
      </c>
      <c r="M34" s="324" t="s">
        <v>2963</v>
      </c>
      <c r="N34" s="324" t="s">
        <v>2964</v>
      </c>
      <c r="O34" s="324" t="s">
        <v>2965</v>
      </c>
      <c r="P34" s="324" t="s">
        <v>2966</v>
      </c>
      <c r="Q34" s="324" t="s">
        <v>2967</v>
      </c>
      <c r="R34" s="324" t="s">
        <v>2968</v>
      </c>
      <c r="S34" s="3360" t="s">
        <v>2969</v>
      </c>
      <c r="T34" s="2646" t="str">
        <f>NUMBERSTRING(7-K34,1)&amp;"通"</f>
        <v>七通</v>
      </c>
      <c r="U34" s="2657"/>
      <c r="V34" s="2657"/>
    </row>
    <row r="35" spans="1:30">
      <c r="A35" s="2647"/>
      <c r="B35" s="3367" t="s">
        <v>2970</v>
      </c>
      <c r="C35" s="3367"/>
      <c r="D35" s="3367"/>
      <c r="E35" s="3367"/>
      <c r="F35" s="668">
        <f>C10</f>
        <v>0</v>
      </c>
      <c r="G35" s="2880"/>
      <c r="H35" s="2880"/>
      <c r="I35" s="2880"/>
      <c r="J35" s="2657"/>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60"/>
      <c r="T35" s="330" t="str">
        <f>IF(T34="一通",L35,IF(T34="二通",M35,IF(T34="三通",N35,IF(T34="四通",O35,IF(T34="五通",P35,IF(T34="六通",Q35,R35))))))</f>
        <v>、、、、、、</v>
      </c>
      <c r="U35" s="2657"/>
      <c r="V35" s="2657"/>
    </row>
    <row r="36" spans="1:30">
      <c r="A36" s="2648"/>
      <c r="B36" s="668" t="s">
        <v>2928</v>
      </c>
      <c r="C36" s="668" t="s">
        <v>2929</v>
      </c>
      <c r="D36" s="668" t="s">
        <v>2927</v>
      </c>
      <c r="E36" s="668" t="s">
        <v>2932</v>
      </c>
      <c r="F36" s="2885"/>
      <c r="G36" s="2880"/>
      <c r="H36" s="2880"/>
      <c r="I36" s="2880"/>
      <c r="J36" s="2657"/>
      <c r="K36" s="2831"/>
      <c r="L36" s="2828"/>
      <c r="M36" s="2828"/>
      <c r="N36" s="2657"/>
      <c r="O36" s="2668"/>
      <c r="P36" s="2657"/>
      <c r="Q36" s="2657"/>
      <c r="R36" s="2657"/>
      <c r="S36" s="2657"/>
      <c r="T36" s="2657"/>
      <c r="U36" s="2657"/>
      <c r="V36" s="2657"/>
    </row>
    <row r="37" spans="1:30">
      <c r="A37" s="2846" t="s">
        <v>2971</v>
      </c>
      <c r="B37" s="2649" t="s">
        <v>528</v>
      </c>
      <c r="C37" s="2649"/>
      <c r="D37" s="2649" t="s">
        <v>528</v>
      </c>
      <c r="E37" s="2649"/>
      <c r="F37" s="2885"/>
      <c r="G37" s="2880"/>
      <c r="H37" s="2880"/>
      <c r="I37" s="2880"/>
      <c r="J37" s="2657"/>
      <c r="K37" s="2831"/>
      <c r="L37" s="2828"/>
      <c r="M37" s="2828"/>
      <c r="N37" s="2657"/>
      <c r="O37" s="2668"/>
      <c r="P37" s="2657"/>
      <c r="Q37" s="2657"/>
      <c r="R37" s="2657"/>
      <c r="S37" s="2657"/>
      <c r="T37" s="2657"/>
      <c r="U37" s="2657"/>
      <c r="V37" s="2657"/>
    </row>
    <row r="38" spans="1:30" ht="13.5" thickBot="1">
      <c r="A38" s="2847" t="s">
        <v>2972</v>
      </c>
      <c r="B38" s="2650" t="s">
        <v>207</v>
      </c>
      <c r="C38" s="2650"/>
      <c r="D38" s="2650" t="s">
        <v>207</v>
      </c>
      <c r="E38" s="2650"/>
      <c r="F38" s="2886"/>
      <c r="G38" s="2881"/>
      <c r="H38" s="2881"/>
      <c r="I38" s="2881"/>
      <c r="J38" s="2657"/>
      <c r="K38" s="2831"/>
      <c r="L38" s="2828"/>
      <c r="M38" s="2828"/>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6"/>
      <c r="B40" s="2586"/>
      <c r="C40" s="2586"/>
      <c r="D40" s="2586"/>
      <c r="E40" s="2586"/>
      <c r="F40" s="2586"/>
      <c r="G40" s="2586"/>
      <c r="H40" s="2586"/>
      <c r="I40" s="1756"/>
      <c r="J40" s="2724"/>
      <c r="K40" s="2830"/>
      <c r="L40" s="2669"/>
      <c r="M40" s="2669"/>
      <c r="N40" s="2724"/>
      <c r="O40" s="2669"/>
      <c r="P40" s="2657"/>
      <c r="Q40" s="2657"/>
      <c r="R40" s="2657"/>
      <c r="S40" s="2657"/>
      <c r="T40" s="2657"/>
      <c r="U40" s="2657"/>
      <c r="V40" s="2657"/>
    </row>
    <row r="41" spans="1:30">
      <c r="A41" s="2654" t="s">
        <v>2974</v>
      </c>
      <c r="B41" s="1935"/>
      <c r="C41" s="1550"/>
      <c r="D41" s="2586"/>
      <c r="E41" s="2586"/>
      <c r="F41" s="2586"/>
      <c r="G41" s="2586"/>
      <c r="H41" s="2586"/>
      <c r="I41" s="1754"/>
      <c r="J41" s="2657"/>
      <c r="K41" s="2831"/>
      <c r="L41" s="2828"/>
      <c r="M41" s="2828"/>
      <c r="N41" s="2657"/>
      <c r="O41" s="2668"/>
      <c r="P41" s="2657"/>
      <c r="Q41" s="2657"/>
      <c r="R41" s="2657"/>
      <c r="S41" s="2657"/>
      <c r="T41" s="2657"/>
      <c r="U41" s="2657"/>
      <c r="V41" s="2657"/>
    </row>
    <row r="42" spans="1:30" ht="25.5">
      <c r="A42" s="324" t="s">
        <v>2975</v>
      </c>
      <c r="B42" s="11" t="s">
        <v>2976</v>
      </c>
      <c r="C42" s="11" t="s">
        <v>2977</v>
      </c>
      <c r="D42" s="11" t="s">
        <v>2978</v>
      </c>
      <c r="E42" s="11" t="s">
        <v>2979</v>
      </c>
      <c r="F42" s="11" t="s">
        <v>2980</v>
      </c>
      <c r="G42" s="11" t="s">
        <v>2981</v>
      </c>
      <c r="H42" s="11" t="s">
        <v>2982</v>
      </c>
      <c r="I42" s="11" t="s">
        <v>2983</v>
      </c>
      <c r="J42" s="2842" t="s">
        <v>2984</v>
      </c>
      <c r="K42" s="2843" t="s">
        <v>2985</v>
      </c>
      <c r="L42" s="2843" t="s">
        <v>2986</v>
      </c>
      <c r="M42" s="2843" t="s">
        <v>2987</v>
      </c>
      <c r="N42" s="2836" t="s">
        <v>2988</v>
      </c>
      <c r="O42" s="2836" t="s">
        <v>2989</v>
      </c>
      <c r="P42" s="2836" t="s">
        <v>2990</v>
      </c>
      <c r="Q42" s="2837" t="s">
        <v>2991</v>
      </c>
      <c r="R42" s="2837" t="s">
        <v>2992</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0" sqref="D30"/>
      <selection pane="topRight" activeCell="D30" sqref="D30"/>
      <selection pane="bottomLeft" activeCell="D30" sqref="D30"/>
      <selection pane="bottomRight" activeCell="I13" sqref="I1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3195">
        <f>ROUND('数据-汇总表'!E3/223321.39 *规证及工程进度!C112,2)</f>
        <v>35230.35</v>
      </c>
      <c r="B3" s="13">
        <f>IF(C3="否",G5-AT5,G5)</f>
        <v>86417.1</v>
      </c>
      <c r="C3" s="1758" t="s">
        <v>1755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4" t="s">
        <v>1756</v>
      </c>
      <c r="B5" s="1524"/>
      <c r="C5" s="1524"/>
      <c r="D5" s="1526"/>
      <c r="E5" s="15" t="s">
        <v>1</v>
      </c>
      <c r="F5" s="15">
        <f>SUM(F13:F587)</f>
        <v>0</v>
      </c>
      <c r="G5" s="15">
        <f>SUM(G13:G587)</f>
        <v>86417.1</v>
      </c>
      <c r="H5" s="15">
        <f t="shared" ref="H5:AT5" si="0">SUM(H13:H656)</f>
        <v>86417.1</v>
      </c>
      <c r="I5" s="15">
        <f t="shared" si="0"/>
        <v>15708.62</v>
      </c>
      <c r="J5" s="15">
        <f t="shared" si="0"/>
        <v>0</v>
      </c>
      <c r="K5" s="15">
        <f t="shared" si="0"/>
        <v>19826.72</v>
      </c>
      <c r="L5" s="15">
        <f t="shared" si="0"/>
        <v>0</v>
      </c>
      <c r="M5" s="15">
        <f t="shared" si="0"/>
        <v>10771.04</v>
      </c>
      <c r="N5" s="15">
        <f t="shared" si="0"/>
        <v>0</v>
      </c>
      <c r="O5" s="15">
        <f t="shared" si="0"/>
        <v>32537.82</v>
      </c>
      <c r="P5" s="15">
        <f t="shared" si="0"/>
        <v>0</v>
      </c>
      <c r="Q5" s="15">
        <f t="shared" si="0"/>
        <v>1473.1699999999998</v>
      </c>
      <c r="R5" s="15">
        <f t="shared" si="0"/>
        <v>0</v>
      </c>
      <c r="S5" s="15">
        <f t="shared" si="0"/>
        <v>496.05</v>
      </c>
      <c r="T5" s="15">
        <f t="shared" si="0"/>
        <v>0</v>
      </c>
      <c r="U5" s="15">
        <f t="shared" si="0"/>
        <v>4957.7199999999993</v>
      </c>
      <c r="V5" s="15">
        <f t="shared" si="0"/>
        <v>0</v>
      </c>
      <c r="W5" s="15">
        <f t="shared" si="0"/>
        <v>263.92</v>
      </c>
      <c r="X5" s="15">
        <f t="shared" si="0"/>
        <v>0</v>
      </c>
      <c r="Y5" s="15">
        <f t="shared" si="0"/>
        <v>382.04</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3"/>
      <c r="AV5" s="14" t="s">
        <v>1756</v>
      </c>
      <c r="AW5" s="1524"/>
      <c r="AX5" s="1524"/>
      <c r="AY5" s="16" t="s">
        <v>3</v>
      </c>
      <c r="AZ5" s="17">
        <f t="shared" ref="AZ5:BT5" si="1">SUM(AZ13:AZ656)</f>
        <v>86417.1</v>
      </c>
      <c r="BA5" s="17">
        <f t="shared" si="1"/>
        <v>86417.1</v>
      </c>
      <c r="BB5" s="17">
        <f t="shared" si="1"/>
        <v>15708.62</v>
      </c>
      <c r="BC5" s="17">
        <f t="shared" si="1"/>
        <v>19826.72</v>
      </c>
      <c r="BD5" s="17">
        <f t="shared" si="1"/>
        <v>10771.04</v>
      </c>
      <c r="BE5" s="17">
        <f t="shared" si="1"/>
        <v>32537.82</v>
      </c>
      <c r="BF5" s="17">
        <f t="shared" si="1"/>
        <v>1473.1699999999998</v>
      </c>
      <c r="BG5" s="17">
        <f t="shared" si="1"/>
        <v>496.05</v>
      </c>
      <c r="BH5" s="17">
        <f t="shared" si="1"/>
        <v>4957.7199999999993</v>
      </c>
      <c r="BI5" s="17">
        <f t="shared" si="1"/>
        <v>263.92</v>
      </c>
      <c r="BJ5" s="17">
        <f t="shared" si="1"/>
        <v>382.04</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7" customFormat="1" ht="12.75">
      <c r="A6" s="14" t="s">
        <v>1757</v>
      </c>
      <c r="B6" s="1764"/>
      <c r="C6" s="1764"/>
      <c r="D6" s="1765"/>
      <c r="E6" s="15">
        <f>H6+AC6+AT6</f>
        <v>35230.35</v>
      </c>
      <c r="F6" s="15" t="s">
        <v>1</v>
      </c>
      <c r="G6" s="15" t="s">
        <v>2</v>
      </c>
      <c r="H6" s="19">
        <f>SUMIF(I$12:AB$12,"总值",I6:AB6)</f>
        <v>35230.35</v>
      </c>
      <c r="I6" s="15">
        <f t="shared" ref="I6:AB6" si="2">ROUND($A$3*I5/$B$3,2)</f>
        <v>6404.06</v>
      </c>
      <c r="J6" s="15">
        <f t="shared" si="2"/>
        <v>0</v>
      </c>
      <c r="K6" s="15">
        <f t="shared" si="2"/>
        <v>8082.92</v>
      </c>
      <c r="L6" s="15">
        <f t="shared" si="2"/>
        <v>0</v>
      </c>
      <c r="M6" s="15">
        <f t="shared" si="2"/>
        <v>4391.12</v>
      </c>
      <c r="N6" s="15">
        <f t="shared" si="2"/>
        <v>0</v>
      </c>
      <c r="O6" s="15">
        <f t="shared" si="2"/>
        <v>13264.95</v>
      </c>
      <c r="P6" s="15">
        <f t="shared" si="2"/>
        <v>0</v>
      </c>
      <c r="Q6" s="15">
        <f t="shared" si="2"/>
        <v>600.58000000000004</v>
      </c>
      <c r="R6" s="15">
        <f t="shared" si="2"/>
        <v>0</v>
      </c>
      <c r="S6" s="15">
        <f t="shared" si="2"/>
        <v>202.23</v>
      </c>
      <c r="T6" s="15">
        <f t="shared" si="2"/>
        <v>0</v>
      </c>
      <c r="U6" s="15">
        <f t="shared" si="2"/>
        <v>2021.15</v>
      </c>
      <c r="V6" s="15">
        <f t="shared" si="2"/>
        <v>0</v>
      </c>
      <c r="W6" s="15">
        <f t="shared" si="2"/>
        <v>107.59</v>
      </c>
      <c r="X6" s="15">
        <f t="shared" si="2"/>
        <v>0</v>
      </c>
      <c r="Y6" s="15">
        <f t="shared" si="2"/>
        <v>155.75</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6"/>
      <c r="AV6" s="14" t="s">
        <v>1757</v>
      </c>
      <c r="AW6" s="1764"/>
      <c r="AX6" s="1764"/>
      <c r="AY6" s="20">
        <f>IF(AY3&gt;0,AY3,ROUND($A$3*AZ5/$B$3,2))</f>
        <v>35230.35</v>
      </c>
      <c r="AZ6" s="15" t="s">
        <v>3</v>
      </c>
      <c r="BA6" s="15">
        <f>ROUND($AY$6*BA5/$AZ$5,2)</f>
        <v>35230.35</v>
      </c>
      <c r="BB6" s="15">
        <f>ROUND($AY$6*BB5/$AZ$5,2)</f>
        <v>6404.06</v>
      </c>
      <c r="BC6" s="15">
        <f t="shared" ref="BC6:BH6" si="4">ROUND($AY$6*BC5/$AZ$5,2)</f>
        <v>8082.92</v>
      </c>
      <c r="BD6" s="15">
        <f t="shared" si="4"/>
        <v>4391.12</v>
      </c>
      <c r="BE6" s="15">
        <f t="shared" si="4"/>
        <v>13264.95</v>
      </c>
      <c r="BF6" s="15">
        <f t="shared" si="4"/>
        <v>600.58000000000004</v>
      </c>
      <c r="BG6" s="15">
        <f t="shared" si="4"/>
        <v>202.23</v>
      </c>
      <c r="BH6" s="15">
        <f t="shared" si="4"/>
        <v>2021.15</v>
      </c>
      <c r="BI6" s="15">
        <f t="shared" ref="BI6:BT6" si="5">ROUND($AY$6*BI5/$AZ$5,2)</f>
        <v>107.59</v>
      </c>
      <c r="BJ6" s="15">
        <f t="shared" si="5"/>
        <v>155.75</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7" customFormat="1" ht="24.75">
      <c r="A7" s="1747" t="s">
        <v>1758</v>
      </c>
      <c r="B7" s="1747" t="s">
        <v>1759</v>
      </c>
      <c r="C7" s="1747" t="s">
        <v>1760</v>
      </c>
      <c r="D7" s="1747" t="s">
        <v>1761</v>
      </c>
      <c r="E7" s="1747" t="s">
        <v>1762</v>
      </c>
      <c r="F7" s="1747" t="s">
        <v>1763</v>
      </c>
      <c r="G7" s="1768" t="s">
        <v>1764</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1765</v>
      </c>
      <c r="AV7" s="22" t="s">
        <v>1766</v>
      </c>
      <c r="AW7" s="1756" t="s">
        <v>1767</v>
      </c>
      <c r="AX7" s="22" t="s">
        <v>1760</v>
      </c>
      <c r="AY7" s="1524" t="s">
        <v>1768</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1769</v>
      </c>
      <c r="H8" s="1774" t="s">
        <v>1770</v>
      </c>
      <c r="I8" s="1775"/>
      <c r="J8" s="1537"/>
      <c r="K8" s="1537"/>
      <c r="L8" s="1537"/>
      <c r="M8" s="1537"/>
      <c r="N8" s="1537"/>
      <c r="O8" s="1537"/>
      <c r="P8" s="1537"/>
      <c r="Q8" s="1537"/>
      <c r="R8" s="1537"/>
      <c r="S8" s="1537"/>
      <c r="T8" s="1537"/>
      <c r="U8" s="1537"/>
      <c r="V8" s="1776"/>
      <c r="W8" s="1537"/>
      <c r="X8" s="1537"/>
      <c r="Y8" s="1537"/>
      <c r="Z8" s="1537"/>
      <c r="AA8" s="1776"/>
      <c r="AB8" s="1777"/>
      <c r="AC8" s="912" t="s">
        <v>1771</v>
      </c>
      <c r="AD8" s="1778"/>
      <c r="AE8" s="1770"/>
      <c r="AF8" s="1537"/>
      <c r="AG8" s="1537"/>
      <c r="AH8" s="1537"/>
      <c r="AI8" s="1537"/>
      <c r="AJ8" s="1537"/>
      <c r="AK8" s="1537"/>
      <c r="AL8" s="1537"/>
      <c r="AM8" s="1537"/>
      <c r="AN8" s="1537"/>
      <c r="AO8" s="1537"/>
      <c r="AP8" s="1537"/>
      <c r="AQ8" s="1537"/>
      <c r="AR8" s="1537"/>
      <c r="AS8" s="1537"/>
      <c r="AT8" s="1196" t="s">
        <v>1772</v>
      </c>
      <c r="AU8" s="1772" t="s">
        <v>1773</v>
      </c>
      <c r="AV8" s="1196"/>
      <c r="AW8" s="1755"/>
      <c r="AX8" s="1196"/>
      <c r="AY8" s="1756" t="s">
        <v>1774</v>
      </c>
      <c r="AZ8" s="1536" t="s">
        <v>1775</v>
      </c>
      <c r="BA8" s="1537"/>
      <c r="BB8" s="1537"/>
      <c r="BC8" s="1537"/>
      <c r="BD8" s="1537"/>
      <c r="BE8" s="1537"/>
      <c r="BF8" s="1537"/>
      <c r="BG8" s="1537"/>
      <c r="BH8" s="1537"/>
      <c r="BI8" s="1537"/>
      <c r="BJ8" s="1537"/>
      <c r="BK8" s="1537"/>
      <c r="BL8" s="1537"/>
      <c r="BM8" s="1537"/>
      <c r="BN8" s="1537"/>
      <c r="BO8" s="1537"/>
      <c r="BP8" s="1537"/>
      <c r="BQ8" s="1537"/>
      <c r="BR8" s="1537"/>
      <c r="BS8" s="1537"/>
      <c r="BT8" s="25"/>
    </row>
    <row r="9" spans="1:72" s="1779" customFormat="1" ht="12.75">
      <c r="A9" s="1772"/>
      <c r="B9" s="1772"/>
      <c r="C9" s="1772"/>
      <c r="D9" s="1772"/>
      <c r="E9" s="1772"/>
      <c r="F9" s="1772"/>
      <c r="G9" s="1196"/>
      <c r="H9" s="1780" t="s">
        <v>1776</v>
      </c>
      <c r="I9" s="1781" t="s">
        <v>3056</v>
      </c>
      <c r="J9" s="912"/>
      <c r="K9" s="1781" t="s">
        <v>3057</v>
      </c>
      <c r="L9" s="912"/>
      <c r="M9" s="1781" t="s">
        <v>3057</v>
      </c>
      <c r="N9" s="912"/>
      <c r="O9" s="1781" t="s">
        <v>3056</v>
      </c>
      <c r="P9" s="912"/>
      <c r="Q9" s="1781" t="s">
        <v>3056</v>
      </c>
      <c r="R9" s="912"/>
      <c r="S9" s="1781" t="s">
        <v>3057</v>
      </c>
      <c r="T9" s="912"/>
      <c r="U9" s="1781" t="s">
        <v>3057</v>
      </c>
      <c r="V9" s="912"/>
      <c r="W9" s="1781" t="s">
        <v>3056</v>
      </c>
      <c r="X9" s="1782"/>
      <c r="Y9" s="1781" t="s">
        <v>3057</v>
      </c>
      <c r="Z9" s="912"/>
      <c r="AA9" s="1781"/>
      <c r="AB9" s="912"/>
      <c r="AC9" s="1773" t="s">
        <v>1776</v>
      </c>
      <c r="AD9" s="14" t="s">
        <v>1777</v>
      </c>
      <c r="AE9" s="1202"/>
      <c r="AF9" s="14" t="s">
        <v>1778</v>
      </c>
      <c r="AG9" s="1202"/>
      <c r="AH9" s="14" t="s">
        <v>1777</v>
      </c>
      <c r="AI9" s="1202"/>
      <c r="AJ9" s="14" t="s">
        <v>1778</v>
      </c>
      <c r="AK9" s="1202"/>
      <c r="AL9" s="14" t="s">
        <v>1777</v>
      </c>
      <c r="AM9" s="1202"/>
      <c r="AN9" s="14" t="s">
        <v>1778</v>
      </c>
      <c r="AO9" s="1202"/>
      <c r="AP9" s="14" t="s">
        <v>1777</v>
      </c>
      <c r="AQ9" s="1202"/>
      <c r="AR9" s="14" t="s">
        <v>1778</v>
      </c>
      <c r="AS9" s="1783"/>
      <c r="AT9" s="1772"/>
      <c r="AU9" s="1772" t="s">
        <v>1779</v>
      </c>
      <c r="AV9" s="1196"/>
      <c r="AW9" s="1755"/>
      <c r="AX9" s="1196"/>
      <c r="AY9" s="27"/>
      <c r="AZ9" s="27" t="s">
        <v>1769</v>
      </c>
      <c r="BA9" s="1784" t="s">
        <v>1780</v>
      </c>
      <c r="BB9" s="1785"/>
      <c r="BC9" s="1242"/>
      <c r="BD9" s="1242"/>
      <c r="BE9" s="1242"/>
      <c r="BF9" s="1242"/>
      <c r="BG9" s="1242"/>
      <c r="BH9" s="1242"/>
      <c r="BI9" s="1242"/>
      <c r="BJ9" s="1242"/>
      <c r="BK9" s="1786"/>
      <c r="BL9" s="14" t="s">
        <v>1781</v>
      </c>
      <c r="BM9" s="1537"/>
      <c r="BN9" s="1775"/>
      <c r="BO9" s="1537"/>
      <c r="BP9" s="1537"/>
      <c r="BQ9" s="1537"/>
      <c r="BR9" s="1537"/>
      <c r="BS9" s="1537"/>
      <c r="BT9" s="25"/>
    </row>
    <row r="10" spans="1:72" s="1779" customFormat="1" ht="12.75">
      <c r="A10" s="1772"/>
      <c r="B10" s="1772"/>
      <c r="C10" s="1772"/>
      <c r="D10" s="1772"/>
      <c r="E10" s="1772"/>
      <c r="F10" s="1772"/>
      <c r="G10" s="1196"/>
      <c r="H10" s="27"/>
      <c r="I10" s="1781" t="s">
        <v>3058</v>
      </c>
      <c r="J10" s="912"/>
      <c r="K10" s="1787" t="s">
        <v>3230</v>
      </c>
      <c r="L10" s="912"/>
      <c r="M10" s="1787" t="s">
        <v>3162</v>
      </c>
      <c r="N10" s="912"/>
      <c r="O10" s="1787" t="s">
        <v>3058</v>
      </c>
      <c r="P10" s="912"/>
      <c r="Q10" s="1787" t="s">
        <v>3058</v>
      </c>
      <c r="R10" s="912"/>
      <c r="S10" s="1787" t="s">
        <v>3230</v>
      </c>
      <c r="T10" s="912"/>
      <c r="U10" s="1787" t="s">
        <v>3230</v>
      </c>
      <c r="V10" s="912"/>
      <c r="W10" s="1787" t="s">
        <v>1343</v>
      </c>
      <c r="X10" s="912"/>
      <c r="Y10" s="1787" t="s">
        <v>1343</v>
      </c>
      <c r="Z10" s="912"/>
      <c r="AA10" s="1787"/>
      <c r="AB10" s="912"/>
      <c r="AC10" s="1196"/>
      <c r="AD10" s="14" t="s">
        <v>1782</v>
      </c>
      <c r="AE10" s="1788"/>
      <c r="AF10" s="14" t="s">
        <v>1782</v>
      </c>
      <c r="AG10" s="1788"/>
      <c r="AH10" s="14" t="s">
        <v>1783</v>
      </c>
      <c r="AI10" s="1788"/>
      <c r="AJ10" s="14" t="s">
        <v>1783</v>
      </c>
      <c r="AK10" s="1788"/>
      <c r="AL10" s="14" t="s">
        <v>1784</v>
      </c>
      <c r="AM10" s="1202"/>
      <c r="AN10" s="14" t="s">
        <v>1784</v>
      </c>
      <c r="AO10" s="1202"/>
      <c r="AP10" s="14" t="s">
        <v>1785</v>
      </c>
      <c r="AQ10" s="1202"/>
      <c r="AR10" s="14" t="s">
        <v>1785</v>
      </c>
      <c r="AS10" s="1202"/>
      <c r="AT10" s="1772"/>
      <c r="AU10" s="1772"/>
      <c r="AV10" s="1196"/>
      <c r="AW10" s="1755"/>
      <c r="AX10" s="1196"/>
      <c r="AY10" s="27"/>
      <c r="AZ10" s="27"/>
      <c r="BA10" s="1789" t="s">
        <v>1776</v>
      </c>
      <c r="BB10" s="1790" t="str">
        <f>I9</f>
        <v>地上</v>
      </c>
      <c r="BC10" s="28" t="str">
        <f>K9</f>
        <v>地下</v>
      </c>
      <c r="BD10" s="28" t="str">
        <f>M9</f>
        <v>地下</v>
      </c>
      <c r="BE10" s="28" t="str">
        <f>O9</f>
        <v>地上</v>
      </c>
      <c r="BF10" s="28" t="str">
        <f>Q9</f>
        <v>地上</v>
      </c>
      <c r="BG10" s="28" t="str">
        <f>S9</f>
        <v>地下</v>
      </c>
      <c r="BH10" s="28" t="str">
        <f>U9</f>
        <v>地下</v>
      </c>
      <c r="BI10" s="28" t="str">
        <f>W9</f>
        <v>地上</v>
      </c>
      <c r="BJ10" s="28" t="str">
        <f>Y9</f>
        <v>地下</v>
      </c>
      <c r="BK10" s="28">
        <f>AA9</f>
        <v>0</v>
      </c>
      <c r="BL10" s="24" t="s">
        <v>1776</v>
      </c>
      <c r="BM10" s="1536" t="str">
        <f>AD9</f>
        <v>地上</v>
      </c>
      <c r="BN10" s="28" t="str">
        <f>AF9</f>
        <v>地下</v>
      </c>
      <c r="BO10" s="1536" t="str">
        <f>AH9</f>
        <v>地上</v>
      </c>
      <c r="BP10" s="28" t="str">
        <f>AJ9</f>
        <v>地下</v>
      </c>
      <c r="BQ10" s="1536" t="str">
        <f>AL9</f>
        <v>地上</v>
      </c>
      <c r="BR10" s="28" t="str">
        <f>AN9</f>
        <v>地下</v>
      </c>
      <c r="BS10" s="1536" t="str">
        <f>AP9</f>
        <v>地上</v>
      </c>
      <c r="BT10" s="1791" t="str">
        <f>AR9</f>
        <v>地下</v>
      </c>
    </row>
    <row r="11" spans="1:72" s="1779" customFormat="1" ht="12.75">
      <c r="A11" s="1772"/>
      <c r="B11" s="1772"/>
      <c r="C11" s="1772"/>
      <c r="D11" s="1772"/>
      <c r="E11" s="1772"/>
      <c r="F11" s="1772"/>
      <c r="G11" s="1196"/>
      <c r="H11" s="1789"/>
      <c r="I11" s="1792" t="s">
        <v>5421</v>
      </c>
      <c r="J11" s="1793"/>
      <c r="K11" s="1792" t="s">
        <v>3231</v>
      </c>
      <c r="L11" s="1793"/>
      <c r="M11" s="1792" t="s">
        <v>3162</v>
      </c>
      <c r="N11" s="1793"/>
      <c r="O11" s="1792" t="s">
        <v>3168</v>
      </c>
      <c r="P11" s="1793"/>
      <c r="Q11" s="1792" t="s">
        <v>3485</v>
      </c>
      <c r="R11" s="1793"/>
      <c r="S11" s="1792" t="s">
        <v>3231</v>
      </c>
      <c r="T11" s="1793"/>
      <c r="U11" s="1792" t="s">
        <v>3231</v>
      </c>
      <c r="V11" s="1793"/>
      <c r="W11" s="1792" t="s">
        <v>5674</v>
      </c>
      <c r="X11" s="1793"/>
      <c r="Y11" s="1792" t="s">
        <v>5674</v>
      </c>
      <c r="Z11" s="1793"/>
      <c r="AA11" s="1792"/>
      <c r="AB11" s="1793"/>
      <c r="AC11" s="1196"/>
      <c r="AD11" s="1794" t="s">
        <v>1786</v>
      </c>
      <c r="AE11" s="1538"/>
      <c r="AF11" s="1794" t="s">
        <v>1786</v>
      </c>
      <c r="AG11" s="1538"/>
      <c r="AH11" s="1794" t="s">
        <v>1787</v>
      </c>
      <c r="AI11" s="1795"/>
      <c r="AJ11" s="1794" t="s">
        <v>1787</v>
      </c>
      <c r="AK11" s="1538"/>
      <c r="AL11" s="1536"/>
      <c r="AM11" s="1538"/>
      <c r="AN11" s="1536"/>
      <c r="AO11" s="1538"/>
      <c r="AP11" s="1536"/>
      <c r="AQ11" s="1538"/>
      <c r="AR11" s="1536"/>
      <c r="AS11" s="1538"/>
      <c r="AT11" s="1755"/>
      <c r="AU11" s="1772"/>
      <c r="AV11" s="1196"/>
      <c r="AW11" s="1755"/>
      <c r="AX11" s="1196"/>
      <c r="AY11" s="27"/>
      <c r="AZ11" s="27"/>
      <c r="BA11" s="27"/>
      <c r="BB11" s="1777" t="str">
        <f>I10</f>
        <v>住宅</v>
      </c>
      <c r="BC11" s="1777" t="str">
        <f>K10</f>
        <v>仓储</v>
      </c>
      <c r="BD11" s="1777" t="str">
        <f>M10</f>
        <v>车库</v>
      </c>
      <c r="BE11" s="1777" t="str">
        <f>O10</f>
        <v>住宅</v>
      </c>
      <c r="BF11" s="1777" t="str">
        <f>Q10</f>
        <v>住宅</v>
      </c>
      <c r="BG11" s="1777" t="str">
        <f>S10</f>
        <v>仓储</v>
      </c>
      <c r="BH11" s="1777" t="str">
        <f>U10</f>
        <v>仓储</v>
      </c>
      <c r="BI11" s="1777" t="str">
        <f>W10</f>
        <v>商业</v>
      </c>
      <c r="BJ11" s="1777" t="str">
        <f>Y10</f>
        <v>商业</v>
      </c>
      <c r="BK11" s="1777">
        <f>AA10</f>
        <v>0</v>
      </c>
      <c r="BL11" s="1196"/>
      <c r="BM11" s="1536" t="str">
        <f>AD10</f>
        <v>公共配套设施</v>
      </c>
      <c r="BN11" s="1536" t="str">
        <f>AF10</f>
        <v>公共配套设施</v>
      </c>
      <c r="BO11" s="23" t="str">
        <f>AH10</f>
        <v>物业管理用房</v>
      </c>
      <c r="BP11" s="23" t="str">
        <f>AJ10</f>
        <v>物业管理用房</v>
      </c>
      <c r="BQ11" s="23" t="str">
        <f>AL10</f>
        <v>设备及其他</v>
      </c>
      <c r="BR11" s="23" t="str">
        <f>AN10</f>
        <v>设备及其他</v>
      </c>
      <c r="BS11" s="24" t="str">
        <f>AP10</f>
        <v>未注明</v>
      </c>
      <c r="BT11" s="1796" t="str">
        <f>AR10</f>
        <v>未注明</v>
      </c>
    </row>
    <row r="12" spans="1:72" s="1757" customFormat="1" ht="12.75">
      <c r="A12" s="1797"/>
      <c r="B12" s="1797"/>
      <c r="C12" s="1797"/>
      <c r="D12" s="1797"/>
      <c r="E12" s="1797"/>
      <c r="F12" s="1797"/>
      <c r="G12" s="29"/>
      <c r="H12" s="1798"/>
      <c r="I12" s="152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3" t="s">
        <v>1789</v>
      </c>
      <c r="W12" s="11" t="s">
        <v>1788</v>
      </c>
      <c r="X12" s="11" t="s">
        <v>1789</v>
      </c>
      <c r="Y12" s="11" t="s">
        <v>1788</v>
      </c>
      <c r="Z12" s="11" t="s">
        <v>1789</v>
      </c>
      <c r="AA12" s="11" t="s">
        <v>1788</v>
      </c>
      <c r="AB12" s="11" t="s">
        <v>1789</v>
      </c>
      <c r="AC12" s="1799"/>
      <c r="AD12" s="152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797" t="s">
        <v>1789</v>
      </c>
      <c r="AT12" s="1800"/>
      <c r="AU12" s="1797"/>
      <c r="AV12" s="30"/>
      <c r="AW12" s="1756"/>
      <c r="AX12" s="30"/>
      <c r="AY12" s="1801"/>
      <c r="AZ12" s="27"/>
      <c r="BA12" s="1789"/>
      <c r="BB12" s="23" t="str">
        <f>I11</f>
        <v>合院</v>
      </c>
      <c r="BC12" s="1802" t="str">
        <f>K11</f>
        <v>戊类库房</v>
      </c>
      <c r="BD12" s="1802" t="str">
        <f>M11</f>
        <v>车库</v>
      </c>
      <c r="BE12" s="1777" t="str">
        <f>O11</f>
        <v>自持住宅</v>
      </c>
      <c r="BF12" s="1777" t="str">
        <f>Q11</f>
        <v>洋房</v>
      </c>
      <c r="BG12" s="1777" t="str">
        <f>S11</f>
        <v>戊类库房</v>
      </c>
      <c r="BH12" s="1777" t="str">
        <f>U11</f>
        <v>戊类库房</v>
      </c>
      <c r="BI12" s="1777" t="str">
        <f>W11</f>
        <v>底商</v>
      </c>
      <c r="BJ12" s="1777" t="str">
        <f>Y11</f>
        <v>底商</v>
      </c>
      <c r="BK12" s="1777">
        <f>AA11</f>
        <v>0</v>
      </c>
      <c r="BL12" s="1196"/>
      <c r="BM12" s="1536" t="str">
        <f>AD11</f>
        <v>（住宅）</v>
      </c>
      <c r="BN12" s="1536" t="str">
        <f>AF11</f>
        <v>（住宅）</v>
      </c>
      <c r="BO12" s="23" t="str">
        <f>AH11</f>
        <v>（住宅、计出让金）</v>
      </c>
      <c r="BP12" s="23" t="str">
        <f>AJ11</f>
        <v>（住宅、计出让金）</v>
      </c>
      <c r="BQ12" s="23">
        <f>AL11</f>
        <v>0</v>
      </c>
      <c r="BR12" s="23">
        <f>AN11</f>
        <v>0</v>
      </c>
      <c r="BS12" s="24">
        <f>AP11</f>
        <v>0</v>
      </c>
      <c r="BT12" s="1796">
        <f>AR11</f>
        <v>0</v>
      </c>
    </row>
    <row r="13" spans="1:72" s="1757" customFormat="1" ht="12.75">
      <c r="A13" s="1176"/>
      <c r="B13" s="1176"/>
      <c r="C13" s="1176"/>
      <c r="D13" s="1803" t="s">
        <v>3229</v>
      </c>
      <c r="E13" s="15">
        <f>IF($C$3="是",ROUND($A$3*G13/$B$3,2),ROUND($A$3*(G13-AT13)/$B$3,2))</f>
        <v>35230.35</v>
      </c>
      <c r="F13" s="31"/>
      <c r="G13" s="32">
        <f>H13+AC13+AT13</f>
        <v>86417.1</v>
      </c>
      <c r="H13" s="19">
        <f>SUMIF(I$12:AB$12,"总值",I13:AB13)</f>
        <v>86417.1</v>
      </c>
      <c r="I13" s="1804">
        <v>15708.62</v>
      </c>
      <c r="J13" s="1804"/>
      <c r="K13" s="1804">
        <v>19826.72</v>
      </c>
      <c r="L13" s="1804"/>
      <c r="M13" s="1804">
        <v>10771.04</v>
      </c>
      <c r="N13" s="1804"/>
      <c r="O13" s="1804">
        <f>'84-91号楼'!F144</f>
        <v>32537.82</v>
      </c>
      <c r="P13" s="1804"/>
      <c r="Q13" s="1804">
        <f>洋房清单最终!K2</f>
        <v>1473.1699999999998</v>
      </c>
      <c r="R13" s="1804"/>
      <c r="S13" s="1804">
        <f>洋房清单最终!K3</f>
        <v>496.05</v>
      </c>
      <c r="T13" s="1804"/>
      <c r="U13" s="1804">
        <f>'84-91号楼'!H144</f>
        <v>4957.7199999999993</v>
      </c>
      <c r="V13" s="1804"/>
      <c r="W13" s="1804">
        <f>'84-91号楼'!I144-Y13</f>
        <v>263.92</v>
      </c>
      <c r="X13" s="1804"/>
      <c r="Y13" s="1804">
        <v>382.04</v>
      </c>
      <c r="Z13" s="1804"/>
      <c r="AA13" s="1804"/>
      <c r="AB13" s="1804"/>
      <c r="AC13" s="15">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35230.35</v>
      </c>
      <c r="AZ13" s="15">
        <f>BA13+BL13</f>
        <v>86417.1</v>
      </c>
      <c r="BA13" s="15">
        <f>SUM(BB13:BK13)</f>
        <v>86417.1</v>
      </c>
      <c r="BB13" s="15">
        <f>IF($D13="是",I13-J13,0)</f>
        <v>15708.62</v>
      </c>
      <c r="BC13" s="15">
        <f>IF($D13="是",K13-L13,0)</f>
        <v>19826.72</v>
      </c>
      <c r="BD13" s="15">
        <f>IF($D13="是",M13-N13,0)</f>
        <v>10771.04</v>
      </c>
      <c r="BE13" s="15">
        <f>IF($D13="是",O13-P13,0)</f>
        <v>32537.82</v>
      </c>
      <c r="BF13" s="15">
        <f>IF($D13="是",Q13-R13,0)</f>
        <v>1473.1699999999998</v>
      </c>
      <c r="BG13" s="15">
        <f>IF($D13="是",S13-T13,0)</f>
        <v>496.05</v>
      </c>
      <c r="BH13" s="15">
        <f>IF($D13="是",U13-V13,0)</f>
        <v>4957.7199999999993</v>
      </c>
      <c r="BI13" s="15">
        <f>IF($D13="是",W13-X13,0)</f>
        <v>263.92</v>
      </c>
      <c r="BJ13" s="15">
        <f>IF($D13="是",Y13-Z13,0)</f>
        <v>382.04</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7" customFormat="1" ht="12.75">
      <c r="A14" s="1176"/>
      <c r="B14" s="1176"/>
      <c r="C14" s="1748"/>
      <c r="D14" s="1803"/>
      <c r="E14" s="15">
        <f>IF($C$3="是",ROUND($A$3*G14/$B$3,2),ROUND($A$3*(G14-AT14)/$B$3,2))</f>
        <v>0</v>
      </c>
      <c r="F14" s="31"/>
      <c r="G14" s="32">
        <f>H14+AC14+AT14</f>
        <v>0</v>
      </c>
      <c r="H14" s="19">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5">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7" customFormat="1" ht="12.75">
      <c r="A15" s="1176"/>
      <c r="B15" s="1176"/>
      <c r="C15" s="1748"/>
      <c r="D15" s="1803"/>
      <c r="E15" s="15">
        <f>IF($C$3="是",ROUND($A$3*G15/$B$3,2),ROUND($A$3*(G15-AT15)/$B$3,2))</f>
        <v>0</v>
      </c>
      <c r="F15" s="31"/>
      <c r="G15" s="32">
        <f>H15+AC15+AT15</f>
        <v>0</v>
      </c>
      <c r="H15" s="19">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5">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7" customFormat="1" ht="12.75">
      <c r="A16" s="1176"/>
      <c r="B16" s="1176"/>
      <c r="C16" s="1748"/>
      <c r="D16" s="1803"/>
      <c r="E16" s="15">
        <f>IF($C$3="是",ROUND($A$3*G16/$B$3,2),ROUND($A$3*(G16-AT16)/$B$3,2))</f>
        <v>0</v>
      </c>
      <c r="F16" s="31"/>
      <c r="G16" s="32">
        <f>H16+AC16+AT16</f>
        <v>0</v>
      </c>
      <c r="H16" s="19">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5">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7" customFormat="1" ht="12.75">
      <c r="A17" s="1176"/>
      <c r="B17" s="1176"/>
      <c r="C17" s="1748"/>
      <c r="D17" s="1803"/>
      <c r="E17" s="15">
        <f>IF($C$3="是",ROUND($A$3*G17/$B$3,2),ROUND($A$3*(G17-AT17)/$B$3,2))</f>
        <v>0</v>
      </c>
      <c r="F17" s="31"/>
      <c r="G17" s="32">
        <f>H17+AC17+AT17</f>
        <v>0</v>
      </c>
      <c r="H17" s="19">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5">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9"/>
      <c r="AV18" s="1520">
        <f t="shared" ref="AV18:AV112" si="11">A18</f>
        <v>0</v>
      </c>
      <c r="AW18" s="1520">
        <f t="shared" ref="AW18:AW112" si="12">B18</f>
        <v>0</v>
      </c>
      <c r="AX18" s="152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9"/>
      <c r="AV19" s="1520">
        <f t="shared" si="11"/>
        <v>0</v>
      </c>
      <c r="AW19" s="1520">
        <f t="shared" si="12"/>
        <v>0</v>
      </c>
      <c r="AX19" s="152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9"/>
      <c r="AV20" s="1520">
        <f t="shared" si="11"/>
        <v>0</v>
      </c>
      <c r="AW20" s="1520">
        <f t="shared" si="12"/>
        <v>0</v>
      </c>
      <c r="AX20" s="152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9"/>
      <c r="AV21" s="1520">
        <f t="shared" si="11"/>
        <v>0</v>
      </c>
      <c r="AW21" s="1520">
        <f t="shared" si="12"/>
        <v>0</v>
      </c>
      <c r="AX21" s="152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9"/>
      <c r="AV22" s="1520">
        <f t="shared" si="11"/>
        <v>0</v>
      </c>
      <c r="AW22" s="1520">
        <f t="shared" si="12"/>
        <v>0</v>
      </c>
      <c r="AX22" s="152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9"/>
      <c r="AV23" s="1520">
        <f t="shared" si="11"/>
        <v>0</v>
      </c>
      <c r="AW23" s="1520">
        <f t="shared" si="12"/>
        <v>0</v>
      </c>
      <c r="AX23" s="152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9"/>
      <c r="AV24" s="1520">
        <f t="shared" si="11"/>
        <v>0</v>
      </c>
      <c r="AW24" s="1520">
        <f t="shared" si="12"/>
        <v>0</v>
      </c>
      <c r="AX24" s="152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9"/>
      <c r="AV25" s="1520">
        <f t="shared" si="11"/>
        <v>0</v>
      </c>
      <c r="AW25" s="1520">
        <f t="shared" si="12"/>
        <v>0</v>
      </c>
      <c r="AX25" s="152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9"/>
      <c r="AV26" s="1520">
        <f t="shared" si="11"/>
        <v>0</v>
      </c>
      <c r="AW26" s="1520">
        <f t="shared" si="12"/>
        <v>0</v>
      </c>
      <c r="AX26" s="152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9"/>
      <c r="AV27" s="1520">
        <f t="shared" si="11"/>
        <v>0</v>
      </c>
      <c r="AW27" s="1520">
        <f t="shared" si="12"/>
        <v>0</v>
      </c>
      <c r="AX27" s="152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9"/>
      <c r="AV28" s="1520">
        <f t="shared" si="11"/>
        <v>0</v>
      </c>
      <c r="AW28" s="1520">
        <f t="shared" si="12"/>
        <v>0</v>
      </c>
      <c r="AX28" s="152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9"/>
      <c r="AV29" s="1520">
        <f t="shared" si="11"/>
        <v>0</v>
      </c>
      <c r="AW29" s="1520">
        <f t="shared" si="12"/>
        <v>0</v>
      </c>
      <c r="AX29" s="152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9"/>
      <c r="AV30" s="1520">
        <f t="shared" si="11"/>
        <v>0</v>
      </c>
      <c r="AW30" s="1520">
        <f t="shared" si="12"/>
        <v>0</v>
      </c>
      <c r="AX30" s="152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9"/>
      <c r="AV31" s="1520">
        <f t="shared" si="11"/>
        <v>0</v>
      </c>
      <c r="AW31" s="1520">
        <f t="shared" si="12"/>
        <v>0</v>
      </c>
      <c r="AX31" s="152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9"/>
      <c r="AV32" s="1520">
        <f t="shared" si="11"/>
        <v>0</v>
      </c>
      <c r="AW32" s="1520">
        <f t="shared" si="12"/>
        <v>0</v>
      </c>
      <c r="AX32" s="152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9"/>
      <c r="AV33" s="1520">
        <f t="shared" si="11"/>
        <v>0</v>
      </c>
      <c r="AW33" s="1520">
        <f t="shared" si="12"/>
        <v>0</v>
      </c>
      <c r="AX33" s="152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9"/>
      <c r="AV34" s="1520">
        <f t="shared" si="11"/>
        <v>0</v>
      </c>
      <c r="AW34" s="1520">
        <f t="shared" si="12"/>
        <v>0</v>
      </c>
      <c r="AX34" s="152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9"/>
      <c r="AV35" s="1520">
        <f t="shared" si="11"/>
        <v>0</v>
      </c>
      <c r="AW35" s="1520">
        <f t="shared" si="12"/>
        <v>0</v>
      </c>
      <c r="AX35" s="152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9"/>
      <c r="AV36" s="1520">
        <f t="shared" si="11"/>
        <v>0</v>
      </c>
      <c r="AW36" s="1520">
        <f t="shared" si="12"/>
        <v>0</v>
      </c>
      <c r="AX36" s="152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9"/>
      <c r="AV37" s="1520">
        <f t="shared" si="11"/>
        <v>0</v>
      </c>
      <c r="AW37" s="1520">
        <f t="shared" si="12"/>
        <v>0</v>
      </c>
      <c r="AX37" s="152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9"/>
      <c r="AV38" s="1520">
        <f t="shared" si="11"/>
        <v>0</v>
      </c>
      <c r="AW38" s="1520">
        <f t="shared" si="12"/>
        <v>0</v>
      </c>
      <c r="AX38" s="152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9"/>
      <c r="AV39" s="1520">
        <f t="shared" si="11"/>
        <v>0</v>
      </c>
      <c r="AW39" s="1520">
        <f t="shared" si="12"/>
        <v>0</v>
      </c>
      <c r="AX39" s="152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9"/>
      <c r="AV40" s="1520">
        <f t="shared" si="11"/>
        <v>0</v>
      </c>
      <c r="AW40" s="1520">
        <f t="shared" si="12"/>
        <v>0</v>
      </c>
      <c r="AX40" s="152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9"/>
      <c r="AV41" s="1520">
        <f t="shared" si="11"/>
        <v>0</v>
      </c>
      <c r="AW41" s="1520">
        <f t="shared" si="12"/>
        <v>0</v>
      </c>
      <c r="AX41" s="152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9"/>
      <c r="AV42" s="1520">
        <f t="shared" si="11"/>
        <v>0</v>
      </c>
      <c r="AW42" s="1520">
        <f t="shared" si="12"/>
        <v>0</v>
      </c>
      <c r="AX42" s="152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9"/>
      <c r="AV43" s="1520">
        <f t="shared" si="11"/>
        <v>0</v>
      </c>
      <c r="AW43" s="1520">
        <f t="shared" si="12"/>
        <v>0</v>
      </c>
      <c r="AX43" s="152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9"/>
      <c r="AV44" s="1520">
        <f t="shared" si="11"/>
        <v>0</v>
      </c>
      <c r="AW44" s="1520">
        <f t="shared" si="12"/>
        <v>0</v>
      </c>
      <c r="AX44" s="152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9"/>
      <c r="AV45" s="1520">
        <f t="shared" si="11"/>
        <v>0</v>
      </c>
      <c r="AW45" s="1520">
        <f t="shared" si="12"/>
        <v>0</v>
      </c>
      <c r="AX45" s="152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9"/>
      <c r="AV46" s="1520">
        <f t="shared" si="11"/>
        <v>0</v>
      </c>
      <c r="AW46" s="1520">
        <f t="shared" si="12"/>
        <v>0</v>
      </c>
      <c r="AX46" s="152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9"/>
      <c r="AV47" s="1520">
        <f t="shared" si="11"/>
        <v>0</v>
      </c>
      <c r="AW47" s="1520">
        <f t="shared" si="12"/>
        <v>0</v>
      </c>
      <c r="AX47" s="152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9"/>
      <c r="AV48" s="1520">
        <f t="shared" si="11"/>
        <v>0</v>
      </c>
      <c r="AW48" s="1520">
        <f t="shared" si="12"/>
        <v>0</v>
      </c>
      <c r="AX48" s="152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9"/>
      <c r="AV49" s="1520">
        <f t="shared" si="11"/>
        <v>0</v>
      </c>
      <c r="AW49" s="1520">
        <f t="shared" si="12"/>
        <v>0</v>
      </c>
      <c r="AX49" s="152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9"/>
      <c r="AV50" s="1520">
        <f t="shared" si="11"/>
        <v>0</v>
      </c>
      <c r="AW50" s="1520">
        <f t="shared" si="12"/>
        <v>0</v>
      </c>
      <c r="AX50" s="152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9"/>
      <c r="AV51" s="1520">
        <f t="shared" si="11"/>
        <v>0</v>
      </c>
      <c r="AW51" s="1520">
        <f t="shared" si="12"/>
        <v>0</v>
      </c>
      <c r="AX51" s="152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9"/>
      <c r="AV52" s="1520">
        <f t="shared" si="11"/>
        <v>0</v>
      </c>
      <c r="AW52" s="1520">
        <f t="shared" si="12"/>
        <v>0</v>
      </c>
      <c r="AX52" s="152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9"/>
      <c r="AV53" s="1520">
        <f t="shared" si="11"/>
        <v>0</v>
      </c>
      <c r="AW53" s="1520">
        <f t="shared" si="12"/>
        <v>0</v>
      </c>
      <c r="AX53" s="152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9"/>
      <c r="AV54" s="1520">
        <f t="shared" si="11"/>
        <v>0</v>
      </c>
      <c r="AW54" s="1520">
        <f t="shared" si="12"/>
        <v>0</v>
      </c>
      <c r="AX54" s="152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9"/>
      <c r="AV55" s="1520">
        <f t="shared" si="11"/>
        <v>0</v>
      </c>
      <c r="AW55" s="1520">
        <f t="shared" si="12"/>
        <v>0</v>
      </c>
      <c r="AX55" s="152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9"/>
      <c r="AV56" s="1520">
        <f t="shared" si="11"/>
        <v>0</v>
      </c>
      <c r="AW56" s="1520">
        <f t="shared" si="12"/>
        <v>0</v>
      </c>
      <c r="AX56" s="152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9"/>
      <c r="AV57" s="1520">
        <f t="shared" si="11"/>
        <v>0</v>
      </c>
      <c r="AW57" s="1520">
        <f t="shared" si="12"/>
        <v>0</v>
      </c>
      <c r="AX57" s="152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9"/>
      <c r="AV58" s="1520">
        <f t="shared" si="11"/>
        <v>0</v>
      </c>
      <c r="AW58" s="1520">
        <f t="shared" si="12"/>
        <v>0</v>
      </c>
      <c r="AX58" s="152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9"/>
      <c r="AV59" s="1520">
        <f t="shared" si="11"/>
        <v>0</v>
      </c>
      <c r="AW59" s="1520">
        <f t="shared" si="12"/>
        <v>0</v>
      </c>
      <c r="AX59" s="152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9"/>
      <c r="AV60" s="1520">
        <f t="shared" si="11"/>
        <v>0</v>
      </c>
      <c r="AW60" s="1520">
        <f t="shared" si="12"/>
        <v>0</v>
      </c>
      <c r="AX60" s="152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9"/>
      <c r="AV61" s="1520">
        <f t="shared" si="11"/>
        <v>0</v>
      </c>
      <c r="AW61" s="1520">
        <f t="shared" si="12"/>
        <v>0</v>
      </c>
      <c r="AX61" s="152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9"/>
      <c r="AV62" s="1520">
        <f t="shared" si="11"/>
        <v>0</v>
      </c>
      <c r="AW62" s="1520">
        <f t="shared" si="12"/>
        <v>0</v>
      </c>
      <c r="AX62" s="152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9"/>
      <c r="AV63" s="1520">
        <f t="shared" si="11"/>
        <v>0</v>
      </c>
      <c r="AW63" s="1520">
        <f t="shared" si="12"/>
        <v>0</v>
      </c>
      <c r="AX63" s="152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9"/>
      <c r="AV64" s="1520">
        <f t="shared" si="11"/>
        <v>0</v>
      </c>
      <c r="AW64" s="1520">
        <f t="shared" si="12"/>
        <v>0</v>
      </c>
      <c r="AX64" s="152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9"/>
      <c r="AV65" s="1520">
        <f t="shared" si="11"/>
        <v>0</v>
      </c>
      <c r="AW65" s="1520">
        <f t="shared" si="12"/>
        <v>0</v>
      </c>
      <c r="AX65" s="152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9"/>
      <c r="AV66" s="1520">
        <f t="shared" si="11"/>
        <v>0</v>
      </c>
      <c r="AW66" s="1520">
        <f t="shared" si="12"/>
        <v>0</v>
      </c>
      <c r="AX66" s="152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9"/>
      <c r="AV67" s="1520">
        <f t="shared" si="11"/>
        <v>0</v>
      </c>
      <c r="AW67" s="1520">
        <f t="shared" si="12"/>
        <v>0</v>
      </c>
      <c r="AX67" s="152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9"/>
      <c r="AV68" s="1520">
        <f t="shared" si="11"/>
        <v>0</v>
      </c>
      <c r="AW68" s="1520">
        <f t="shared" si="12"/>
        <v>0</v>
      </c>
      <c r="AX68" s="152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9"/>
      <c r="AV69" s="1520">
        <f t="shared" si="11"/>
        <v>0</v>
      </c>
      <c r="AW69" s="1520">
        <f t="shared" si="12"/>
        <v>0</v>
      </c>
      <c r="AX69" s="152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9"/>
      <c r="AV70" s="1520">
        <f t="shared" si="11"/>
        <v>0</v>
      </c>
      <c r="AW70" s="1520">
        <f t="shared" si="12"/>
        <v>0</v>
      </c>
      <c r="AX70" s="152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9"/>
      <c r="AV71" s="1520">
        <f t="shared" si="11"/>
        <v>0</v>
      </c>
      <c r="AW71" s="1520">
        <f t="shared" si="12"/>
        <v>0</v>
      </c>
      <c r="AX71" s="152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9"/>
      <c r="AV72" s="1520">
        <f t="shared" si="11"/>
        <v>0</v>
      </c>
      <c r="AW72" s="1520">
        <f t="shared" si="12"/>
        <v>0</v>
      </c>
      <c r="AX72" s="152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9"/>
      <c r="AV73" s="1520">
        <f t="shared" si="11"/>
        <v>0</v>
      </c>
      <c r="AW73" s="1520">
        <f t="shared" si="12"/>
        <v>0</v>
      </c>
      <c r="AX73" s="152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9"/>
      <c r="AV74" s="1520">
        <f t="shared" si="11"/>
        <v>0</v>
      </c>
      <c r="AW74" s="1520">
        <f t="shared" si="12"/>
        <v>0</v>
      </c>
      <c r="AX74" s="152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9"/>
      <c r="AV75" s="1520">
        <f t="shared" si="11"/>
        <v>0</v>
      </c>
      <c r="AW75" s="1520">
        <f t="shared" si="12"/>
        <v>0</v>
      </c>
      <c r="AX75" s="152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9"/>
      <c r="AV76" s="1520">
        <f t="shared" si="11"/>
        <v>0</v>
      </c>
      <c r="AW76" s="1520">
        <f t="shared" si="12"/>
        <v>0</v>
      </c>
      <c r="AX76" s="152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9"/>
      <c r="AV77" s="1520">
        <f t="shared" si="11"/>
        <v>0</v>
      </c>
      <c r="AW77" s="1520">
        <f t="shared" si="12"/>
        <v>0</v>
      </c>
      <c r="AX77" s="152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9"/>
      <c r="AV78" s="1520">
        <f t="shared" si="11"/>
        <v>0</v>
      </c>
      <c r="AW78" s="1520">
        <f t="shared" si="12"/>
        <v>0</v>
      </c>
      <c r="AX78" s="152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9"/>
      <c r="AV79" s="1520">
        <f t="shared" si="11"/>
        <v>0</v>
      </c>
      <c r="AW79" s="1520">
        <f t="shared" si="12"/>
        <v>0</v>
      </c>
      <c r="AX79" s="152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9"/>
      <c r="AV80" s="1520">
        <f t="shared" si="11"/>
        <v>0</v>
      </c>
      <c r="AW80" s="1520">
        <f t="shared" si="12"/>
        <v>0</v>
      </c>
      <c r="AX80" s="152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9"/>
      <c r="AV81" s="1520">
        <f t="shared" si="11"/>
        <v>0</v>
      </c>
      <c r="AW81" s="1520">
        <f t="shared" si="12"/>
        <v>0</v>
      </c>
      <c r="AX81" s="152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9"/>
      <c r="AV82" s="1520">
        <f t="shared" si="11"/>
        <v>0</v>
      </c>
      <c r="AW82" s="1520">
        <f t="shared" si="12"/>
        <v>0</v>
      </c>
      <c r="AX82" s="152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9"/>
      <c r="AV83" s="1520">
        <f t="shared" si="11"/>
        <v>0</v>
      </c>
      <c r="AW83" s="1520">
        <f t="shared" si="12"/>
        <v>0</v>
      </c>
      <c r="AX83" s="152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9"/>
      <c r="AV84" s="1520">
        <f t="shared" si="11"/>
        <v>0</v>
      </c>
      <c r="AW84" s="1520">
        <f t="shared" si="12"/>
        <v>0</v>
      </c>
      <c r="AX84" s="152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9"/>
      <c r="AV85" s="1520">
        <f t="shared" si="11"/>
        <v>0</v>
      </c>
      <c r="AW85" s="1520">
        <f t="shared" si="12"/>
        <v>0</v>
      </c>
      <c r="AX85" s="152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9"/>
      <c r="AV86" s="1520">
        <f t="shared" si="11"/>
        <v>0</v>
      </c>
      <c r="AW86" s="1520">
        <f t="shared" si="12"/>
        <v>0</v>
      </c>
      <c r="AX86" s="152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9"/>
      <c r="AV87" s="1520">
        <f t="shared" si="11"/>
        <v>0</v>
      </c>
      <c r="AW87" s="1520">
        <f t="shared" si="12"/>
        <v>0</v>
      </c>
      <c r="AX87" s="152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9"/>
      <c r="AV88" s="1520">
        <f t="shared" si="11"/>
        <v>0</v>
      </c>
      <c r="AW88" s="1520">
        <f t="shared" si="12"/>
        <v>0</v>
      </c>
      <c r="AX88" s="152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9"/>
      <c r="AV89" s="1520">
        <f t="shared" si="11"/>
        <v>0</v>
      </c>
      <c r="AW89" s="1520">
        <f t="shared" si="12"/>
        <v>0</v>
      </c>
      <c r="AX89" s="152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9"/>
      <c r="AV90" s="1520">
        <f t="shared" si="11"/>
        <v>0</v>
      </c>
      <c r="AW90" s="1520">
        <f t="shared" si="12"/>
        <v>0</v>
      </c>
      <c r="AX90" s="152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9"/>
      <c r="AV91" s="1520">
        <f t="shared" si="11"/>
        <v>0</v>
      </c>
      <c r="AW91" s="1520">
        <f t="shared" si="12"/>
        <v>0</v>
      </c>
      <c r="AX91" s="152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9"/>
      <c r="AV92" s="1520">
        <f t="shared" si="11"/>
        <v>0</v>
      </c>
      <c r="AW92" s="1520">
        <f t="shared" si="12"/>
        <v>0</v>
      </c>
      <c r="AX92" s="152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9"/>
      <c r="AV93" s="1520">
        <f t="shared" si="11"/>
        <v>0</v>
      </c>
      <c r="AW93" s="1520">
        <f t="shared" si="12"/>
        <v>0</v>
      </c>
      <c r="AX93" s="152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9"/>
      <c r="AV94" s="1520">
        <f t="shared" si="11"/>
        <v>0</v>
      </c>
      <c r="AW94" s="1520">
        <f t="shared" si="12"/>
        <v>0</v>
      </c>
      <c r="AX94" s="152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9"/>
      <c r="AV95" s="1520">
        <f t="shared" si="11"/>
        <v>0</v>
      </c>
      <c r="AW95" s="1520">
        <f t="shared" si="12"/>
        <v>0</v>
      </c>
      <c r="AX95" s="152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9"/>
      <c r="AV96" s="1520">
        <f t="shared" si="11"/>
        <v>0</v>
      </c>
      <c r="AW96" s="1520">
        <f t="shared" si="12"/>
        <v>0</v>
      </c>
      <c r="AX96" s="152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9"/>
      <c r="AV97" s="1520">
        <f t="shared" si="11"/>
        <v>0</v>
      </c>
      <c r="AW97" s="1520">
        <f t="shared" si="12"/>
        <v>0</v>
      </c>
      <c r="AX97" s="152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9"/>
      <c r="AV98" s="1520">
        <f t="shared" si="11"/>
        <v>0</v>
      </c>
      <c r="AW98" s="1520">
        <f t="shared" si="12"/>
        <v>0</v>
      </c>
      <c r="AX98" s="152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9"/>
      <c r="AV99" s="1520">
        <f t="shared" si="11"/>
        <v>0</v>
      </c>
      <c r="AW99" s="1520">
        <f t="shared" si="12"/>
        <v>0</v>
      </c>
      <c r="AX99" s="152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9"/>
      <c r="AV100" s="1520">
        <f t="shared" si="11"/>
        <v>0</v>
      </c>
      <c r="AW100" s="1520">
        <f t="shared" si="12"/>
        <v>0</v>
      </c>
      <c r="AX100" s="152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9"/>
      <c r="AV101" s="1520">
        <f t="shared" si="11"/>
        <v>0</v>
      </c>
      <c r="AW101" s="1520">
        <f t="shared" si="12"/>
        <v>0</v>
      </c>
      <c r="AX101" s="152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9"/>
      <c r="AV102" s="1520">
        <f t="shared" si="11"/>
        <v>0</v>
      </c>
      <c r="AW102" s="1520">
        <f t="shared" si="12"/>
        <v>0</v>
      </c>
      <c r="AX102" s="152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9"/>
      <c r="AV103" s="1520">
        <f t="shared" si="11"/>
        <v>0</v>
      </c>
      <c r="AW103" s="1520">
        <f t="shared" si="12"/>
        <v>0</v>
      </c>
      <c r="AX103" s="152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9"/>
      <c r="AV104" s="1520">
        <f t="shared" si="11"/>
        <v>0</v>
      </c>
      <c r="AW104" s="1520">
        <f t="shared" si="12"/>
        <v>0</v>
      </c>
      <c r="AX104" s="152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9"/>
      <c r="AV105" s="1520">
        <f t="shared" si="11"/>
        <v>0</v>
      </c>
      <c r="AW105" s="1520">
        <f t="shared" si="12"/>
        <v>0</v>
      </c>
      <c r="AX105" s="152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9"/>
      <c r="AV106" s="1520">
        <f t="shared" si="11"/>
        <v>0</v>
      </c>
      <c r="AW106" s="1520">
        <f t="shared" si="12"/>
        <v>0</v>
      </c>
      <c r="AX106" s="152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9"/>
      <c r="AV107" s="1520">
        <f t="shared" si="11"/>
        <v>0</v>
      </c>
      <c r="AW107" s="1520">
        <f t="shared" si="12"/>
        <v>0</v>
      </c>
      <c r="AX107" s="152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9"/>
      <c r="AV108" s="1520">
        <f t="shared" si="11"/>
        <v>0</v>
      </c>
      <c r="AW108" s="1520">
        <f t="shared" si="12"/>
        <v>0</v>
      </c>
      <c r="AX108" s="152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9"/>
      <c r="AV109" s="1520">
        <f t="shared" si="11"/>
        <v>0</v>
      </c>
      <c r="AW109" s="1520">
        <f t="shared" si="12"/>
        <v>0</v>
      </c>
      <c r="AX109" s="152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9"/>
      <c r="AV110" s="1520">
        <f t="shared" si="11"/>
        <v>0</v>
      </c>
      <c r="AW110" s="1520">
        <f t="shared" si="12"/>
        <v>0</v>
      </c>
      <c r="AX110" s="152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9"/>
      <c r="AV111" s="1520">
        <f t="shared" si="11"/>
        <v>0</v>
      </c>
      <c r="AW111" s="1520">
        <f t="shared" si="12"/>
        <v>0</v>
      </c>
      <c r="AX111" s="152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9"/>
      <c r="AV112" s="1520">
        <f t="shared" si="11"/>
        <v>0</v>
      </c>
      <c r="AW112" s="1520">
        <f t="shared" si="12"/>
        <v>0</v>
      </c>
      <c r="AX112" s="152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9"/>
      <c r="AV113" s="1520">
        <f t="shared" ref="AV113:AV144" si="62">A113</f>
        <v>0</v>
      </c>
      <c r="AW113" s="1520">
        <f t="shared" ref="AW113:AW144" si="63">B113</f>
        <v>0</v>
      </c>
      <c r="AX113" s="152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9"/>
      <c r="AV114" s="1520">
        <f t="shared" si="62"/>
        <v>0</v>
      </c>
      <c r="AW114" s="1520">
        <f t="shared" si="63"/>
        <v>0</v>
      </c>
      <c r="AX114" s="152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9"/>
      <c r="AV115" s="1520">
        <f t="shared" si="62"/>
        <v>0</v>
      </c>
      <c r="AW115" s="1520">
        <f t="shared" si="63"/>
        <v>0</v>
      </c>
      <c r="AX115" s="152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9"/>
      <c r="AV116" s="1520">
        <f t="shared" si="62"/>
        <v>0</v>
      </c>
      <c r="AW116" s="1520">
        <f t="shared" si="63"/>
        <v>0</v>
      </c>
      <c r="AX116" s="152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9"/>
      <c r="AV117" s="1520">
        <f t="shared" si="62"/>
        <v>0</v>
      </c>
      <c r="AW117" s="1520">
        <f t="shared" si="63"/>
        <v>0</v>
      </c>
      <c r="AX117" s="152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9"/>
      <c r="AV118" s="1520">
        <f t="shared" si="62"/>
        <v>0</v>
      </c>
      <c r="AW118" s="1520">
        <f t="shared" si="63"/>
        <v>0</v>
      </c>
      <c r="AX118" s="152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9"/>
      <c r="AV119" s="1520">
        <f t="shared" si="62"/>
        <v>0</v>
      </c>
      <c r="AW119" s="1520">
        <f t="shared" si="63"/>
        <v>0</v>
      </c>
      <c r="AX119" s="152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9"/>
      <c r="AV120" s="1520">
        <f t="shared" si="62"/>
        <v>0</v>
      </c>
      <c r="AW120" s="1520">
        <f t="shared" si="63"/>
        <v>0</v>
      </c>
      <c r="AX120" s="152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9"/>
      <c r="AV121" s="1520">
        <f t="shared" si="62"/>
        <v>0</v>
      </c>
      <c r="AW121" s="1520">
        <f t="shared" si="63"/>
        <v>0</v>
      </c>
      <c r="AX121" s="152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9"/>
      <c r="AV122" s="1520">
        <f t="shared" si="62"/>
        <v>0</v>
      </c>
      <c r="AW122" s="1520">
        <f t="shared" si="63"/>
        <v>0</v>
      </c>
      <c r="AX122" s="152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9"/>
      <c r="AV123" s="1520">
        <f t="shared" si="62"/>
        <v>0</v>
      </c>
      <c r="AW123" s="1520">
        <f t="shared" si="63"/>
        <v>0</v>
      </c>
      <c r="AX123" s="152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9"/>
      <c r="AV124" s="1520">
        <f t="shared" si="62"/>
        <v>0</v>
      </c>
      <c r="AW124" s="1520">
        <f t="shared" si="63"/>
        <v>0</v>
      </c>
      <c r="AX124" s="152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9"/>
      <c r="AV125" s="1520">
        <f t="shared" si="62"/>
        <v>0</v>
      </c>
      <c r="AW125" s="1520">
        <f t="shared" si="63"/>
        <v>0</v>
      </c>
      <c r="AX125" s="152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9"/>
      <c r="AV126" s="1520">
        <f t="shared" si="62"/>
        <v>0</v>
      </c>
      <c r="AW126" s="1520">
        <f t="shared" si="63"/>
        <v>0</v>
      </c>
      <c r="AX126" s="152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9"/>
      <c r="AV127" s="1520">
        <f t="shared" si="62"/>
        <v>0</v>
      </c>
      <c r="AW127" s="1520">
        <f t="shared" si="63"/>
        <v>0</v>
      </c>
      <c r="AX127" s="152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9"/>
      <c r="AV128" s="1520">
        <f t="shared" si="62"/>
        <v>0</v>
      </c>
      <c r="AW128" s="1520">
        <f t="shared" si="63"/>
        <v>0</v>
      </c>
      <c r="AX128" s="152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9"/>
      <c r="AV129" s="1520">
        <f t="shared" si="62"/>
        <v>0</v>
      </c>
      <c r="AW129" s="1520">
        <f t="shared" si="63"/>
        <v>0</v>
      </c>
      <c r="AX129" s="152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9"/>
      <c r="AV130" s="1520">
        <f t="shared" si="62"/>
        <v>0</v>
      </c>
      <c r="AW130" s="1520">
        <f t="shared" si="63"/>
        <v>0</v>
      </c>
      <c r="AX130" s="152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9"/>
      <c r="AV131" s="1520">
        <f t="shared" si="62"/>
        <v>0</v>
      </c>
      <c r="AW131" s="1520">
        <f t="shared" si="63"/>
        <v>0</v>
      </c>
      <c r="AX131" s="152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9"/>
      <c r="AV132" s="1520">
        <f t="shared" si="62"/>
        <v>0</v>
      </c>
      <c r="AW132" s="1520">
        <f t="shared" si="63"/>
        <v>0</v>
      </c>
      <c r="AX132" s="152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9"/>
      <c r="AV133" s="1520">
        <f t="shared" si="62"/>
        <v>0</v>
      </c>
      <c r="AW133" s="1520">
        <f t="shared" si="63"/>
        <v>0</v>
      </c>
      <c r="AX133" s="152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9"/>
      <c r="AV134" s="1520">
        <f t="shared" si="62"/>
        <v>0</v>
      </c>
      <c r="AW134" s="1520">
        <f t="shared" si="63"/>
        <v>0</v>
      </c>
      <c r="AX134" s="152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9"/>
      <c r="AV135" s="1520">
        <f t="shared" si="62"/>
        <v>0</v>
      </c>
      <c r="AW135" s="1520">
        <f t="shared" si="63"/>
        <v>0</v>
      </c>
      <c r="AX135" s="152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9"/>
      <c r="AV136" s="1520">
        <f t="shared" si="62"/>
        <v>0</v>
      </c>
      <c r="AW136" s="1520">
        <f t="shared" si="63"/>
        <v>0</v>
      </c>
      <c r="AX136" s="152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9"/>
      <c r="AV137" s="1520">
        <f t="shared" si="62"/>
        <v>0</v>
      </c>
      <c r="AW137" s="1520">
        <f t="shared" si="63"/>
        <v>0</v>
      </c>
      <c r="AX137" s="152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9"/>
      <c r="AV138" s="1520">
        <f t="shared" si="62"/>
        <v>0</v>
      </c>
      <c r="AW138" s="1520">
        <f t="shared" si="63"/>
        <v>0</v>
      </c>
      <c r="AX138" s="152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9"/>
      <c r="AV139" s="1520">
        <f t="shared" si="62"/>
        <v>0</v>
      </c>
      <c r="AW139" s="1520">
        <f t="shared" si="63"/>
        <v>0</v>
      </c>
      <c r="AX139" s="152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9"/>
      <c r="AV140" s="1520">
        <f t="shared" si="62"/>
        <v>0</v>
      </c>
      <c r="AW140" s="1520">
        <f t="shared" si="63"/>
        <v>0</v>
      </c>
      <c r="AX140" s="152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9"/>
      <c r="AV141" s="1520">
        <f t="shared" si="62"/>
        <v>0</v>
      </c>
      <c r="AW141" s="1520">
        <f t="shared" si="63"/>
        <v>0</v>
      </c>
      <c r="AX141" s="152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9"/>
      <c r="AV142" s="1520">
        <f t="shared" si="62"/>
        <v>0</v>
      </c>
      <c r="AW142" s="1520">
        <f t="shared" si="63"/>
        <v>0</v>
      </c>
      <c r="AX142" s="152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9"/>
      <c r="AV143" s="1520">
        <f t="shared" si="62"/>
        <v>0</v>
      </c>
      <c r="AW143" s="1520">
        <f t="shared" si="63"/>
        <v>0</v>
      </c>
      <c r="AX143" s="152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9"/>
      <c r="AV144" s="1520">
        <f t="shared" si="62"/>
        <v>0</v>
      </c>
      <c r="AW144" s="1520">
        <f t="shared" si="63"/>
        <v>0</v>
      </c>
      <c r="AX144" s="152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9"/>
      <c r="AV145" s="1520">
        <f t="shared" ref="AV145:AV176" si="91">A145</f>
        <v>0</v>
      </c>
      <c r="AW145" s="1520">
        <f t="shared" ref="AW145:AW176" si="92">B145</f>
        <v>0</v>
      </c>
      <c r="AX145" s="152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9"/>
      <c r="AV146" s="1520">
        <f t="shared" si="91"/>
        <v>0</v>
      </c>
      <c r="AW146" s="1520">
        <f t="shared" si="92"/>
        <v>0</v>
      </c>
      <c r="AX146" s="152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9"/>
      <c r="AV147" s="1520">
        <f t="shared" si="91"/>
        <v>0</v>
      </c>
      <c r="AW147" s="1520">
        <f t="shared" si="92"/>
        <v>0</v>
      </c>
      <c r="AX147" s="152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9"/>
      <c r="AV148" s="1520">
        <f t="shared" si="91"/>
        <v>0</v>
      </c>
      <c r="AW148" s="1520">
        <f t="shared" si="92"/>
        <v>0</v>
      </c>
      <c r="AX148" s="152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9"/>
      <c r="AV149" s="1520">
        <f t="shared" si="91"/>
        <v>0</v>
      </c>
      <c r="AW149" s="1520">
        <f t="shared" si="92"/>
        <v>0</v>
      </c>
      <c r="AX149" s="152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9"/>
      <c r="AV150" s="1520">
        <f t="shared" si="91"/>
        <v>0</v>
      </c>
      <c r="AW150" s="1520">
        <f t="shared" si="92"/>
        <v>0</v>
      </c>
      <c r="AX150" s="152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9"/>
      <c r="AV151" s="1520">
        <f t="shared" si="91"/>
        <v>0</v>
      </c>
      <c r="AW151" s="1520">
        <f t="shared" si="92"/>
        <v>0</v>
      </c>
      <c r="AX151" s="152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9"/>
      <c r="AV152" s="1520">
        <f t="shared" si="91"/>
        <v>0</v>
      </c>
      <c r="AW152" s="1520">
        <f t="shared" si="92"/>
        <v>0</v>
      </c>
      <c r="AX152" s="152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9"/>
      <c r="AV153" s="1520">
        <f t="shared" si="91"/>
        <v>0</v>
      </c>
      <c r="AW153" s="1520">
        <f t="shared" si="92"/>
        <v>0</v>
      </c>
      <c r="AX153" s="152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9"/>
      <c r="AV154" s="1520">
        <f t="shared" si="91"/>
        <v>0</v>
      </c>
      <c r="AW154" s="1520">
        <f t="shared" si="92"/>
        <v>0</v>
      </c>
      <c r="AX154" s="152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9"/>
      <c r="AV155" s="1520">
        <f t="shared" si="91"/>
        <v>0</v>
      </c>
      <c r="AW155" s="1520">
        <f t="shared" si="92"/>
        <v>0</v>
      </c>
      <c r="AX155" s="152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9"/>
      <c r="AV156" s="1520">
        <f t="shared" si="91"/>
        <v>0</v>
      </c>
      <c r="AW156" s="1520">
        <f t="shared" si="92"/>
        <v>0</v>
      </c>
      <c r="AX156" s="152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9"/>
      <c r="AV157" s="1520">
        <f t="shared" si="91"/>
        <v>0</v>
      </c>
      <c r="AW157" s="1520">
        <f t="shared" si="92"/>
        <v>0</v>
      </c>
      <c r="AX157" s="152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9"/>
      <c r="AV158" s="1520">
        <f t="shared" si="91"/>
        <v>0</v>
      </c>
      <c r="AW158" s="1520">
        <f t="shared" si="92"/>
        <v>0</v>
      </c>
      <c r="AX158" s="152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9"/>
      <c r="AV159" s="1520">
        <f t="shared" si="91"/>
        <v>0</v>
      </c>
      <c r="AW159" s="1520">
        <f t="shared" si="92"/>
        <v>0</v>
      </c>
      <c r="AX159" s="152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9"/>
      <c r="AV160" s="1520">
        <f t="shared" si="91"/>
        <v>0</v>
      </c>
      <c r="AW160" s="1520">
        <f t="shared" si="92"/>
        <v>0</v>
      </c>
      <c r="AX160" s="152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9"/>
      <c r="AV161" s="1520">
        <f t="shared" si="91"/>
        <v>0</v>
      </c>
      <c r="AW161" s="1520">
        <f t="shared" si="92"/>
        <v>0</v>
      </c>
      <c r="AX161" s="152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9"/>
      <c r="AV162" s="1520">
        <f t="shared" si="91"/>
        <v>0</v>
      </c>
      <c r="AW162" s="1520">
        <f t="shared" si="92"/>
        <v>0</v>
      </c>
      <c r="AX162" s="152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9"/>
      <c r="AV163" s="1520">
        <f t="shared" si="91"/>
        <v>0</v>
      </c>
      <c r="AW163" s="1520">
        <f t="shared" si="92"/>
        <v>0</v>
      </c>
      <c r="AX163" s="152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9"/>
      <c r="AV164" s="1520">
        <f t="shared" si="91"/>
        <v>0</v>
      </c>
      <c r="AW164" s="1520">
        <f t="shared" si="92"/>
        <v>0</v>
      </c>
      <c r="AX164" s="152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9"/>
      <c r="AV165" s="1520">
        <f t="shared" si="91"/>
        <v>0</v>
      </c>
      <c r="AW165" s="1520">
        <f t="shared" si="92"/>
        <v>0</v>
      </c>
      <c r="AX165" s="152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9"/>
      <c r="AV166" s="1520">
        <f t="shared" si="91"/>
        <v>0</v>
      </c>
      <c r="AW166" s="1520">
        <f t="shared" si="92"/>
        <v>0</v>
      </c>
      <c r="AX166" s="152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9"/>
      <c r="AV167" s="1520">
        <f t="shared" si="91"/>
        <v>0</v>
      </c>
      <c r="AW167" s="1520">
        <f t="shared" si="92"/>
        <v>0</v>
      </c>
      <c r="AX167" s="152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9"/>
      <c r="AV168" s="1520">
        <f t="shared" si="91"/>
        <v>0</v>
      </c>
      <c r="AW168" s="1520">
        <f t="shared" si="92"/>
        <v>0</v>
      </c>
      <c r="AX168" s="152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9"/>
      <c r="AV169" s="1520">
        <f t="shared" si="91"/>
        <v>0</v>
      </c>
      <c r="AW169" s="1520">
        <f t="shared" si="92"/>
        <v>0</v>
      </c>
      <c r="AX169" s="152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9"/>
      <c r="AV170" s="1520">
        <f t="shared" si="91"/>
        <v>0</v>
      </c>
      <c r="AW170" s="1520">
        <f t="shared" si="92"/>
        <v>0</v>
      </c>
      <c r="AX170" s="152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9"/>
      <c r="AV171" s="1520">
        <f t="shared" si="91"/>
        <v>0</v>
      </c>
      <c r="AW171" s="1520">
        <f t="shared" si="92"/>
        <v>0</v>
      </c>
      <c r="AX171" s="152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9"/>
      <c r="AV172" s="1520">
        <f t="shared" si="91"/>
        <v>0</v>
      </c>
      <c r="AW172" s="1520">
        <f t="shared" si="92"/>
        <v>0</v>
      </c>
      <c r="AX172" s="152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9"/>
      <c r="AV173" s="1520">
        <f t="shared" si="91"/>
        <v>0</v>
      </c>
      <c r="AW173" s="1520">
        <f t="shared" si="92"/>
        <v>0</v>
      </c>
      <c r="AX173" s="152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9"/>
      <c r="AV174" s="1520">
        <f t="shared" si="91"/>
        <v>0</v>
      </c>
      <c r="AW174" s="1520">
        <f t="shared" si="92"/>
        <v>0</v>
      </c>
      <c r="AX174" s="152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9"/>
      <c r="AV175" s="1520">
        <f t="shared" si="91"/>
        <v>0</v>
      </c>
      <c r="AW175" s="1520">
        <f t="shared" si="92"/>
        <v>0</v>
      </c>
      <c r="AX175" s="152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9"/>
      <c r="AV176" s="1520">
        <f t="shared" si="91"/>
        <v>0</v>
      </c>
      <c r="AW176" s="1520">
        <f t="shared" si="92"/>
        <v>0</v>
      </c>
      <c r="AX176" s="152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9"/>
      <c r="AV177" s="1520">
        <f t="shared" ref="AV177:AV207" si="120">A177</f>
        <v>0</v>
      </c>
      <c r="AW177" s="1520">
        <f t="shared" ref="AW177:AW207" si="121">B177</f>
        <v>0</v>
      </c>
      <c r="AX177" s="152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9"/>
      <c r="AV178" s="1520">
        <f t="shared" si="120"/>
        <v>0</v>
      </c>
      <c r="AW178" s="1520">
        <f t="shared" si="121"/>
        <v>0</v>
      </c>
      <c r="AX178" s="152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9"/>
      <c r="AV179" s="1520">
        <f t="shared" si="120"/>
        <v>0</v>
      </c>
      <c r="AW179" s="1520">
        <f t="shared" si="121"/>
        <v>0</v>
      </c>
      <c r="AX179" s="152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9"/>
      <c r="AV180" s="1520">
        <f t="shared" si="120"/>
        <v>0</v>
      </c>
      <c r="AW180" s="1520">
        <f t="shared" si="121"/>
        <v>0</v>
      </c>
      <c r="AX180" s="152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9"/>
      <c r="AV181" s="1520">
        <f t="shared" si="120"/>
        <v>0</v>
      </c>
      <c r="AW181" s="1520">
        <f t="shared" si="121"/>
        <v>0</v>
      </c>
      <c r="AX181" s="152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9"/>
      <c r="AV182" s="1520">
        <f t="shared" si="120"/>
        <v>0</v>
      </c>
      <c r="AW182" s="1520">
        <f t="shared" si="121"/>
        <v>0</v>
      </c>
      <c r="AX182" s="152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9"/>
      <c r="AV183" s="1520">
        <f t="shared" si="120"/>
        <v>0</v>
      </c>
      <c r="AW183" s="1520">
        <f t="shared" si="121"/>
        <v>0</v>
      </c>
      <c r="AX183" s="152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9"/>
      <c r="AV184" s="1520">
        <f t="shared" si="120"/>
        <v>0</v>
      </c>
      <c r="AW184" s="1520">
        <f t="shared" si="121"/>
        <v>0</v>
      </c>
      <c r="AX184" s="152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9"/>
      <c r="AV185" s="1520">
        <f t="shared" si="120"/>
        <v>0</v>
      </c>
      <c r="AW185" s="1520">
        <f t="shared" si="121"/>
        <v>0</v>
      </c>
      <c r="AX185" s="152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9"/>
      <c r="AV186" s="1520">
        <f t="shared" si="120"/>
        <v>0</v>
      </c>
      <c r="AW186" s="1520">
        <f t="shared" si="121"/>
        <v>0</v>
      </c>
      <c r="AX186" s="152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9"/>
      <c r="AV187" s="1520">
        <f t="shared" si="120"/>
        <v>0</v>
      </c>
      <c r="AW187" s="1520">
        <f t="shared" si="121"/>
        <v>0</v>
      </c>
      <c r="AX187" s="152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9"/>
      <c r="AV188" s="1520">
        <f t="shared" si="120"/>
        <v>0</v>
      </c>
      <c r="AW188" s="1520">
        <f t="shared" si="121"/>
        <v>0</v>
      </c>
      <c r="AX188" s="152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9"/>
      <c r="AV189" s="1520">
        <f t="shared" si="120"/>
        <v>0</v>
      </c>
      <c r="AW189" s="1520">
        <f t="shared" si="121"/>
        <v>0</v>
      </c>
      <c r="AX189" s="152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9"/>
      <c r="AV190" s="1520">
        <f t="shared" si="120"/>
        <v>0</v>
      </c>
      <c r="AW190" s="1520">
        <f t="shared" si="121"/>
        <v>0</v>
      </c>
      <c r="AX190" s="152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9"/>
      <c r="AV191" s="1520">
        <f t="shared" si="120"/>
        <v>0</v>
      </c>
      <c r="AW191" s="1520">
        <f t="shared" si="121"/>
        <v>0</v>
      </c>
      <c r="AX191" s="152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9"/>
      <c r="AV192" s="1520">
        <f t="shared" si="120"/>
        <v>0</v>
      </c>
      <c r="AW192" s="1520">
        <f t="shared" si="121"/>
        <v>0</v>
      </c>
      <c r="AX192" s="152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9"/>
      <c r="AV193" s="1520">
        <f t="shared" si="120"/>
        <v>0</v>
      </c>
      <c r="AW193" s="1520">
        <f t="shared" si="121"/>
        <v>0</v>
      </c>
      <c r="AX193" s="152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9"/>
      <c r="AV194" s="1520">
        <f t="shared" si="120"/>
        <v>0</v>
      </c>
      <c r="AW194" s="1520">
        <f t="shared" si="121"/>
        <v>0</v>
      </c>
      <c r="AX194" s="152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9"/>
      <c r="AV195" s="1520">
        <f t="shared" si="120"/>
        <v>0</v>
      </c>
      <c r="AW195" s="1520">
        <f t="shared" si="121"/>
        <v>0</v>
      </c>
      <c r="AX195" s="152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9"/>
      <c r="AV196" s="1520">
        <f t="shared" si="120"/>
        <v>0</v>
      </c>
      <c r="AW196" s="1520">
        <f t="shared" si="121"/>
        <v>0</v>
      </c>
      <c r="AX196" s="152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9"/>
      <c r="AV197" s="1520">
        <f t="shared" si="120"/>
        <v>0</v>
      </c>
      <c r="AW197" s="1520">
        <f t="shared" si="121"/>
        <v>0</v>
      </c>
      <c r="AX197" s="152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9"/>
      <c r="AV198" s="1520">
        <f t="shared" si="120"/>
        <v>0</v>
      </c>
      <c r="AW198" s="1520">
        <f t="shared" si="121"/>
        <v>0</v>
      </c>
      <c r="AX198" s="152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9"/>
      <c r="AV199" s="1520">
        <f t="shared" si="120"/>
        <v>0</v>
      </c>
      <c r="AW199" s="1520">
        <f t="shared" si="121"/>
        <v>0</v>
      </c>
      <c r="AX199" s="152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9"/>
      <c r="AV200" s="1520">
        <f t="shared" si="120"/>
        <v>0</v>
      </c>
      <c r="AW200" s="1520">
        <f t="shared" si="121"/>
        <v>0</v>
      </c>
      <c r="AX200" s="152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9"/>
      <c r="AV201" s="1520">
        <f t="shared" si="120"/>
        <v>0</v>
      </c>
      <c r="AW201" s="1520">
        <f t="shared" si="121"/>
        <v>0</v>
      </c>
      <c r="AX201" s="152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9"/>
      <c r="AV202" s="1520">
        <f t="shared" si="120"/>
        <v>0</v>
      </c>
      <c r="AW202" s="1520">
        <f t="shared" si="121"/>
        <v>0</v>
      </c>
      <c r="AX202" s="152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9"/>
      <c r="AV203" s="1520">
        <f t="shared" si="120"/>
        <v>0</v>
      </c>
      <c r="AW203" s="1520">
        <f t="shared" si="121"/>
        <v>0</v>
      </c>
      <c r="AX203" s="152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9"/>
      <c r="AV204" s="1520">
        <f t="shared" si="120"/>
        <v>0</v>
      </c>
      <c r="AW204" s="1520">
        <f t="shared" si="121"/>
        <v>0</v>
      </c>
      <c r="AX204" s="152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9"/>
      <c r="AV205" s="1520">
        <f t="shared" si="120"/>
        <v>0</v>
      </c>
      <c r="AW205" s="1520">
        <f t="shared" si="121"/>
        <v>0</v>
      </c>
      <c r="AX205" s="152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9"/>
      <c r="AV206" s="1520">
        <f t="shared" si="120"/>
        <v>0</v>
      </c>
      <c r="AW206" s="1520">
        <f t="shared" si="121"/>
        <v>0</v>
      </c>
      <c r="AX206" s="152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9"/>
      <c r="AV207" s="1520">
        <f t="shared" si="120"/>
        <v>0</v>
      </c>
      <c r="AW207" s="1520">
        <f t="shared" si="121"/>
        <v>0</v>
      </c>
      <c r="AX207" s="152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9"/>
      <c r="AV208" s="1520">
        <f t="shared" ref="AV208:AV302" si="127">A208</f>
        <v>0</v>
      </c>
      <c r="AW208" s="1520">
        <f t="shared" ref="AW208:AW302" si="128">B208</f>
        <v>0</v>
      </c>
      <c r="AX208" s="152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9"/>
      <c r="AV209" s="1520">
        <f t="shared" si="127"/>
        <v>0</v>
      </c>
      <c r="AW209" s="1520">
        <f t="shared" si="128"/>
        <v>0</v>
      </c>
      <c r="AX209" s="152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9"/>
      <c r="AV210" s="1520">
        <f t="shared" si="127"/>
        <v>0</v>
      </c>
      <c r="AW210" s="1520">
        <f t="shared" si="128"/>
        <v>0</v>
      </c>
      <c r="AX210" s="152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9"/>
      <c r="AV211" s="1520">
        <f t="shared" si="127"/>
        <v>0</v>
      </c>
      <c r="AW211" s="1520">
        <f t="shared" si="128"/>
        <v>0</v>
      </c>
      <c r="AX211" s="152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9"/>
      <c r="AV212" s="1520">
        <f t="shared" si="127"/>
        <v>0</v>
      </c>
      <c r="AW212" s="1520">
        <f t="shared" si="128"/>
        <v>0</v>
      </c>
      <c r="AX212" s="152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9"/>
      <c r="AV213" s="1520">
        <f t="shared" si="127"/>
        <v>0</v>
      </c>
      <c r="AW213" s="1520">
        <f t="shared" si="128"/>
        <v>0</v>
      </c>
      <c r="AX213" s="152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9"/>
      <c r="AV214" s="1520">
        <f t="shared" si="127"/>
        <v>0</v>
      </c>
      <c r="AW214" s="1520">
        <f t="shared" si="128"/>
        <v>0</v>
      </c>
      <c r="AX214" s="152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9"/>
      <c r="AV215" s="1520">
        <f t="shared" si="127"/>
        <v>0</v>
      </c>
      <c r="AW215" s="1520">
        <f t="shared" si="128"/>
        <v>0</v>
      </c>
      <c r="AX215" s="152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9"/>
      <c r="AV216" s="1520">
        <f t="shared" si="127"/>
        <v>0</v>
      </c>
      <c r="AW216" s="1520">
        <f t="shared" si="128"/>
        <v>0</v>
      </c>
      <c r="AX216" s="152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9"/>
      <c r="AV217" s="1520">
        <f t="shared" si="127"/>
        <v>0</v>
      </c>
      <c r="AW217" s="1520">
        <f t="shared" si="128"/>
        <v>0</v>
      </c>
      <c r="AX217" s="152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9"/>
      <c r="AV218" s="1520">
        <f t="shared" si="127"/>
        <v>0</v>
      </c>
      <c r="AW218" s="1520">
        <f t="shared" si="128"/>
        <v>0</v>
      </c>
      <c r="AX218" s="152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9"/>
      <c r="AV219" s="1520">
        <f t="shared" si="127"/>
        <v>0</v>
      </c>
      <c r="AW219" s="1520">
        <f t="shared" si="128"/>
        <v>0</v>
      </c>
      <c r="AX219" s="152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9"/>
      <c r="AV220" s="1520">
        <f t="shared" si="127"/>
        <v>0</v>
      </c>
      <c r="AW220" s="1520">
        <f t="shared" si="128"/>
        <v>0</v>
      </c>
      <c r="AX220" s="152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9"/>
      <c r="AV221" s="1520">
        <f t="shared" si="127"/>
        <v>0</v>
      </c>
      <c r="AW221" s="1520">
        <f t="shared" si="128"/>
        <v>0</v>
      </c>
      <c r="AX221" s="152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9"/>
      <c r="AV222" s="1520">
        <f t="shared" si="127"/>
        <v>0</v>
      </c>
      <c r="AW222" s="1520">
        <f t="shared" si="128"/>
        <v>0</v>
      </c>
      <c r="AX222" s="152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9"/>
      <c r="AV223" s="1520">
        <f t="shared" si="127"/>
        <v>0</v>
      </c>
      <c r="AW223" s="1520">
        <f t="shared" si="128"/>
        <v>0</v>
      </c>
      <c r="AX223" s="152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9"/>
      <c r="AV224" s="1520">
        <f t="shared" si="127"/>
        <v>0</v>
      </c>
      <c r="AW224" s="1520">
        <f t="shared" si="128"/>
        <v>0</v>
      </c>
      <c r="AX224" s="152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9"/>
      <c r="AV225" s="1520">
        <f t="shared" si="127"/>
        <v>0</v>
      </c>
      <c r="AW225" s="1520">
        <f t="shared" si="128"/>
        <v>0</v>
      </c>
      <c r="AX225" s="152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9"/>
      <c r="AV226" s="1520">
        <f t="shared" si="127"/>
        <v>0</v>
      </c>
      <c r="AW226" s="1520">
        <f t="shared" si="128"/>
        <v>0</v>
      </c>
      <c r="AX226" s="152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9"/>
      <c r="AV227" s="1520">
        <f t="shared" si="127"/>
        <v>0</v>
      </c>
      <c r="AW227" s="1520">
        <f t="shared" si="128"/>
        <v>0</v>
      </c>
      <c r="AX227" s="152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9"/>
      <c r="AV228" s="1520">
        <f t="shared" si="127"/>
        <v>0</v>
      </c>
      <c r="AW228" s="1520">
        <f t="shared" si="128"/>
        <v>0</v>
      </c>
      <c r="AX228" s="152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9"/>
      <c r="AV229" s="1520">
        <f t="shared" si="127"/>
        <v>0</v>
      </c>
      <c r="AW229" s="1520">
        <f t="shared" si="128"/>
        <v>0</v>
      </c>
      <c r="AX229" s="152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9"/>
      <c r="AV230" s="1520">
        <f t="shared" si="127"/>
        <v>0</v>
      </c>
      <c r="AW230" s="1520">
        <f t="shared" si="128"/>
        <v>0</v>
      </c>
      <c r="AX230" s="152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9"/>
      <c r="AV231" s="1520">
        <f t="shared" si="127"/>
        <v>0</v>
      </c>
      <c r="AW231" s="1520">
        <f t="shared" si="128"/>
        <v>0</v>
      </c>
      <c r="AX231" s="152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9"/>
      <c r="AV232" s="1520">
        <f t="shared" si="127"/>
        <v>0</v>
      </c>
      <c r="AW232" s="1520">
        <f t="shared" si="128"/>
        <v>0</v>
      </c>
      <c r="AX232" s="152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9"/>
      <c r="AV233" s="1520">
        <f t="shared" si="127"/>
        <v>0</v>
      </c>
      <c r="AW233" s="1520">
        <f t="shared" si="128"/>
        <v>0</v>
      </c>
      <c r="AX233" s="152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9"/>
      <c r="AV234" s="1520">
        <f t="shared" si="127"/>
        <v>0</v>
      </c>
      <c r="AW234" s="1520">
        <f t="shared" si="128"/>
        <v>0</v>
      </c>
      <c r="AX234" s="152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9"/>
      <c r="AV235" s="1520">
        <f t="shared" si="127"/>
        <v>0</v>
      </c>
      <c r="AW235" s="1520">
        <f t="shared" si="128"/>
        <v>0</v>
      </c>
      <c r="AX235" s="152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9"/>
      <c r="AV236" s="1520">
        <f t="shared" si="127"/>
        <v>0</v>
      </c>
      <c r="AW236" s="1520">
        <f t="shared" si="128"/>
        <v>0</v>
      </c>
      <c r="AX236" s="152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9"/>
      <c r="AV237" s="1520">
        <f t="shared" si="127"/>
        <v>0</v>
      </c>
      <c r="AW237" s="1520">
        <f t="shared" si="128"/>
        <v>0</v>
      </c>
      <c r="AX237" s="152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9"/>
      <c r="AV238" s="1520">
        <f t="shared" si="127"/>
        <v>0</v>
      </c>
      <c r="AW238" s="1520">
        <f t="shared" si="128"/>
        <v>0</v>
      </c>
      <c r="AX238" s="152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9"/>
      <c r="AV239" s="1520">
        <f t="shared" si="127"/>
        <v>0</v>
      </c>
      <c r="AW239" s="1520">
        <f t="shared" si="128"/>
        <v>0</v>
      </c>
      <c r="AX239" s="152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9"/>
      <c r="AV240" s="1520">
        <f t="shared" si="127"/>
        <v>0</v>
      </c>
      <c r="AW240" s="1520">
        <f t="shared" si="128"/>
        <v>0</v>
      </c>
      <c r="AX240" s="152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9"/>
      <c r="AV241" s="1520">
        <f t="shared" si="127"/>
        <v>0</v>
      </c>
      <c r="AW241" s="1520">
        <f t="shared" si="128"/>
        <v>0</v>
      </c>
      <c r="AX241" s="152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9"/>
      <c r="AV242" s="1520">
        <f t="shared" si="127"/>
        <v>0</v>
      </c>
      <c r="AW242" s="1520">
        <f t="shared" si="128"/>
        <v>0</v>
      </c>
      <c r="AX242" s="152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9"/>
      <c r="AV243" s="1520">
        <f t="shared" si="127"/>
        <v>0</v>
      </c>
      <c r="AW243" s="1520">
        <f t="shared" si="128"/>
        <v>0</v>
      </c>
      <c r="AX243" s="152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9"/>
      <c r="AV244" s="1520">
        <f t="shared" si="127"/>
        <v>0</v>
      </c>
      <c r="AW244" s="1520">
        <f t="shared" si="128"/>
        <v>0</v>
      </c>
      <c r="AX244" s="152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9"/>
      <c r="AV245" s="1520">
        <f t="shared" si="127"/>
        <v>0</v>
      </c>
      <c r="AW245" s="1520">
        <f t="shared" si="128"/>
        <v>0</v>
      </c>
      <c r="AX245" s="152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9"/>
      <c r="AV246" s="1520">
        <f t="shared" si="127"/>
        <v>0</v>
      </c>
      <c r="AW246" s="1520">
        <f t="shared" si="128"/>
        <v>0</v>
      </c>
      <c r="AX246" s="152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9"/>
      <c r="AV247" s="1520">
        <f t="shared" si="127"/>
        <v>0</v>
      </c>
      <c r="AW247" s="1520">
        <f t="shared" si="128"/>
        <v>0</v>
      </c>
      <c r="AX247" s="152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9"/>
      <c r="AV248" s="1520">
        <f t="shared" si="127"/>
        <v>0</v>
      </c>
      <c r="AW248" s="1520">
        <f t="shared" si="128"/>
        <v>0</v>
      </c>
      <c r="AX248" s="152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9"/>
      <c r="AV249" s="1520">
        <f t="shared" si="127"/>
        <v>0</v>
      </c>
      <c r="AW249" s="1520">
        <f t="shared" si="128"/>
        <v>0</v>
      </c>
      <c r="AX249" s="152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9"/>
      <c r="AV250" s="1520">
        <f t="shared" si="127"/>
        <v>0</v>
      </c>
      <c r="AW250" s="1520">
        <f t="shared" si="128"/>
        <v>0</v>
      </c>
      <c r="AX250" s="152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9"/>
      <c r="AV251" s="1520">
        <f t="shared" si="127"/>
        <v>0</v>
      </c>
      <c r="AW251" s="1520">
        <f t="shared" si="128"/>
        <v>0</v>
      </c>
      <c r="AX251" s="152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9"/>
      <c r="AV252" s="1520">
        <f t="shared" si="127"/>
        <v>0</v>
      </c>
      <c r="AW252" s="1520">
        <f t="shared" si="128"/>
        <v>0</v>
      </c>
      <c r="AX252" s="152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9"/>
      <c r="AV253" s="1520">
        <f t="shared" si="127"/>
        <v>0</v>
      </c>
      <c r="AW253" s="1520">
        <f t="shared" si="128"/>
        <v>0</v>
      </c>
      <c r="AX253" s="152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9"/>
      <c r="AV254" s="1520">
        <f t="shared" si="127"/>
        <v>0</v>
      </c>
      <c r="AW254" s="1520">
        <f t="shared" si="128"/>
        <v>0</v>
      </c>
      <c r="AX254" s="152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9"/>
      <c r="AV255" s="1520">
        <f t="shared" si="127"/>
        <v>0</v>
      </c>
      <c r="AW255" s="1520">
        <f t="shared" si="128"/>
        <v>0</v>
      </c>
      <c r="AX255" s="152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9"/>
      <c r="AV256" s="1520">
        <f t="shared" si="127"/>
        <v>0</v>
      </c>
      <c r="AW256" s="1520">
        <f t="shared" si="128"/>
        <v>0</v>
      </c>
      <c r="AX256" s="152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9"/>
      <c r="AV257" s="1520">
        <f t="shared" si="127"/>
        <v>0</v>
      </c>
      <c r="AW257" s="1520">
        <f t="shared" si="128"/>
        <v>0</v>
      </c>
      <c r="AX257" s="152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9"/>
      <c r="AV258" s="1520">
        <f t="shared" si="127"/>
        <v>0</v>
      </c>
      <c r="AW258" s="1520">
        <f t="shared" si="128"/>
        <v>0</v>
      </c>
      <c r="AX258" s="152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9"/>
      <c r="AV259" s="1520">
        <f t="shared" si="127"/>
        <v>0</v>
      </c>
      <c r="AW259" s="1520">
        <f t="shared" si="128"/>
        <v>0</v>
      </c>
      <c r="AX259" s="152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9"/>
      <c r="AV260" s="1520">
        <f t="shared" si="127"/>
        <v>0</v>
      </c>
      <c r="AW260" s="1520">
        <f t="shared" si="128"/>
        <v>0</v>
      </c>
      <c r="AX260" s="152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9"/>
      <c r="AV261" s="1520">
        <f t="shared" si="127"/>
        <v>0</v>
      </c>
      <c r="AW261" s="1520">
        <f t="shared" si="128"/>
        <v>0</v>
      </c>
      <c r="AX261" s="152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9"/>
      <c r="AV262" s="1520">
        <f t="shared" si="127"/>
        <v>0</v>
      </c>
      <c r="AW262" s="1520">
        <f t="shared" si="128"/>
        <v>0</v>
      </c>
      <c r="AX262" s="152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9"/>
      <c r="AV263" s="1520">
        <f t="shared" si="127"/>
        <v>0</v>
      </c>
      <c r="AW263" s="1520">
        <f t="shared" si="128"/>
        <v>0</v>
      </c>
      <c r="AX263" s="152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9"/>
      <c r="AV264" s="1520">
        <f t="shared" si="127"/>
        <v>0</v>
      </c>
      <c r="AW264" s="1520">
        <f t="shared" si="128"/>
        <v>0</v>
      </c>
      <c r="AX264" s="152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9"/>
      <c r="AV265" s="1520">
        <f t="shared" si="127"/>
        <v>0</v>
      </c>
      <c r="AW265" s="1520">
        <f t="shared" si="128"/>
        <v>0</v>
      </c>
      <c r="AX265" s="152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9"/>
      <c r="AV266" s="1520">
        <f t="shared" si="127"/>
        <v>0</v>
      </c>
      <c r="AW266" s="1520">
        <f t="shared" si="128"/>
        <v>0</v>
      </c>
      <c r="AX266" s="152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9"/>
      <c r="AV267" s="1520">
        <f t="shared" si="127"/>
        <v>0</v>
      </c>
      <c r="AW267" s="1520">
        <f t="shared" si="128"/>
        <v>0</v>
      </c>
      <c r="AX267" s="152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9"/>
      <c r="AV268" s="1520">
        <f t="shared" si="127"/>
        <v>0</v>
      </c>
      <c r="AW268" s="1520">
        <f t="shared" si="128"/>
        <v>0</v>
      </c>
      <c r="AX268" s="152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9"/>
      <c r="AV269" s="1520">
        <f t="shared" si="127"/>
        <v>0</v>
      </c>
      <c r="AW269" s="1520">
        <f t="shared" si="128"/>
        <v>0</v>
      </c>
      <c r="AX269" s="152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9"/>
      <c r="AV270" s="1520">
        <f t="shared" si="127"/>
        <v>0</v>
      </c>
      <c r="AW270" s="1520">
        <f t="shared" si="128"/>
        <v>0</v>
      </c>
      <c r="AX270" s="152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9"/>
      <c r="AV271" s="1520">
        <f t="shared" si="127"/>
        <v>0</v>
      </c>
      <c r="AW271" s="1520">
        <f t="shared" si="128"/>
        <v>0</v>
      </c>
      <c r="AX271" s="152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9"/>
      <c r="AV272" s="1520">
        <f t="shared" si="127"/>
        <v>0</v>
      </c>
      <c r="AW272" s="1520">
        <f t="shared" si="128"/>
        <v>0</v>
      </c>
      <c r="AX272" s="152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9"/>
      <c r="AV273" s="1520">
        <f t="shared" si="127"/>
        <v>0</v>
      </c>
      <c r="AW273" s="1520">
        <f t="shared" si="128"/>
        <v>0</v>
      </c>
      <c r="AX273" s="152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9"/>
      <c r="AV274" s="1520">
        <f t="shared" si="127"/>
        <v>0</v>
      </c>
      <c r="AW274" s="1520">
        <f t="shared" si="128"/>
        <v>0</v>
      </c>
      <c r="AX274" s="152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9"/>
      <c r="AV275" s="1520">
        <f t="shared" si="127"/>
        <v>0</v>
      </c>
      <c r="AW275" s="1520">
        <f t="shared" si="128"/>
        <v>0</v>
      </c>
      <c r="AX275" s="152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9"/>
      <c r="AV276" s="1520">
        <f t="shared" si="127"/>
        <v>0</v>
      </c>
      <c r="AW276" s="1520">
        <f t="shared" si="128"/>
        <v>0</v>
      </c>
      <c r="AX276" s="152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9"/>
      <c r="AV277" s="1520">
        <f t="shared" si="127"/>
        <v>0</v>
      </c>
      <c r="AW277" s="1520">
        <f t="shared" si="128"/>
        <v>0</v>
      </c>
      <c r="AX277" s="152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9"/>
      <c r="AV278" s="1520">
        <f t="shared" si="127"/>
        <v>0</v>
      </c>
      <c r="AW278" s="1520">
        <f t="shared" si="128"/>
        <v>0</v>
      </c>
      <c r="AX278" s="152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9"/>
      <c r="AV279" s="1520">
        <f t="shared" si="127"/>
        <v>0</v>
      </c>
      <c r="AW279" s="1520">
        <f t="shared" si="128"/>
        <v>0</v>
      </c>
      <c r="AX279" s="152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9"/>
      <c r="AV280" s="1520">
        <f t="shared" si="127"/>
        <v>0</v>
      </c>
      <c r="AW280" s="1520">
        <f t="shared" si="128"/>
        <v>0</v>
      </c>
      <c r="AX280" s="152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9"/>
      <c r="AV281" s="1520">
        <f t="shared" si="127"/>
        <v>0</v>
      </c>
      <c r="AW281" s="1520">
        <f t="shared" si="128"/>
        <v>0</v>
      </c>
      <c r="AX281" s="152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9"/>
      <c r="AV282" s="1520">
        <f t="shared" si="127"/>
        <v>0</v>
      </c>
      <c r="AW282" s="1520">
        <f t="shared" si="128"/>
        <v>0</v>
      </c>
      <c r="AX282" s="152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9"/>
      <c r="AV283" s="1520">
        <f t="shared" si="127"/>
        <v>0</v>
      </c>
      <c r="AW283" s="1520">
        <f t="shared" si="128"/>
        <v>0</v>
      </c>
      <c r="AX283" s="152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9"/>
      <c r="AV284" s="1520">
        <f t="shared" si="127"/>
        <v>0</v>
      </c>
      <c r="AW284" s="1520">
        <f t="shared" si="128"/>
        <v>0</v>
      </c>
      <c r="AX284" s="152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9"/>
      <c r="AV285" s="1520">
        <f t="shared" si="127"/>
        <v>0</v>
      </c>
      <c r="AW285" s="1520">
        <f t="shared" si="128"/>
        <v>0</v>
      </c>
      <c r="AX285" s="152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9"/>
      <c r="AV286" s="1520">
        <f t="shared" si="127"/>
        <v>0</v>
      </c>
      <c r="AW286" s="1520">
        <f t="shared" si="128"/>
        <v>0</v>
      </c>
      <c r="AX286" s="152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9"/>
      <c r="AV287" s="1520">
        <f t="shared" si="127"/>
        <v>0</v>
      </c>
      <c r="AW287" s="1520">
        <f t="shared" si="128"/>
        <v>0</v>
      </c>
      <c r="AX287" s="152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9"/>
      <c r="AV288" s="1520">
        <f t="shared" si="127"/>
        <v>0</v>
      </c>
      <c r="AW288" s="1520">
        <f t="shared" si="128"/>
        <v>0</v>
      </c>
      <c r="AX288" s="152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9"/>
      <c r="AV289" s="1520">
        <f t="shared" si="127"/>
        <v>0</v>
      </c>
      <c r="AW289" s="1520">
        <f t="shared" si="128"/>
        <v>0</v>
      </c>
      <c r="AX289" s="152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9"/>
      <c r="AV290" s="1520">
        <f t="shared" si="127"/>
        <v>0</v>
      </c>
      <c r="AW290" s="1520">
        <f t="shared" si="128"/>
        <v>0</v>
      </c>
      <c r="AX290" s="152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9"/>
      <c r="AV291" s="1520">
        <f t="shared" si="127"/>
        <v>0</v>
      </c>
      <c r="AW291" s="1520">
        <f t="shared" si="128"/>
        <v>0</v>
      </c>
      <c r="AX291" s="152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9"/>
      <c r="AV292" s="1520">
        <f t="shared" si="127"/>
        <v>0</v>
      </c>
      <c r="AW292" s="1520">
        <f t="shared" si="128"/>
        <v>0</v>
      </c>
      <c r="AX292" s="152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9"/>
      <c r="AV293" s="1520">
        <f t="shared" si="127"/>
        <v>0</v>
      </c>
      <c r="AW293" s="1520">
        <f t="shared" si="128"/>
        <v>0</v>
      </c>
      <c r="AX293" s="152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9"/>
      <c r="AV294" s="1520">
        <f t="shared" si="127"/>
        <v>0</v>
      </c>
      <c r="AW294" s="1520">
        <f t="shared" si="128"/>
        <v>0</v>
      </c>
      <c r="AX294" s="152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9"/>
      <c r="AV295" s="1520">
        <f t="shared" si="127"/>
        <v>0</v>
      </c>
      <c r="AW295" s="1520">
        <f t="shared" si="128"/>
        <v>0</v>
      </c>
      <c r="AX295" s="152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9"/>
      <c r="AV296" s="1520">
        <f t="shared" si="127"/>
        <v>0</v>
      </c>
      <c r="AW296" s="1520">
        <f t="shared" si="128"/>
        <v>0</v>
      </c>
      <c r="AX296" s="152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9"/>
      <c r="AV297" s="1520">
        <f t="shared" si="127"/>
        <v>0</v>
      </c>
      <c r="AW297" s="1520">
        <f t="shared" si="128"/>
        <v>0</v>
      </c>
      <c r="AX297" s="152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9"/>
      <c r="AV298" s="1520">
        <f t="shared" si="127"/>
        <v>0</v>
      </c>
      <c r="AW298" s="1520">
        <f t="shared" si="128"/>
        <v>0</v>
      </c>
      <c r="AX298" s="152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9"/>
      <c r="AV299" s="1520">
        <f t="shared" si="127"/>
        <v>0</v>
      </c>
      <c r="AW299" s="1520">
        <f t="shared" si="128"/>
        <v>0</v>
      </c>
      <c r="AX299" s="152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9"/>
      <c r="AV300" s="1520">
        <f t="shared" si="127"/>
        <v>0</v>
      </c>
      <c r="AW300" s="1520">
        <f t="shared" si="128"/>
        <v>0</v>
      </c>
      <c r="AX300" s="152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9"/>
      <c r="AV301" s="1520">
        <f t="shared" si="127"/>
        <v>0</v>
      </c>
      <c r="AW301" s="1520">
        <f t="shared" si="128"/>
        <v>0</v>
      </c>
      <c r="AX301" s="152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9"/>
      <c r="AV302" s="1520">
        <f t="shared" si="127"/>
        <v>0</v>
      </c>
      <c r="AW302" s="1520">
        <f t="shared" si="128"/>
        <v>0</v>
      </c>
      <c r="AX302" s="152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9"/>
      <c r="AV303" s="1520">
        <f t="shared" ref="AV303:AV334" si="178">A303</f>
        <v>0</v>
      </c>
      <c r="AW303" s="1520">
        <f t="shared" ref="AW303:AW334" si="179">B303</f>
        <v>0</v>
      </c>
      <c r="AX303" s="152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9"/>
      <c r="AV304" s="1520">
        <f t="shared" si="178"/>
        <v>0</v>
      </c>
      <c r="AW304" s="1520">
        <f t="shared" si="179"/>
        <v>0</v>
      </c>
      <c r="AX304" s="152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9"/>
      <c r="AV305" s="1520">
        <f t="shared" si="178"/>
        <v>0</v>
      </c>
      <c r="AW305" s="1520">
        <f t="shared" si="179"/>
        <v>0</v>
      </c>
      <c r="AX305" s="152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9"/>
      <c r="AV306" s="1520">
        <f t="shared" si="178"/>
        <v>0</v>
      </c>
      <c r="AW306" s="1520">
        <f t="shared" si="179"/>
        <v>0</v>
      </c>
      <c r="AX306" s="152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9"/>
      <c r="AV307" s="1520">
        <f t="shared" si="178"/>
        <v>0</v>
      </c>
      <c r="AW307" s="1520">
        <f t="shared" si="179"/>
        <v>0</v>
      </c>
      <c r="AX307" s="152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9"/>
      <c r="AV308" s="1520">
        <f t="shared" si="178"/>
        <v>0</v>
      </c>
      <c r="AW308" s="1520">
        <f t="shared" si="179"/>
        <v>0</v>
      </c>
      <c r="AX308" s="152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9"/>
      <c r="AV309" s="1520">
        <f t="shared" si="178"/>
        <v>0</v>
      </c>
      <c r="AW309" s="1520">
        <f t="shared" si="179"/>
        <v>0</v>
      </c>
      <c r="AX309" s="152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9"/>
      <c r="AV310" s="1520">
        <f t="shared" si="178"/>
        <v>0</v>
      </c>
      <c r="AW310" s="1520">
        <f t="shared" si="179"/>
        <v>0</v>
      </c>
      <c r="AX310" s="152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9"/>
      <c r="AV311" s="1520">
        <f t="shared" si="178"/>
        <v>0</v>
      </c>
      <c r="AW311" s="1520">
        <f t="shared" si="179"/>
        <v>0</v>
      </c>
      <c r="AX311" s="152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9"/>
      <c r="AV312" s="1520">
        <f t="shared" si="178"/>
        <v>0</v>
      </c>
      <c r="AW312" s="1520">
        <f t="shared" si="179"/>
        <v>0</v>
      </c>
      <c r="AX312" s="152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9"/>
      <c r="AV313" s="1520">
        <f t="shared" si="178"/>
        <v>0</v>
      </c>
      <c r="AW313" s="1520">
        <f t="shared" si="179"/>
        <v>0</v>
      </c>
      <c r="AX313" s="152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9"/>
      <c r="AV314" s="1520">
        <f t="shared" si="178"/>
        <v>0</v>
      </c>
      <c r="AW314" s="1520">
        <f t="shared" si="179"/>
        <v>0</v>
      </c>
      <c r="AX314" s="152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9"/>
      <c r="AV315" s="1520">
        <f t="shared" si="178"/>
        <v>0</v>
      </c>
      <c r="AW315" s="1520">
        <f t="shared" si="179"/>
        <v>0</v>
      </c>
      <c r="AX315" s="152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9"/>
      <c r="AV316" s="1520">
        <f t="shared" si="178"/>
        <v>0</v>
      </c>
      <c r="AW316" s="1520">
        <f t="shared" si="179"/>
        <v>0</v>
      </c>
      <c r="AX316" s="152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9"/>
      <c r="AV317" s="1520">
        <f t="shared" si="178"/>
        <v>0</v>
      </c>
      <c r="AW317" s="1520">
        <f t="shared" si="179"/>
        <v>0</v>
      </c>
      <c r="AX317" s="152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9"/>
      <c r="AV318" s="1520">
        <f t="shared" si="178"/>
        <v>0</v>
      </c>
      <c r="AW318" s="1520">
        <f t="shared" si="179"/>
        <v>0</v>
      </c>
      <c r="AX318" s="152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9"/>
      <c r="AV319" s="1520">
        <f t="shared" si="178"/>
        <v>0</v>
      </c>
      <c r="AW319" s="1520">
        <f t="shared" si="179"/>
        <v>0</v>
      </c>
      <c r="AX319" s="152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9"/>
      <c r="AV320" s="1520">
        <f t="shared" si="178"/>
        <v>0</v>
      </c>
      <c r="AW320" s="1520">
        <f t="shared" si="179"/>
        <v>0</v>
      </c>
      <c r="AX320" s="152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9"/>
      <c r="AV321" s="1520">
        <f t="shared" si="178"/>
        <v>0</v>
      </c>
      <c r="AW321" s="1520">
        <f t="shared" si="179"/>
        <v>0</v>
      </c>
      <c r="AX321" s="152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9"/>
      <c r="AV322" s="1520">
        <f t="shared" si="178"/>
        <v>0</v>
      </c>
      <c r="AW322" s="1520">
        <f t="shared" si="179"/>
        <v>0</v>
      </c>
      <c r="AX322" s="152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9"/>
      <c r="AV323" s="1520">
        <f t="shared" si="178"/>
        <v>0</v>
      </c>
      <c r="AW323" s="1520">
        <f t="shared" si="179"/>
        <v>0</v>
      </c>
      <c r="AX323" s="152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9"/>
      <c r="AV324" s="1520">
        <f t="shared" si="178"/>
        <v>0</v>
      </c>
      <c r="AW324" s="1520">
        <f t="shared" si="179"/>
        <v>0</v>
      </c>
      <c r="AX324" s="152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9"/>
      <c r="AV325" s="1520">
        <f t="shared" si="178"/>
        <v>0</v>
      </c>
      <c r="AW325" s="1520">
        <f t="shared" si="179"/>
        <v>0</v>
      </c>
      <c r="AX325" s="152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9"/>
      <c r="AV326" s="1520">
        <f t="shared" si="178"/>
        <v>0</v>
      </c>
      <c r="AW326" s="1520">
        <f t="shared" si="179"/>
        <v>0</v>
      </c>
      <c r="AX326" s="152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9"/>
      <c r="AV327" s="1520">
        <f t="shared" si="178"/>
        <v>0</v>
      </c>
      <c r="AW327" s="1520">
        <f t="shared" si="179"/>
        <v>0</v>
      </c>
      <c r="AX327" s="152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9"/>
      <c r="AV328" s="1520">
        <f t="shared" si="178"/>
        <v>0</v>
      </c>
      <c r="AW328" s="1520">
        <f t="shared" si="179"/>
        <v>0</v>
      </c>
      <c r="AX328" s="152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9"/>
      <c r="AV329" s="1520">
        <f t="shared" si="178"/>
        <v>0</v>
      </c>
      <c r="AW329" s="1520">
        <f t="shared" si="179"/>
        <v>0</v>
      </c>
      <c r="AX329" s="152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9"/>
      <c r="AV330" s="1520">
        <f t="shared" si="178"/>
        <v>0</v>
      </c>
      <c r="AW330" s="1520">
        <f t="shared" si="179"/>
        <v>0</v>
      </c>
      <c r="AX330" s="152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9"/>
      <c r="AV331" s="1520">
        <f t="shared" si="178"/>
        <v>0</v>
      </c>
      <c r="AW331" s="1520">
        <f t="shared" si="179"/>
        <v>0</v>
      </c>
      <c r="AX331" s="152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9"/>
      <c r="AV332" s="1520">
        <f t="shared" si="178"/>
        <v>0</v>
      </c>
      <c r="AW332" s="1520">
        <f t="shared" si="179"/>
        <v>0</v>
      </c>
      <c r="AX332" s="152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9"/>
      <c r="AV333" s="1520">
        <f t="shared" si="178"/>
        <v>0</v>
      </c>
      <c r="AW333" s="1520">
        <f t="shared" si="179"/>
        <v>0</v>
      </c>
      <c r="AX333" s="152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9"/>
      <c r="AV334" s="1520">
        <f t="shared" si="178"/>
        <v>0</v>
      </c>
      <c r="AW334" s="1520">
        <f t="shared" si="179"/>
        <v>0</v>
      </c>
      <c r="AX334" s="152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9"/>
      <c r="AV335" s="1520">
        <f t="shared" ref="AV335:AV366" si="207">A335</f>
        <v>0</v>
      </c>
      <c r="AW335" s="1520">
        <f t="shared" ref="AW335:AW366" si="208">B335</f>
        <v>0</v>
      </c>
      <c r="AX335" s="152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9"/>
      <c r="AV336" s="1520">
        <f t="shared" si="207"/>
        <v>0</v>
      </c>
      <c r="AW336" s="1520">
        <f t="shared" si="208"/>
        <v>0</v>
      </c>
      <c r="AX336" s="152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9"/>
      <c r="AV337" s="1520">
        <f t="shared" si="207"/>
        <v>0</v>
      </c>
      <c r="AW337" s="1520">
        <f t="shared" si="208"/>
        <v>0</v>
      </c>
      <c r="AX337" s="152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9"/>
      <c r="AV338" s="1520">
        <f t="shared" si="207"/>
        <v>0</v>
      </c>
      <c r="AW338" s="1520">
        <f t="shared" si="208"/>
        <v>0</v>
      </c>
      <c r="AX338" s="152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9"/>
      <c r="AV339" s="1520">
        <f t="shared" si="207"/>
        <v>0</v>
      </c>
      <c r="AW339" s="1520">
        <f t="shared" si="208"/>
        <v>0</v>
      </c>
      <c r="AX339" s="152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9"/>
      <c r="AV340" s="1520">
        <f t="shared" si="207"/>
        <v>0</v>
      </c>
      <c r="AW340" s="1520">
        <f t="shared" si="208"/>
        <v>0</v>
      </c>
      <c r="AX340" s="152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9"/>
      <c r="AV341" s="1520">
        <f t="shared" si="207"/>
        <v>0</v>
      </c>
      <c r="AW341" s="1520">
        <f t="shared" si="208"/>
        <v>0</v>
      </c>
      <c r="AX341" s="152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9"/>
      <c r="AV342" s="1520">
        <f t="shared" si="207"/>
        <v>0</v>
      </c>
      <c r="AW342" s="1520">
        <f t="shared" si="208"/>
        <v>0</v>
      </c>
      <c r="AX342" s="152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9"/>
      <c r="AV343" s="1520">
        <f t="shared" si="207"/>
        <v>0</v>
      </c>
      <c r="AW343" s="1520">
        <f t="shared" si="208"/>
        <v>0</v>
      </c>
      <c r="AX343" s="152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9"/>
      <c r="AV344" s="1520">
        <f t="shared" si="207"/>
        <v>0</v>
      </c>
      <c r="AW344" s="1520">
        <f t="shared" si="208"/>
        <v>0</v>
      </c>
      <c r="AX344" s="152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9"/>
      <c r="AV345" s="1520">
        <f t="shared" si="207"/>
        <v>0</v>
      </c>
      <c r="AW345" s="1520">
        <f t="shared" si="208"/>
        <v>0</v>
      </c>
      <c r="AX345" s="152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9"/>
      <c r="AV346" s="1520">
        <f t="shared" si="207"/>
        <v>0</v>
      </c>
      <c r="AW346" s="1520">
        <f t="shared" si="208"/>
        <v>0</v>
      </c>
      <c r="AX346" s="152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9"/>
      <c r="AV347" s="1520">
        <f t="shared" si="207"/>
        <v>0</v>
      </c>
      <c r="AW347" s="1520">
        <f t="shared" si="208"/>
        <v>0</v>
      </c>
      <c r="AX347" s="152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9"/>
      <c r="AV348" s="1520">
        <f t="shared" si="207"/>
        <v>0</v>
      </c>
      <c r="AW348" s="1520">
        <f t="shared" si="208"/>
        <v>0</v>
      </c>
      <c r="AX348" s="152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9"/>
      <c r="AV349" s="1520">
        <f t="shared" si="207"/>
        <v>0</v>
      </c>
      <c r="AW349" s="1520">
        <f t="shared" si="208"/>
        <v>0</v>
      </c>
      <c r="AX349" s="152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9"/>
      <c r="AV350" s="1520">
        <f t="shared" si="207"/>
        <v>0</v>
      </c>
      <c r="AW350" s="1520">
        <f t="shared" si="208"/>
        <v>0</v>
      </c>
      <c r="AX350" s="152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9"/>
      <c r="AV351" s="1520">
        <f t="shared" si="207"/>
        <v>0</v>
      </c>
      <c r="AW351" s="1520">
        <f t="shared" si="208"/>
        <v>0</v>
      </c>
      <c r="AX351" s="152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9"/>
      <c r="AV352" s="1520">
        <f t="shared" si="207"/>
        <v>0</v>
      </c>
      <c r="AW352" s="1520">
        <f t="shared" si="208"/>
        <v>0</v>
      </c>
      <c r="AX352" s="152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9"/>
      <c r="AV353" s="1520">
        <f t="shared" si="207"/>
        <v>0</v>
      </c>
      <c r="AW353" s="1520">
        <f t="shared" si="208"/>
        <v>0</v>
      </c>
      <c r="AX353" s="152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9"/>
      <c r="AV354" s="1520">
        <f t="shared" si="207"/>
        <v>0</v>
      </c>
      <c r="AW354" s="1520">
        <f t="shared" si="208"/>
        <v>0</v>
      </c>
      <c r="AX354" s="152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9"/>
      <c r="AV355" s="1520">
        <f t="shared" si="207"/>
        <v>0</v>
      </c>
      <c r="AW355" s="1520">
        <f t="shared" si="208"/>
        <v>0</v>
      </c>
      <c r="AX355" s="152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9"/>
      <c r="AV356" s="1520">
        <f t="shared" si="207"/>
        <v>0</v>
      </c>
      <c r="AW356" s="1520">
        <f t="shared" si="208"/>
        <v>0</v>
      </c>
      <c r="AX356" s="152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9"/>
      <c r="AV357" s="1520">
        <f t="shared" si="207"/>
        <v>0</v>
      </c>
      <c r="AW357" s="1520">
        <f t="shared" si="208"/>
        <v>0</v>
      </c>
      <c r="AX357" s="152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9"/>
      <c r="AV358" s="1520">
        <f t="shared" si="207"/>
        <v>0</v>
      </c>
      <c r="AW358" s="1520">
        <f t="shared" si="208"/>
        <v>0</v>
      </c>
      <c r="AX358" s="152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9"/>
      <c r="AV359" s="1520">
        <f t="shared" si="207"/>
        <v>0</v>
      </c>
      <c r="AW359" s="1520">
        <f t="shared" si="208"/>
        <v>0</v>
      </c>
      <c r="AX359" s="152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9"/>
      <c r="AV360" s="1520">
        <f t="shared" si="207"/>
        <v>0</v>
      </c>
      <c r="AW360" s="1520">
        <f t="shared" si="208"/>
        <v>0</v>
      </c>
      <c r="AX360" s="152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9"/>
      <c r="AV361" s="1520">
        <f t="shared" si="207"/>
        <v>0</v>
      </c>
      <c r="AW361" s="1520">
        <f t="shared" si="208"/>
        <v>0</v>
      </c>
      <c r="AX361" s="152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9"/>
      <c r="AV362" s="1520">
        <f t="shared" si="207"/>
        <v>0</v>
      </c>
      <c r="AW362" s="1520">
        <f t="shared" si="208"/>
        <v>0</v>
      </c>
      <c r="AX362" s="152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9"/>
      <c r="AV363" s="1520">
        <f t="shared" si="207"/>
        <v>0</v>
      </c>
      <c r="AW363" s="1520">
        <f t="shared" si="208"/>
        <v>0</v>
      </c>
      <c r="AX363" s="152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9"/>
      <c r="AV364" s="1520">
        <f t="shared" si="207"/>
        <v>0</v>
      </c>
      <c r="AW364" s="1520">
        <f t="shared" si="208"/>
        <v>0</v>
      </c>
      <c r="AX364" s="152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9"/>
      <c r="AV365" s="1520">
        <f t="shared" si="207"/>
        <v>0</v>
      </c>
      <c r="AW365" s="1520">
        <f t="shared" si="208"/>
        <v>0</v>
      </c>
      <c r="AX365" s="152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9"/>
      <c r="AV366" s="1520">
        <f t="shared" si="207"/>
        <v>0</v>
      </c>
      <c r="AW366" s="1520">
        <f t="shared" si="208"/>
        <v>0</v>
      </c>
      <c r="AX366" s="152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9"/>
      <c r="AV367" s="1520">
        <f t="shared" ref="AV367:AV397" si="236">A367</f>
        <v>0</v>
      </c>
      <c r="AW367" s="1520">
        <f t="shared" ref="AW367:AW397" si="237">B367</f>
        <v>0</v>
      </c>
      <c r="AX367" s="152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9"/>
      <c r="AV368" s="1520">
        <f t="shared" si="236"/>
        <v>0</v>
      </c>
      <c r="AW368" s="1520">
        <f t="shared" si="237"/>
        <v>0</v>
      </c>
      <c r="AX368" s="152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9"/>
      <c r="AV369" s="1520">
        <f t="shared" si="236"/>
        <v>0</v>
      </c>
      <c r="AW369" s="1520">
        <f t="shared" si="237"/>
        <v>0</v>
      </c>
      <c r="AX369" s="152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9"/>
      <c r="AV370" s="1520">
        <f t="shared" si="236"/>
        <v>0</v>
      </c>
      <c r="AW370" s="1520">
        <f t="shared" si="237"/>
        <v>0</v>
      </c>
      <c r="AX370" s="152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9"/>
      <c r="AV371" s="1520">
        <f t="shared" si="236"/>
        <v>0</v>
      </c>
      <c r="AW371" s="1520">
        <f t="shared" si="237"/>
        <v>0</v>
      </c>
      <c r="AX371" s="152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9"/>
      <c r="AV372" s="1520">
        <f t="shared" si="236"/>
        <v>0</v>
      </c>
      <c r="AW372" s="1520">
        <f t="shared" si="237"/>
        <v>0</v>
      </c>
      <c r="AX372" s="152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9"/>
      <c r="AV373" s="1520">
        <f t="shared" si="236"/>
        <v>0</v>
      </c>
      <c r="AW373" s="1520">
        <f t="shared" si="237"/>
        <v>0</v>
      </c>
      <c r="AX373" s="152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9"/>
      <c r="AV374" s="1520">
        <f t="shared" si="236"/>
        <v>0</v>
      </c>
      <c r="AW374" s="1520">
        <f t="shared" si="237"/>
        <v>0</v>
      </c>
      <c r="AX374" s="152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9"/>
      <c r="AV375" s="1520">
        <f t="shared" si="236"/>
        <v>0</v>
      </c>
      <c r="AW375" s="1520">
        <f t="shared" si="237"/>
        <v>0</v>
      </c>
      <c r="AX375" s="152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9"/>
      <c r="AV376" s="1520">
        <f t="shared" si="236"/>
        <v>0</v>
      </c>
      <c r="AW376" s="1520">
        <f t="shared" si="237"/>
        <v>0</v>
      </c>
      <c r="AX376" s="152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9"/>
      <c r="AV377" s="1520">
        <f t="shared" si="236"/>
        <v>0</v>
      </c>
      <c r="AW377" s="1520">
        <f t="shared" si="237"/>
        <v>0</v>
      </c>
      <c r="AX377" s="152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9"/>
      <c r="AV378" s="1520">
        <f t="shared" si="236"/>
        <v>0</v>
      </c>
      <c r="AW378" s="1520">
        <f t="shared" si="237"/>
        <v>0</v>
      </c>
      <c r="AX378" s="152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9"/>
      <c r="AV379" s="1520">
        <f t="shared" si="236"/>
        <v>0</v>
      </c>
      <c r="AW379" s="1520">
        <f t="shared" si="237"/>
        <v>0</v>
      </c>
      <c r="AX379" s="152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9"/>
      <c r="AV380" s="1520">
        <f t="shared" si="236"/>
        <v>0</v>
      </c>
      <c r="AW380" s="1520">
        <f t="shared" si="237"/>
        <v>0</v>
      </c>
      <c r="AX380" s="152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9"/>
      <c r="AV381" s="1520">
        <f t="shared" si="236"/>
        <v>0</v>
      </c>
      <c r="AW381" s="1520">
        <f t="shared" si="237"/>
        <v>0</v>
      </c>
      <c r="AX381" s="152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9"/>
      <c r="AV382" s="1520">
        <f t="shared" si="236"/>
        <v>0</v>
      </c>
      <c r="AW382" s="1520">
        <f t="shared" si="237"/>
        <v>0</v>
      </c>
      <c r="AX382" s="152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9"/>
      <c r="AV383" s="1520">
        <f t="shared" si="236"/>
        <v>0</v>
      </c>
      <c r="AW383" s="1520">
        <f t="shared" si="237"/>
        <v>0</v>
      </c>
      <c r="AX383" s="152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9"/>
      <c r="AV384" s="1520">
        <f t="shared" si="236"/>
        <v>0</v>
      </c>
      <c r="AW384" s="1520">
        <f t="shared" si="237"/>
        <v>0</v>
      </c>
      <c r="AX384" s="152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9"/>
      <c r="AV385" s="1520">
        <f t="shared" si="236"/>
        <v>0</v>
      </c>
      <c r="AW385" s="1520">
        <f t="shared" si="237"/>
        <v>0</v>
      </c>
      <c r="AX385" s="152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9"/>
      <c r="AV386" s="1520">
        <f t="shared" si="236"/>
        <v>0</v>
      </c>
      <c r="AW386" s="1520">
        <f t="shared" si="237"/>
        <v>0</v>
      </c>
      <c r="AX386" s="152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9"/>
      <c r="AV387" s="1520">
        <f t="shared" si="236"/>
        <v>0</v>
      </c>
      <c r="AW387" s="1520">
        <f t="shared" si="237"/>
        <v>0</v>
      </c>
      <c r="AX387" s="152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9"/>
      <c r="AV388" s="1520">
        <f t="shared" si="236"/>
        <v>0</v>
      </c>
      <c r="AW388" s="1520">
        <f t="shared" si="237"/>
        <v>0</v>
      </c>
      <c r="AX388" s="152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9"/>
      <c r="AV389" s="1520">
        <f t="shared" si="236"/>
        <v>0</v>
      </c>
      <c r="AW389" s="1520">
        <f t="shared" si="237"/>
        <v>0</v>
      </c>
      <c r="AX389" s="152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9"/>
      <c r="AV390" s="1520">
        <f t="shared" si="236"/>
        <v>0</v>
      </c>
      <c r="AW390" s="1520">
        <f t="shared" si="237"/>
        <v>0</v>
      </c>
      <c r="AX390" s="152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9"/>
      <c r="AV391" s="1520">
        <f t="shared" si="236"/>
        <v>0</v>
      </c>
      <c r="AW391" s="1520">
        <f t="shared" si="237"/>
        <v>0</v>
      </c>
      <c r="AX391" s="152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9"/>
      <c r="AV392" s="1520">
        <f t="shared" si="236"/>
        <v>0</v>
      </c>
      <c r="AW392" s="1520">
        <f t="shared" si="237"/>
        <v>0</v>
      </c>
      <c r="AX392" s="152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9"/>
      <c r="AV393" s="1520">
        <f t="shared" si="236"/>
        <v>0</v>
      </c>
      <c r="AW393" s="1520">
        <f t="shared" si="237"/>
        <v>0</v>
      </c>
      <c r="AX393" s="152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9"/>
      <c r="AV394" s="1520">
        <f t="shared" si="236"/>
        <v>0</v>
      </c>
      <c r="AW394" s="1520">
        <f t="shared" si="237"/>
        <v>0</v>
      </c>
      <c r="AX394" s="152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9"/>
      <c r="AV395" s="1520">
        <f t="shared" si="236"/>
        <v>0</v>
      </c>
      <c r="AW395" s="1520">
        <f t="shared" si="237"/>
        <v>0</v>
      </c>
      <c r="AX395" s="152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9"/>
      <c r="AV396" s="1520">
        <f t="shared" si="236"/>
        <v>0</v>
      </c>
      <c r="AW396" s="1520">
        <f t="shared" si="237"/>
        <v>0</v>
      </c>
      <c r="AX396" s="152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9"/>
      <c r="AV397" s="1520">
        <f t="shared" si="236"/>
        <v>0</v>
      </c>
      <c r="AW397" s="1520">
        <f t="shared" si="237"/>
        <v>0</v>
      </c>
      <c r="AX397" s="152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9"/>
      <c r="AV398" s="1520">
        <f t="shared" ref="AV398:AV492" si="243">A398</f>
        <v>0</v>
      </c>
      <c r="AW398" s="1520">
        <f t="shared" ref="AW398:AW492" si="244">B398</f>
        <v>0</v>
      </c>
      <c r="AX398" s="152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9"/>
      <c r="AV399" s="1520">
        <f t="shared" si="243"/>
        <v>0</v>
      </c>
      <c r="AW399" s="1520">
        <f t="shared" si="244"/>
        <v>0</v>
      </c>
      <c r="AX399" s="152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9"/>
      <c r="AV400" s="1520">
        <f t="shared" si="243"/>
        <v>0</v>
      </c>
      <c r="AW400" s="1520">
        <f t="shared" si="244"/>
        <v>0</v>
      </c>
      <c r="AX400" s="152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9"/>
      <c r="AV401" s="1520">
        <f t="shared" si="243"/>
        <v>0</v>
      </c>
      <c r="AW401" s="1520">
        <f t="shared" si="244"/>
        <v>0</v>
      </c>
      <c r="AX401" s="152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9"/>
      <c r="AV402" s="1520">
        <f t="shared" si="243"/>
        <v>0</v>
      </c>
      <c r="AW402" s="1520">
        <f t="shared" si="244"/>
        <v>0</v>
      </c>
      <c r="AX402" s="152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9"/>
      <c r="AV403" s="1520">
        <f t="shared" si="243"/>
        <v>0</v>
      </c>
      <c r="AW403" s="1520">
        <f t="shared" si="244"/>
        <v>0</v>
      </c>
      <c r="AX403" s="152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9"/>
      <c r="AV404" s="1520">
        <f t="shared" si="243"/>
        <v>0</v>
      </c>
      <c r="AW404" s="1520">
        <f t="shared" si="244"/>
        <v>0</v>
      </c>
      <c r="AX404" s="152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9"/>
      <c r="AV405" s="1520">
        <f t="shared" si="243"/>
        <v>0</v>
      </c>
      <c r="AW405" s="1520">
        <f t="shared" si="244"/>
        <v>0</v>
      </c>
      <c r="AX405" s="152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9"/>
      <c r="AV406" s="1520">
        <f t="shared" si="243"/>
        <v>0</v>
      </c>
      <c r="AW406" s="1520">
        <f t="shared" si="244"/>
        <v>0</v>
      </c>
      <c r="AX406" s="152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9"/>
      <c r="AV407" s="1520">
        <f t="shared" si="243"/>
        <v>0</v>
      </c>
      <c r="AW407" s="1520">
        <f t="shared" si="244"/>
        <v>0</v>
      </c>
      <c r="AX407" s="152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9"/>
      <c r="AV408" s="1520">
        <f t="shared" si="243"/>
        <v>0</v>
      </c>
      <c r="AW408" s="1520">
        <f t="shared" si="244"/>
        <v>0</v>
      </c>
      <c r="AX408" s="152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9"/>
      <c r="AV409" s="1520">
        <f t="shared" si="243"/>
        <v>0</v>
      </c>
      <c r="AW409" s="1520">
        <f t="shared" si="244"/>
        <v>0</v>
      </c>
      <c r="AX409" s="152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9"/>
      <c r="AV410" s="1520">
        <f t="shared" si="243"/>
        <v>0</v>
      </c>
      <c r="AW410" s="1520">
        <f t="shared" si="244"/>
        <v>0</v>
      </c>
      <c r="AX410" s="152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9"/>
      <c r="AV411" s="1520">
        <f t="shared" si="243"/>
        <v>0</v>
      </c>
      <c r="AW411" s="1520">
        <f t="shared" si="244"/>
        <v>0</v>
      </c>
      <c r="AX411" s="152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9"/>
      <c r="AV412" s="1520">
        <f t="shared" si="243"/>
        <v>0</v>
      </c>
      <c r="AW412" s="1520">
        <f t="shared" si="244"/>
        <v>0</v>
      </c>
      <c r="AX412" s="152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9"/>
      <c r="AV413" s="1520">
        <f t="shared" si="243"/>
        <v>0</v>
      </c>
      <c r="AW413" s="1520">
        <f t="shared" si="244"/>
        <v>0</v>
      </c>
      <c r="AX413" s="152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9"/>
      <c r="AV414" s="1520">
        <f t="shared" si="243"/>
        <v>0</v>
      </c>
      <c r="AW414" s="1520">
        <f t="shared" si="244"/>
        <v>0</v>
      </c>
      <c r="AX414" s="152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9"/>
      <c r="AV415" s="1520">
        <f t="shared" si="243"/>
        <v>0</v>
      </c>
      <c r="AW415" s="1520">
        <f t="shared" si="244"/>
        <v>0</v>
      </c>
      <c r="AX415" s="152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9"/>
      <c r="AV416" s="1520">
        <f t="shared" si="243"/>
        <v>0</v>
      </c>
      <c r="AW416" s="1520">
        <f t="shared" si="244"/>
        <v>0</v>
      </c>
      <c r="AX416" s="152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9"/>
      <c r="AV417" s="1520">
        <f t="shared" si="243"/>
        <v>0</v>
      </c>
      <c r="AW417" s="1520">
        <f t="shared" si="244"/>
        <v>0</v>
      </c>
      <c r="AX417" s="152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9"/>
      <c r="AV418" s="1520">
        <f t="shared" si="243"/>
        <v>0</v>
      </c>
      <c r="AW418" s="1520">
        <f t="shared" si="244"/>
        <v>0</v>
      </c>
      <c r="AX418" s="152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9"/>
      <c r="AV419" s="1520">
        <f t="shared" si="243"/>
        <v>0</v>
      </c>
      <c r="AW419" s="1520">
        <f t="shared" si="244"/>
        <v>0</v>
      </c>
      <c r="AX419" s="152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9"/>
      <c r="AV420" s="1520">
        <f t="shared" si="243"/>
        <v>0</v>
      </c>
      <c r="AW420" s="1520">
        <f t="shared" si="244"/>
        <v>0</v>
      </c>
      <c r="AX420" s="152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9"/>
      <c r="AV421" s="1520">
        <f t="shared" si="243"/>
        <v>0</v>
      </c>
      <c r="AW421" s="1520">
        <f t="shared" si="244"/>
        <v>0</v>
      </c>
      <c r="AX421" s="152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9"/>
      <c r="AV422" s="1520">
        <f t="shared" si="243"/>
        <v>0</v>
      </c>
      <c r="AW422" s="1520">
        <f t="shared" si="244"/>
        <v>0</v>
      </c>
      <c r="AX422" s="152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9"/>
      <c r="AV423" s="1520">
        <f t="shared" si="243"/>
        <v>0</v>
      </c>
      <c r="AW423" s="1520">
        <f t="shared" si="244"/>
        <v>0</v>
      </c>
      <c r="AX423" s="152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9"/>
      <c r="AV424" s="1520">
        <f t="shared" si="243"/>
        <v>0</v>
      </c>
      <c r="AW424" s="1520">
        <f t="shared" si="244"/>
        <v>0</v>
      </c>
      <c r="AX424" s="152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9"/>
      <c r="AV425" s="1520">
        <f t="shared" si="243"/>
        <v>0</v>
      </c>
      <c r="AW425" s="1520">
        <f t="shared" si="244"/>
        <v>0</v>
      </c>
      <c r="AX425" s="152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9"/>
      <c r="AV426" s="1520">
        <f t="shared" si="243"/>
        <v>0</v>
      </c>
      <c r="AW426" s="1520">
        <f t="shared" si="244"/>
        <v>0</v>
      </c>
      <c r="AX426" s="152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9"/>
      <c r="AV427" s="1520">
        <f t="shared" si="243"/>
        <v>0</v>
      </c>
      <c r="AW427" s="1520">
        <f t="shared" si="244"/>
        <v>0</v>
      </c>
      <c r="AX427" s="152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9"/>
      <c r="AV428" s="1520">
        <f t="shared" si="243"/>
        <v>0</v>
      </c>
      <c r="AW428" s="1520">
        <f t="shared" si="244"/>
        <v>0</v>
      </c>
      <c r="AX428" s="152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9"/>
      <c r="AV429" s="1520">
        <f t="shared" si="243"/>
        <v>0</v>
      </c>
      <c r="AW429" s="1520">
        <f t="shared" si="244"/>
        <v>0</v>
      </c>
      <c r="AX429" s="152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9"/>
      <c r="AV430" s="1520">
        <f t="shared" si="243"/>
        <v>0</v>
      </c>
      <c r="AW430" s="1520">
        <f t="shared" si="244"/>
        <v>0</v>
      </c>
      <c r="AX430" s="152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9"/>
      <c r="AV431" s="1520">
        <f t="shared" si="243"/>
        <v>0</v>
      </c>
      <c r="AW431" s="1520">
        <f t="shared" si="244"/>
        <v>0</v>
      </c>
      <c r="AX431" s="152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9"/>
      <c r="AV432" s="1520">
        <f t="shared" si="243"/>
        <v>0</v>
      </c>
      <c r="AW432" s="1520">
        <f t="shared" si="244"/>
        <v>0</v>
      </c>
      <c r="AX432" s="152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9"/>
      <c r="AV433" s="1520">
        <f t="shared" si="243"/>
        <v>0</v>
      </c>
      <c r="AW433" s="1520">
        <f t="shared" si="244"/>
        <v>0</v>
      </c>
      <c r="AX433" s="152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9"/>
      <c r="AV434" s="1520">
        <f t="shared" si="243"/>
        <v>0</v>
      </c>
      <c r="AW434" s="1520">
        <f t="shared" si="244"/>
        <v>0</v>
      </c>
      <c r="AX434" s="152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9"/>
      <c r="AV435" s="1520">
        <f t="shared" si="243"/>
        <v>0</v>
      </c>
      <c r="AW435" s="1520">
        <f t="shared" si="244"/>
        <v>0</v>
      </c>
      <c r="AX435" s="152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9"/>
      <c r="AV436" s="1520">
        <f t="shared" si="243"/>
        <v>0</v>
      </c>
      <c r="AW436" s="1520">
        <f t="shared" si="244"/>
        <v>0</v>
      </c>
      <c r="AX436" s="152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9"/>
      <c r="AV437" s="1520">
        <f t="shared" si="243"/>
        <v>0</v>
      </c>
      <c r="AW437" s="1520">
        <f t="shared" si="244"/>
        <v>0</v>
      </c>
      <c r="AX437" s="152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9"/>
      <c r="AV438" s="1520">
        <f t="shared" si="243"/>
        <v>0</v>
      </c>
      <c r="AW438" s="1520">
        <f t="shared" si="244"/>
        <v>0</v>
      </c>
      <c r="AX438" s="152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9"/>
      <c r="AV439" s="1520">
        <f t="shared" si="243"/>
        <v>0</v>
      </c>
      <c r="AW439" s="1520">
        <f t="shared" si="244"/>
        <v>0</v>
      </c>
      <c r="AX439" s="152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9"/>
      <c r="AV440" s="1520">
        <f t="shared" si="243"/>
        <v>0</v>
      </c>
      <c r="AW440" s="1520">
        <f t="shared" si="244"/>
        <v>0</v>
      </c>
      <c r="AX440" s="152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9"/>
      <c r="AV441" s="1520">
        <f t="shared" si="243"/>
        <v>0</v>
      </c>
      <c r="AW441" s="1520">
        <f t="shared" si="244"/>
        <v>0</v>
      </c>
      <c r="AX441" s="152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9"/>
      <c r="AV442" s="1520">
        <f t="shared" si="243"/>
        <v>0</v>
      </c>
      <c r="AW442" s="1520">
        <f t="shared" si="244"/>
        <v>0</v>
      </c>
      <c r="AX442" s="152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9"/>
      <c r="AV443" s="1520">
        <f t="shared" si="243"/>
        <v>0</v>
      </c>
      <c r="AW443" s="1520">
        <f t="shared" si="244"/>
        <v>0</v>
      </c>
      <c r="AX443" s="152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9"/>
      <c r="AV444" s="1520">
        <f t="shared" si="243"/>
        <v>0</v>
      </c>
      <c r="AW444" s="1520">
        <f t="shared" si="244"/>
        <v>0</v>
      </c>
      <c r="AX444" s="152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9"/>
      <c r="AV445" s="1520">
        <f t="shared" si="243"/>
        <v>0</v>
      </c>
      <c r="AW445" s="1520">
        <f t="shared" si="244"/>
        <v>0</v>
      </c>
      <c r="AX445" s="152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9"/>
      <c r="AV446" s="1520">
        <f t="shared" si="243"/>
        <v>0</v>
      </c>
      <c r="AW446" s="1520">
        <f t="shared" si="244"/>
        <v>0</v>
      </c>
      <c r="AX446" s="152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9"/>
      <c r="AV447" s="1520">
        <f t="shared" si="243"/>
        <v>0</v>
      </c>
      <c r="AW447" s="1520">
        <f t="shared" si="244"/>
        <v>0</v>
      </c>
      <c r="AX447" s="152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9"/>
      <c r="AV448" s="1520">
        <f t="shared" si="243"/>
        <v>0</v>
      </c>
      <c r="AW448" s="1520">
        <f t="shared" si="244"/>
        <v>0</v>
      </c>
      <c r="AX448" s="152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9"/>
      <c r="AV449" s="1520">
        <f t="shared" si="243"/>
        <v>0</v>
      </c>
      <c r="AW449" s="1520">
        <f t="shared" si="244"/>
        <v>0</v>
      </c>
      <c r="AX449" s="152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9"/>
      <c r="AV450" s="1520">
        <f t="shared" si="243"/>
        <v>0</v>
      </c>
      <c r="AW450" s="1520">
        <f t="shared" si="244"/>
        <v>0</v>
      </c>
      <c r="AX450" s="152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9"/>
      <c r="AV451" s="1520">
        <f t="shared" si="243"/>
        <v>0</v>
      </c>
      <c r="AW451" s="1520">
        <f t="shared" si="244"/>
        <v>0</v>
      </c>
      <c r="AX451" s="152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9"/>
      <c r="AV452" s="1520">
        <f t="shared" si="243"/>
        <v>0</v>
      </c>
      <c r="AW452" s="1520">
        <f t="shared" si="244"/>
        <v>0</v>
      </c>
      <c r="AX452" s="152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9"/>
      <c r="AV453" s="1520">
        <f t="shared" si="243"/>
        <v>0</v>
      </c>
      <c r="AW453" s="1520">
        <f t="shared" si="244"/>
        <v>0</v>
      </c>
      <c r="AX453" s="152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9"/>
      <c r="AV454" s="1520">
        <f t="shared" si="243"/>
        <v>0</v>
      </c>
      <c r="AW454" s="1520">
        <f t="shared" si="244"/>
        <v>0</v>
      </c>
      <c r="AX454" s="152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9"/>
      <c r="AV455" s="1520">
        <f t="shared" si="243"/>
        <v>0</v>
      </c>
      <c r="AW455" s="1520">
        <f t="shared" si="244"/>
        <v>0</v>
      </c>
      <c r="AX455" s="152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9"/>
      <c r="AV456" s="1520">
        <f t="shared" si="243"/>
        <v>0</v>
      </c>
      <c r="AW456" s="1520">
        <f t="shared" si="244"/>
        <v>0</v>
      </c>
      <c r="AX456" s="152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9"/>
      <c r="AV457" s="1520">
        <f t="shared" si="243"/>
        <v>0</v>
      </c>
      <c r="AW457" s="1520">
        <f t="shared" si="244"/>
        <v>0</v>
      </c>
      <c r="AX457" s="152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9"/>
      <c r="AV458" s="1520">
        <f t="shared" si="243"/>
        <v>0</v>
      </c>
      <c r="AW458" s="1520">
        <f t="shared" si="244"/>
        <v>0</v>
      </c>
      <c r="AX458" s="152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9"/>
      <c r="AV459" s="1520">
        <f t="shared" si="243"/>
        <v>0</v>
      </c>
      <c r="AW459" s="1520">
        <f t="shared" si="244"/>
        <v>0</v>
      </c>
      <c r="AX459" s="152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9"/>
      <c r="AV460" s="1520">
        <f t="shared" si="243"/>
        <v>0</v>
      </c>
      <c r="AW460" s="1520">
        <f t="shared" si="244"/>
        <v>0</v>
      </c>
      <c r="AX460" s="152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9"/>
      <c r="AV461" s="1520">
        <f t="shared" si="243"/>
        <v>0</v>
      </c>
      <c r="AW461" s="1520">
        <f t="shared" si="244"/>
        <v>0</v>
      </c>
      <c r="AX461" s="152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9"/>
      <c r="AV462" s="1520">
        <f t="shared" si="243"/>
        <v>0</v>
      </c>
      <c r="AW462" s="1520">
        <f t="shared" si="244"/>
        <v>0</v>
      </c>
      <c r="AX462" s="152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9"/>
      <c r="AV463" s="1520">
        <f t="shared" si="243"/>
        <v>0</v>
      </c>
      <c r="AW463" s="1520">
        <f t="shared" si="244"/>
        <v>0</v>
      </c>
      <c r="AX463" s="152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9"/>
      <c r="AV464" s="1520">
        <f t="shared" si="243"/>
        <v>0</v>
      </c>
      <c r="AW464" s="1520">
        <f t="shared" si="244"/>
        <v>0</v>
      </c>
      <c r="AX464" s="152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9"/>
      <c r="AV465" s="1520">
        <f t="shared" si="243"/>
        <v>0</v>
      </c>
      <c r="AW465" s="1520">
        <f t="shared" si="244"/>
        <v>0</v>
      </c>
      <c r="AX465" s="152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9"/>
      <c r="AV466" s="1520">
        <f t="shared" si="243"/>
        <v>0</v>
      </c>
      <c r="AW466" s="1520">
        <f t="shared" si="244"/>
        <v>0</v>
      </c>
      <c r="AX466" s="152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9"/>
      <c r="AV467" s="1520">
        <f t="shared" si="243"/>
        <v>0</v>
      </c>
      <c r="AW467" s="1520">
        <f t="shared" si="244"/>
        <v>0</v>
      </c>
      <c r="AX467" s="152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9"/>
      <c r="AV468" s="1520">
        <f t="shared" si="243"/>
        <v>0</v>
      </c>
      <c r="AW468" s="1520">
        <f t="shared" si="244"/>
        <v>0</v>
      </c>
      <c r="AX468" s="152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9"/>
      <c r="AV469" s="1520">
        <f t="shared" si="243"/>
        <v>0</v>
      </c>
      <c r="AW469" s="1520">
        <f t="shared" si="244"/>
        <v>0</v>
      </c>
      <c r="AX469" s="152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9"/>
      <c r="AV470" s="1520">
        <f t="shared" si="243"/>
        <v>0</v>
      </c>
      <c r="AW470" s="1520">
        <f t="shared" si="244"/>
        <v>0</v>
      </c>
      <c r="AX470" s="152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9"/>
      <c r="AV471" s="1520">
        <f t="shared" si="243"/>
        <v>0</v>
      </c>
      <c r="AW471" s="1520">
        <f t="shared" si="244"/>
        <v>0</v>
      </c>
      <c r="AX471" s="152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9"/>
      <c r="AV472" s="1520">
        <f t="shared" si="243"/>
        <v>0</v>
      </c>
      <c r="AW472" s="1520">
        <f t="shared" si="244"/>
        <v>0</v>
      </c>
      <c r="AX472" s="152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9"/>
      <c r="AV473" s="1520">
        <f t="shared" si="243"/>
        <v>0</v>
      </c>
      <c r="AW473" s="1520">
        <f t="shared" si="244"/>
        <v>0</v>
      </c>
      <c r="AX473" s="152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9"/>
      <c r="AV474" s="1520">
        <f t="shared" si="243"/>
        <v>0</v>
      </c>
      <c r="AW474" s="1520">
        <f t="shared" si="244"/>
        <v>0</v>
      </c>
      <c r="AX474" s="152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9"/>
      <c r="AV475" s="1520">
        <f t="shared" si="243"/>
        <v>0</v>
      </c>
      <c r="AW475" s="1520">
        <f t="shared" si="244"/>
        <v>0</v>
      </c>
      <c r="AX475" s="152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9"/>
      <c r="AV476" s="1520">
        <f t="shared" si="243"/>
        <v>0</v>
      </c>
      <c r="AW476" s="1520">
        <f t="shared" si="244"/>
        <v>0</v>
      </c>
      <c r="AX476" s="152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9"/>
      <c r="AV477" s="1520">
        <f t="shared" si="243"/>
        <v>0</v>
      </c>
      <c r="AW477" s="1520">
        <f t="shared" si="244"/>
        <v>0</v>
      </c>
      <c r="AX477" s="152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9"/>
      <c r="AV478" s="1520">
        <f t="shared" si="243"/>
        <v>0</v>
      </c>
      <c r="AW478" s="1520">
        <f t="shared" si="244"/>
        <v>0</v>
      </c>
      <c r="AX478" s="152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9"/>
      <c r="AV479" s="1520">
        <f t="shared" si="243"/>
        <v>0</v>
      </c>
      <c r="AW479" s="1520">
        <f t="shared" si="244"/>
        <v>0</v>
      </c>
      <c r="AX479" s="152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9"/>
      <c r="AV480" s="1520">
        <f t="shared" si="243"/>
        <v>0</v>
      </c>
      <c r="AW480" s="1520">
        <f t="shared" si="244"/>
        <v>0</v>
      </c>
      <c r="AX480" s="152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9"/>
      <c r="AV481" s="1520">
        <f t="shared" si="243"/>
        <v>0</v>
      </c>
      <c r="AW481" s="1520">
        <f t="shared" si="244"/>
        <v>0</v>
      </c>
      <c r="AX481" s="152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9"/>
      <c r="AV482" s="1520">
        <f t="shared" si="243"/>
        <v>0</v>
      </c>
      <c r="AW482" s="1520">
        <f t="shared" si="244"/>
        <v>0</v>
      </c>
      <c r="AX482" s="152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9"/>
      <c r="AV483" s="1520">
        <f t="shared" si="243"/>
        <v>0</v>
      </c>
      <c r="AW483" s="1520">
        <f t="shared" si="244"/>
        <v>0</v>
      </c>
      <c r="AX483" s="152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9"/>
      <c r="AV484" s="1520">
        <f t="shared" si="243"/>
        <v>0</v>
      </c>
      <c r="AW484" s="1520">
        <f t="shared" si="244"/>
        <v>0</v>
      </c>
      <c r="AX484" s="152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9"/>
      <c r="AV485" s="1520">
        <f t="shared" si="243"/>
        <v>0</v>
      </c>
      <c r="AW485" s="1520">
        <f t="shared" si="244"/>
        <v>0</v>
      </c>
      <c r="AX485" s="152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9"/>
      <c r="AV486" s="1520">
        <f t="shared" si="243"/>
        <v>0</v>
      </c>
      <c r="AW486" s="1520">
        <f t="shared" si="244"/>
        <v>0</v>
      </c>
      <c r="AX486" s="152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9"/>
      <c r="AV487" s="1520">
        <f t="shared" si="243"/>
        <v>0</v>
      </c>
      <c r="AW487" s="1520">
        <f t="shared" si="244"/>
        <v>0</v>
      </c>
      <c r="AX487" s="152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9"/>
      <c r="AV488" s="1520">
        <f t="shared" si="243"/>
        <v>0</v>
      </c>
      <c r="AW488" s="1520">
        <f t="shared" si="244"/>
        <v>0</v>
      </c>
      <c r="AX488" s="152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9"/>
      <c r="AV489" s="1520">
        <f t="shared" si="243"/>
        <v>0</v>
      </c>
      <c r="AW489" s="1520">
        <f t="shared" si="244"/>
        <v>0</v>
      </c>
      <c r="AX489" s="152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9"/>
      <c r="AV490" s="1520">
        <f t="shared" si="243"/>
        <v>0</v>
      </c>
      <c r="AW490" s="1520">
        <f t="shared" si="244"/>
        <v>0</v>
      </c>
      <c r="AX490" s="152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9"/>
      <c r="AV491" s="1520">
        <f t="shared" si="243"/>
        <v>0</v>
      </c>
      <c r="AW491" s="1520">
        <f t="shared" si="244"/>
        <v>0</v>
      </c>
      <c r="AX491" s="152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9"/>
      <c r="AV492" s="1520">
        <f t="shared" si="243"/>
        <v>0</v>
      </c>
      <c r="AW492" s="1520">
        <f t="shared" si="244"/>
        <v>0</v>
      </c>
      <c r="AX492" s="152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9"/>
      <c r="AV493" s="1520">
        <f t="shared" ref="AV493:AV520" si="294">A493</f>
        <v>0</v>
      </c>
      <c r="AW493" s="1520">
        <f t="shared" ref="AW493:AW520" si="295">B493</f>
        <v>0</v>
      </c>
      <c r="AX493" s="152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9"/>
      <c r="AV494" s="1520">
        <f t="shared" si="294"/>
        <v>0</v>
      </c>
      <c r="AW494" s="1520">
        <f t="shared" si="295"/>
        <v>0</v>
      </c>
      <c r="AX494" s="152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9"/>
      <c r="AV495" s="1520">
        <f t="shared" si="294"/>
        <v>0</v>
      </c>
      <c r="AW495" s="1520">
        <f t="shared" si="295"/>
        <v>0</v>
      </c>
      <c r="AX495" s="152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9"/>
      <c r="AV496" s="1520">
        <f t="shared" si="294"/>
        <v>0</v>
      </c>
      <c r="AW496" s="1520">
        <f t="shared" si="295"/>
        <v>0</v>
      </c>
      <c r="AX496" s="152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9"/>
      <c r="AV497" s="1520">
        <f t="shared" si="294"/>
        <v>0</v>
      </c>
      <c r="AW497" s="1520">
        <f t="shared" si="295"/>
        <v>0</v>
      </c>
      <c r="AX497" s="152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9"/>
      <c r="AV498" s="1520">
        <f t="shared" si="294"/>
        <v>0</v>
      </c>
      <c r="AW498" s="1520">
        <f t="shared" si="295"/>
        <v>0</v>
      </c>
      <c r="AX498" s="152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9"/>
      <c r="AV499" s="1520">
        <f t="shared" si="294"/>
        <v>0</v>
      </c>
      <c r="AW499" s="1520">
        <f t="shared" si="295"/>
        <v>0</v>
      </c>
      <c r="AX499" s="152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9"/>
      <c r="AV500" s="1520">
        <f t="shared" si="294"/>
        <v>0</v>
      </c>
      <c r="AW500" s="1520">
        <f t="shared" si="295"/>
        <v>0</v>
      </c>
      <c r="AX500" s="152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9"/>
      <c r="AV501" s="1520">
        <f t="shared" si="294"/>
        <v>0</v>
      </c>
      <c r="AW501" s="1520">
        <f t="shared" si="295"/>
        <v>0</v>
      </c>
      <c r="AX501" s="152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9"/>
      <c r="AV502" s="1520">
        <f t="shared" si="294"/>
        <v>0</v>
      </c>
      <c r="AW502" s="1520">
        <f t="shared" si="295"/>
        <v>0</v>
      </c>
      <c r="AX502" s="152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9"/>
      <c r="AV503" s="1520">
        <f t="shared" si="294"/>
        <v>0</v>
      </c>
      <c r="AW503" s="1520">
        <f t="shared" si="295"/>
        <v>0</v>
      </c>
      <c r="AX503" s="152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9"/>
      <c r="AV504" s="1520">
        <f t="shared" si="294"/>
        <v>0</v>
      </c>
      <c r="AW504" s="1520">
        <f t="shared" si="295"/>
        <v>0</v>
      </c>
      <c r="AX504" s="152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9"/>
      <c r="AV505" s="1520">
        <f t="shared" si="294"/>
        <v>0</v>
      </c>
      <c r="AW505" s="1520">
        <f t="shared" si="295"/>
        <v>0</v>
      </c>
      <c r="AX505" s="152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9"/>
      <c r="AV506" s="1520">
        <f t="shared" si="294"/>
        <v>0</v>
      </c>
      <c r="AW506" s="1520">
        <f t="shared" si="295"/>
        <v>0</v>
      </c>
      <c r="AX506" s="152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9"/>
      <c r="AV507" s="1520">
        <f t="shared" si="294"/>
        <v>0</v>
      </c>
      <c r="AW507" s="1520">
        <f t="shared" si="295"/>
        <v>0</v>
      </c>
      <c r="AX507" s="152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9"/>
      <c r="AV508" s="1520">
        <f t="shared" si="294"/>
        <v>0</v>
      </c>
      <c r="AW508" s="1520">
        <f t="shared" si="295"/>
        <v>0</v>
      </c>
      <c r="AX508" s="152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9"/>
      <c r="AV509" s="1520">
        <f t="shared" si="294"/>
        <v>0</v>
      </c>
      <c r="AW509" s="1520">
        <f t="shared" si="295"/>
        <v>0</v>
      </c>
      <c r="AX509" s="152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9"/>
      <c r="AV510" s="1520">
        <f t="shared" si="294"/>
        <v>0</v>
      </c>
      <c r="AW510" s="1520">
        <f t="shared" si="295"/>
        <v>0</v>
      </c>
      <c r="AX510" s="152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9"/>
      <c r="AV511" s="1520">
        <f t="shared" si="294"/>
        <v>0</v>
      </c>
      <c r="AW511" s="1520">
        <f t="shared" si="295"/>
        <v>0</v>
      </c>
      <c r="AX511" s="152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9"/>
      <c r="AV512" s="1520">
        <f t="shared" si="294"/>
        <v>0</v>
      </c>
      <c r="AW512" s="1520">
        <f t="shared" si="295"/>
        <v>0</v>
      </c>
      <c r="AX512" s="152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9"/>
      <c r="AV513" s="1520">
        <f t="shared" si="294"/>
        <v>0</v>
      </c>
      <c r="AW513" s="1520">
        <f t="shared" si="295"/>
        <v>0</v>
      </c>
      <c r="AX513" s="152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9"/>
      <c r="AV514" s="1520">
        <f t="shared" si="294"/>
        <v>0</v>
      </c>
      <c r="AW514" s="1520">
        <f t="shared" si="295"/>
        <v>0</v>
      </c>
      <c r="AX514" s="152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9"/>
      <c r="AV515" s="1520">
        <f t="shared" si="294"/>
        <v>0</v>
      </c>
      <c r="AW515" s="1520">
        <f t="shared" si="295"/>
        <v>0</v>
      </c>
      <c r="AX515" s="152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9"/>
      <c r="AV516" s="1520">
        <f t="shared" si="294"/>
        <v>0</v>
      </c>
      <c r="AW516" s="1520">
        <f t="shared" si="295"/>
        <v>0</v>
      </c>
      <c r="AX516" s="152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9"/>
      <c r="AV517" s="1520">
        <f t="shared" si="294"/>
        <v>0</v>
      </c>
      <c r="AW517" s="1520">
        <f t="shared" si="295"/>
        <v>0</v>
      </c>
      <c r="AX517" s="152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9"/>
      <c r="AV518" s="1520">
        <f t="shared" si="294"/>
        <v>0</v>
      </c>
      <c r="AW518" s="1520">
        <f t="shared" si="295"/>
        <v>0</v>
      </c>
      <c r="AX518" s="152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9"/>
      <c r="AV519" s="1520">
        <f t="shared" si="294"/>
        <v>0</v>
      </c>
      <c r="AW519" s="1520">
        <f t="shared" si="295"/>
        <v>0</v>
      </c>
      <c r="AX519" s="152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9"/>
      <c r="AV520" s="1520">
        <f t="shared" si="294"/>
        <v>0</v>
      </c>
      <c r="AW520" s="1520">
        <f t="shared" si="295"/>
        <v>0</v>
      </c>
      <c r="AX520" s="152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9"/>
      <c r="AV521" s="1520">
        <f t="shared" ref="AV521:AV552" si="298">A521</f>
        <v>0</v>
      </c>
      <c r="AW521" s="1520">
        <f t="shared" ref="AW521:AW552" si="299">B521</f>
        <v>0</v>
      </c>
      <c r="AX521" s="152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9"/>
      <c r="AV522" s="1520">
        <f t="shared" si="298"/>
        <v>0</v>
      </c>
      <c r="AW522" s="1520">
        <f t="shared" si="299"/>
        <v>0</v>
      </c>
      <c r="AX522" s="152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9"/>
      <c r="AV523" s="1520">
        <f t="shared" si="298"/>
        <v>0</v>
      </c>
      <c r="AW523" s="1520">
        <f t="shared" si="299"/>
        <v>0</v>
      </c>
      <c r="AX523" s="152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9"/>
      <c r="AV524" s="1520">
        <f t="shared" si="298"/>
        <v>0</v>
      </c>
      <c r="AW524" s="1520">
        <f t="shared" si="299"/>
        <v>0</v>
      </c>
      <c r="AX524" s="152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9"/>
      <c r="AV525" s="1520">
        <f t="shared" si="298"/>
        <v>0</v>
      </c>
      <c r="AW525" s="1520">
        <f t="shared" si="299"/>
        <v>0</v>
      </c>
      <c r="AX525" s="152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9"/>
      <c r="AV526" s="1520">
        <f t="shared" si="298"/>
        <v>0</v>
      </c>
      <c r="AW526" s="1520">
        <f t="shared" si="299"/>
        <v>0</v>
      </c>
      <c r="AX526" s="152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9"/>
      <c r="AV527" s="1520">
        <f t="shared" si="298"/>
        <v>0</v>
      </c>
      <c r="AW527" s="1520">
        <f t="shared" si="299"/>
        <v>0</v>
      </c>
      <c r="AX527" s="152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9"/>
      <c r="AV528" s="1520">
        <f t="shared" si="298"/>
        <v>0</v>
      </c>
      <c r="AW528" s="1520">
        <f t="shared" si="299"/>
        <v>0</v>
      </c>
      <c r="AX528" s="152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9"/>
      <c r="AV529" s="1520">
        <f t="shared" si="298"/>
        <v>0</v>
      </c>
      <c r="AW529" s="1520">
        <f t="shared" si="299"/>
        <v>0</v>
      </c>
      <c r="AX529" s="152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9"/>
      <c r="AV530" s="1520">
        <f t="shared" si="298"/>
        <v>0</v>
      </c>
      <c r="AW530" s="1520">
        <f t="shared" si="299"/>
        <v>0</v>
      </c>
      <c r="AX530" s="152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9"/>
      <c r="AV531" s="1520">
        <f t="shared" si="298"/>
        <v>0</v>
      </c>
      <c r="AW531" s="1520">
        <f t="shared" si="299"/>
        <v>0</v>
      </c>
      <c r="AX531" s="152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9"/>
      <c r="AV532" s="1520">
        <f t="shared" si="298"/>
        <v>0</v>
      </c>
      <c r="AW532" s="1520">
        <f t="shared" si="299"/>
        <v>0</v>
      </c>
      <c r="AX532" s="152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9"/>
      <c r="AV533" s="1520">
        <f t="shared" si="298"/>
        <v>0</v>
      </c>
      <c r="AW533" s="1520">
        <f t="shared" si="299"/>
        <v>0</v>
      </c>
      <c r="AX533" s="152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9"/>
      <c r="AV534" s="1520">
        <f t="shared" si="298"/>
        <v>0</v>
      </c>
      <c r="AW534" s="1520">
        <f t="shared" si="299"/>
        <v>0</v>
      </c>
      <c r="AX534" s="152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9"/>
      <c r="AV535" s="1520">
        <f t="shared" si="298"/>
        <v>0</v>
      </c>
      <c r="AW535" s="1520">
        <f t="shared" si="299"/>
        <v>0</v>
      </c>
      <c r="AX535" s="152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9"/>
      <c r="AV536" s="1520">
        <f t="shared" si="298"/>
        <v>0</v>
      </c>
      <c r="AW536" s="1520">
        <f t="shared" si="299"/>
        <v>0</v>
      </c>
      <c r="AX536" s="152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9"/>
      <c r="AV537" s="1520">
        <f t="shared" si="298"/>
        <v>0</v>
      </c>
      <c r="AW537" s="1520">
        <f t="shared" si="299"/>
        <v>0</v>
      </c>
      <c r="AX537" s="152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9"/>
      <c r="AV538" s="1520">
        <f t="shared" si="298"/>
        <v>0</v>
      </c>
      <c r="AW538" s="1520">
        <f t="shared" si="299"/>
        <v>0</v>
      </c>
      <c r="AX538" s="152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9"/>
      <c r="AV539" s="1520">
        <f t="shared" si="298"/>
        <v>0</v>
      </c>
      <c r="AW539" s="1520">
        <f t="shared" si="299"/>
        <v>0</v>
      </c>
      <c r="AX539" s="152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9"/>
      <c r="AV540" s="1520">
        <f t="shared" si="298"/>
        <v>0</v>
      </c>
      <c r="AW540" s="1520">
        <f t="shared" si="299"/>
        <v>0</v>
      </c>
      <c r="AX540" s="152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9"/>
      <c r="AV541" s="1520">
        <f t="shared" si="298"/>
        <v>0</v>
      </c>
      <c r="AW541" s="1520">
        <f t="shared" si="299"/>
        <v>0</v>
      </c>
      <c r="AX541" s="152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9"/>
      <c r="AV542" s="1520">
        <f t="shared" si="298"/>
        <v>0</v>
      </c>
      <c r="AW542" s="1520">
        <f t="shared" si="299"/>
        <v>0</v>
      </c>
      <c r="AX542" s="152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9"/>
      <c r="AV543" s="1520">
        <f t="shared" si="298"/>
        <v>0</v>
      </c>
      <c r="AW543" s="1520">
        <f t="shared" si="299"/>
        <v>0</v>
      </c>
      <c r="AX543" s="152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9"/>
      <c r="AV544" s="1520">
        <f t="shared" si="298"/>
        <v>0</v>
      </c>
      <c r="AW544" s="1520">
        <f t="shared" si="299"/>
        <v>0</v>
      </c>
      <c r="AX544" s="152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9"/>
      <c r="AV545" s="1520">
        <f t="shared" si="298"/>
        <v>0</v>
      </c>
      <c r="AW545" s="1520">
        <f t="shared" si="299"/>
        <v>0</v>
      </c>
      <c r="AX545" s="152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9"/>
      <c r="AV546" s="1520">
        <f t="shared" si="298"/>
        <v>0</v>
      </c>
      <c r="AW546" s="1520">
        <f t="shared" si="299"/>
        <v>0</v>
      </c>
      <c r="AX546" s="152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9"/>
      <c r="AV547" s="1520">
        <f t="shared" si="298"/>
        <v>0</v>
      </c>
      <c r="AW547" s="1520">
        <f t="shared" si="299"/>
        <v>0</v>
      </c>
      <c r="AX547" s="152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9"/>
      <c r="AV548" s="1520">
        <f t="shared" si="298"/>
        <v>0</v>
      </c>
      <c r="AW548" s="1520">
        <f t="shared" si="299"/>
        <v>0</v>
      </c>
      <c r="AX548" s="152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9"/>
      <c r="AV549" s="1520">
        <f t="shared" si="298"/>
        <v>0</v>
      </c>
      <c r="AW549" s="1520">
        <f t="shared" si="299"/>
        <v>0</v>
      </c>
      <c r="AX549" s="152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9"/>
      <c r="AV550" s="1520">
        <f t="shared" si="298"/>
        <v>0</v>
      </c>
      <c r="AW550" s="1520">
        <f t="shared" si="299"/>
        <v>0</v>
      </c>
      <c r="AX550" s="152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9"/>
      <c r="AV551" s="1520">
        <f t="shared" si="298"/>
        <v>0</v>
      </c>
      <c r="AW551" s="1520">
        <f t="shared" si="299"/>
        <v>0</v>
      </c>
      <c r="AX551" s="152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9"/>
      <c r="AV552" s="1520">
        <f t="shared" si="298"/>
        <v>0</v>
      </c>
      <c r="AW552" s="1520">
        <f t="shared" si="299"/>
        <v>0</v>
      </c>
      <c r="AX552" s="152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9"/>
      <c r="AV553" s="1520">
        <f t="shared" ref="AV553:AV587" si="330">A553</f>
        <v>0</v>
      </c>
      <c r="AW553" s="1520">
        <f t="shared" ref="AW553:AW587" si="331">B553</f>
        <v>0</v>
      </c>
      <c r="AX553" s="152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9"/>
      <c r="AV554" s="1520">
        <f t="shared" si="330"/>
        <v>0</v>
      </c>
      <c r="AW554" s="1520">
        <f t="shared" si="331"/>
        <v>0</v>
      </c>
      <c r="AX554" s="152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9"/>
      <c r="AV555" s="1520">
        <f t="shared" si="330"/>
        <v>0</v>
      </c>
      <c r="AW555" s="1520">
        <f t="shared" si="331"/>
        <v>0</v>
      </c>
      <c r="AX555" s="152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9"/>
      <c r="AV556" s="1520">
        <f t="shared" si="330"/>
        <v>0</v>
      </c>
      <c r="AW556" s="1520">
        <f t="shared" si="331"/>
        <v>0</v>
      </c>
      <c r="AX556" s="152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9"/>
      <c r="AV557" s="1520">
        <f t="shared" si="330"/>
        <v>0</v>
      </c>
      <c r="AW557" s="1520">
        <f t="shared" si="331"/>
        <v>0</v>
      </c>
      <c r="AX557" s="152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9"/>
      <c r="AV558" s="1520">
        <f t="shared" si="330"/>
        <v>0</v>
      </c>
      <c r="AW558" s="1520">
        <f t="shared" si="331"/>
        <v>0</v>
      </c>
      <c r="AX558" s="152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9"/>
      <c r="AV559" s="1520">
        <f t="shared" si="330"/>
        <v>0</v>
      </c>
      <c r="AW559" s="1520">
        <f t="shared" si="331"/>
        <v>0</v>
      </c>
      <c r="AX559" s="152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9"/>
      <c r="AV560" s="1520">
        <f t="shared" si="330"/>
        <v>0</v>
      </c>
      <c r="AW560" s="1520">
        <f t="shared" si="331"/>
        <v>0</v>
      </c>
      <c r="AX560" s="152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9"/>
      <c r="AV561" s="1520">
        <f t="shared" si="330"/>
        <v>0</v>
      </c>
      <c r="AW561" s="1520">
        <f t="shared" si="331"/>
        <v>0</v>
      </c>
      <c r="AX561" s="152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9"/>
      <c r="AV562" s="1520">
        <f t="shared" si="330"/>
        <v>0</v>
      </c>
      <c r="AW562" s="1520">
        <f t="shared" si="331"/>
        <v>0</v>
      </c>
      <c r="AX562" s="152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9"/>
      <c r="AV563" s="1520">
        <f t="shared" si="330"/>
        <v>0</v>
      </c>
      <c r="AW563" s="1520">
        <f t="shared" si="331"/>
        <v>0</v>
      </c>
      <c r="AX563" s="152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9"/>
      <c r="AV564" s="1520">
        <f t="shared" si="330"/>
        <v>0</v>
      </c>
      <c r="AW564" s="1520">
        <f t="shared" si="331"/>
        <v>0</v>
      </c>
      <c r="AX564" s="152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9"/>
      <c r="AV565" s="1520">
        <f t="shared" si="330"/>
        <v>0</v>
      </c>
      <c r="AW565" s="1520">
        <f t="shared" si="331"/>
        <v>0</v>
      </c>
      <c r="AX565" s="152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9"/>
      <c r="AV566" s="1520">
        <f t="shared" si="330"/>
        <v>0</v>
      </c>
      <c r="AW566" s="1520">
        <f t="shared" si="331"/>
        <v>0</v>
      </c>
      <c r="AX566" s="152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9"/>
      <c r="AV567" s="1520">
        <f t="shared" si="330"/>
        <v>0</v>
      </c>
      <c r="AW567" s="1520">
        <f t="shared" si="331"/>
        <v>0</v>
      </c>
      <c r="AX567" s="152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9"/>
      <c r="AV568" s="1520">
        <f t="shared" si="330"/>
        <v>0</v>
      </c>
      <c r="AW568" s="1520">
        <f t="shared" si="331"/>
        <v>0</v>
      </c>
      <c r="AX568" s="152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9"/>
      <c r="AV569" s="1520">
        <f t="shared" si="330"/>
        <v>0</v>
      </c>
      <c r="AW569" s="1520">
        <f t="shared" si="331"/>
        <v>0</v>
      </c>
      <c r="AX569" s="152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9"/>
      <c r="AV570" s="1520">
        <f t="shared" si="330"/>
        <v>0</v>
      </c>
      <c r="AW570" s="1520">
        <f t="shared" si="331"/>
        <v>0</v>
      </c>
      <c r="AX570" s="152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9"/>
      <c r="AV571" s="1520">
        <f t="shared" si="330"/>
        <v>0</v>
      </c>
      <c r="AW571" s="1520">
        <f t="shared" si="331"/>
        <v>0</v>
      </c>
      <c r="AX571" s="152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9"/>
      <c r="AV572" s="1520">
        <f t="shared" si="330"/>
        <v>0</v>
      </c>
      <c r="AW572" s="1520">
        <f t="shared" si="331"/>
        <v>0</v>
      </c>
      <c r="AX572" s="152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9"/>
      <c r="AV573" s="1520">
        <f t="shared" si="330"/>
        <v>0</v>
      </c>
      <c r="AW573" s="1520">
        <f t="shared" si="331"/>
        <v>0</v>
      </c>
      <c r="AX573" s="152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9"/>
      <c r="AV574" s="1520">
        <f t="shared" si="330"/>
        <v>0</v>
      </c>
      <c r="AW574" s="1520">
        <f t="shared" si="331"/>
        <v>0</v>
      </c>
      <c r="AX574" s="152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9"/>
      <c r="AV575" s="1520">
        <f t="shared" si="330"/>
        <v>0</v>
      </c>
      <c r="AW575" s="1520">
        <f t="shared" si="331"/>
        <v>0</v>
      </c>
      <c r="AX575" s="152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9"/>
      <c r="AV576" s="1520">
        <f t="shared" si="330"/>
        <v>0</v>
      </c>
      <c r="AW576" s="1520">
        <f t="shared" si="331"/>
        <v>0</v>
      </c>
      <c r="AX576" s="152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9"/>
      <c r="AV577" s="1520">
        <f t="shared" si="330"/>
        <v>0</v>
      </c>
      <c r="AW577" s="1520">
        <f t="shared" si="331"/>
        <v>0</v>
      </c>
      <c r="AX577" s="152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9"/>
      <c r="AV578" s="1520">
        <f t="shared" si="330"/>
        <v>0</v>
      </c>
      <c r="AW578" s="1520">
        <f t="shared" si="331"/>
        <v>0</v>
      </c>
      <c r="AX578" s="152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9"/>
      <c r="AV579" s="1520">
        <f t="shared" si="330"/>
        <v>0</v>
      </c>
      <c r="AW579" s="1520">
        <f t="shared" si="331"/>
        <v>0</v>
      </c>
      <c r="AX579" s="152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9"/>
      <c r="AV580" s="1520">
        <f t="shared" si="330"/>
        <v>0</v>
      </c>
      <c r="AW580" s="1520">
        <f t="shared" si="331"/>
        <v>0</v>
      </c>
      <c r="AX580" s="152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9"/>
      <c r="AV581" s="1520">
        <f t="shared" si="330"/>
        <v>0</v>
      </c>
      <c r="AW581" s="1520">
        <f t="shared" si="331"/>
        <v>0</v>
      </c>
      <c r="AX581" s="152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9"/>
      <c r="AV582" s="1520">
        <f t="shared" si="330"/>
        <v>0</v>
      </c>
      <c r="AW582" s="1520">
        <f t="shared" si="331"/>
        <v>0</v>
      </c>
      <c r="AX582" s="152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9"/>
      <c r="AV583" s="1520">
        <f t="shared" si="330"/>
        <v>0</v>
      </c>
      <c r="AW583" s="1520">
        <f t="shared" si="331"/>
        <v>0</v>
      </c>
      <c r="AX583" s="152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9"/>
      <c r="AV584" s="1520">
        <f t="shared" si="330"/>
        <v>0</v>
      </c>
      <c r="AW584" s="1520">
        <f t="shared" si="331"/>
        <v>0</v>
      </c>
      <c r="AX584" s="152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9"/>
      <c r="AV585" s="1520">
        <f t="shared" si="330"/>
        <v>0</v>
      </c>
      <c r="AW585" s="1520">
        <f t="shared" si="331"/>
        <v>0</v>
      </c>
      <c r="AX585" s="152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9"/>
      <c r="AV586" s="1520">
        <f t="shared" si="330"/>
        <v>0</v>
      </c>
      <c r="AW586" s="1520">
        <f t="shared" si="331"/>
        <v>0</v>
      </c>
      <c r="AX586" s="152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9"/>
      <c r="AV587" s="1520">
        <f t="shared" si="330"/>
        <v>0</v>
      </c>
      <c r="AW587" s="1520">
        <f t="shared" si="331"/>
        <v>0</v>
      </c>
      <c r="AX587" s="152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8" t="s">
        <v>0</v>
      </c>
      <c r="B1" s="3368" t="s">
        <v>4</v>
      </c>
      <c r="C1" s="3368" t="s">
        <v>5</v>
      </c>
      <c r="D1" s="3369" t="s">
        <v>53</v>
      </c>
      <c r="E1" s="3369" t="s">
        <v>54</v>
      </c>
      <c r="F1" s="3369"/>
      <c r="G1" s="3369"/>
      <c r="H1" s="3369"/>
      <c r="I1" s="3369"/>
      <c r="J1" s="3369"/>
      <c r="K1" s="3369"/>
      <c r="L1" s="3369"/>
      <c r="M1" s="3369"/>
    </row>
    <row r="2" spans="1:13" ht="27" customHeight="1">
      <c r="A2" s="3368"/>
      <c r="B2" s="3368"/>
      <c r="C2" s="3368"/>
      <c r="D2" s="3369"/>
      <c r="E2" s="3369" t="s">
        <v>37</v>
      </c>
      <c r="F2" s="3369" t="s">
        <v>38</v>
      </c>
      <c r="G2" s="3369"/>
      <c r="H2" s="3369"/>
      <c r="I2" s="3369"/>
      <c r="J2" s="3369" t="s">
        <v>39</v>
      </c>
      <c r="K2" s="3369"/>
      <c r="L2" s="3369"/>
      <c r="M2" s="3369"/>
    </row>
    <row r="3" spans="1:13" ht="28.5">
      <c r="A3" s="3368"/>
      <c r="B3" s="3368"/>
      <c r="C3" s="3368"/>
      <c r="D3" s="3369"/>
      <c r="E3" s="33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9" t="s">
        <v>55</v>
      </c>
      <c r="B9" s="3369"/>
      <c r="C9" s="33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topLeftCell="A7" zoomScaleNormal="100" zoomScaleSheetLayoutView="100" workbookViewId="0">
      <selection activeCell="E19" sqref="E19:G2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5"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1815</v>
      </c>
      <c r="B1" s="1295"/>
      <c r="C1" s="1295"/>
      <c r="D1" s="1295"/>
      <c r="E1" s="1295"/>
      <c r="F1" s="1295"/>
      <c r="G1" s="1295"/>
      <c r="H1" s="1295"/>
      <c r="I1" s="1295"/>
      <c r="J1" s="1295"/>
      <c r="K1" s="1295"/>
      <c r="L1" s="1295"/>
      <c r="M1" s="1295"/>
      <c r="N1" s="1295"/>
      <c r="O1" s="1295"/>
      <c r="P1" s="1295"/>
    </row>
    <row r="2" spans="1:16" ht="15">
      <c r="A2" s="3379" t="s">
        <v>1816</v>
      </c>
      <c r="B2" s="3379"/>
      <c r="C2" s="3379"/>
      <c r="D2" s="898" t="s">
        <v>1792</v>
      </c>
      <c r="E2" s="1817" t="s">
        <v>1793</v>
      </c>
      <c r="F2" s="2875"/>
      <c r="G2" s="2866"/>
      <c r="H2" s="2867"/>
      <c r="I2" s="2540" t="s">
        <v>1817</v>
      </c>
      <c r="J2" s="2875"/>
      <c r="K2" s="2875"/>
      <c r="L2" s="2875"/>
      <c r="M2" s="2875"/>
      <c r="N2" s="2877"/>
      <c r="O2" s="2875"/>
      <c r="P2" s="2875"/>
    </row>
    <row r="3" spans="1:16" ht="15.75" thickBot="1">
      <c r="A3" s="3380" t="s">
        <v>1790</v>
      </c>
      <c r="B3" s="3380"/>
      <c r="C3" s="3380"/>
      <c r="D3" s="3189">
        <f>'数据-基础表'!AY6</f>
        <v>35230.35</v>
      </c>
      <c r="E3" s="3189">
        <f>'数据-基础表'!AZ5</f>
        <v>86417.1</v>
      </c>
      <c r="F3" s="2875"/>
      <c r="G3" s="1301"/>
      <c r="H3" s="1151" t="s">
        <v>1791</v>
      </c>
      <c r="I3" s="958">
        <f>ROUND('数据-基础表'!B3/'数据-基础表'!A3,2)</f>
        <v>2.4500000000000002</v>
      </c>
      <c r="J3" s="2875"/>
      <c r="K3" s="2875"/>
      <c r="L3" s="2875"/>
      <c r="M3" s="2875"/>
      <c r="N3" s="2877"/>
      <c r="O3" s="2875"/>
      <c r="P3" s="2875"/>
    </row>
    <row r="4" spans="1:16" ht="15">
      <c r="A4" s="3381"/>
      <c r="B4" s="3382"/>
      <c r="C4" s="3383"/>
      <c r="D4" s="1819" t="s">
        <v>1792</v>
      </c>
      <c r="E4" s="1820" t="s">
        <v>1793</v>
      </c>
      <c r="F4" s="2875"/>
      <c r="G4" s="2868" t="s">
        <v>1818</v>
      </c>
      <c r="H4" s="1151" t="s">
        <v>1798</v>
      </c>
      <c r="I4" s="958">
        <f>ROUND(SUMIF('数据-基础表'!I9:AS9,"地上",'数据-基础表'!I5:AS5)/'数据-基础表'!A3,2)</f>
        <v>1.42</v>
      </c>
      <c r="J4" s="2875"/>
      <c r="K4" s="2875"/>
      <c r="L4" s="2875"/>
      <c r="M4" s="2875"/>
      <c r="N4" s="2877"/>
      <c r="O4" s="2875"/>
      <c r="P4" s="2875"/>
    </row>
    <row r="5" spans="1:16">
      <c r="A5" s="45" t="s">
        <v>1794</v>
      </c>
      <c r="B5" s="3384" t="s">
        <v>1795</v>
      </c>
      <c r="C5" s="3384"/>
      <c r="D5" s="46">
        <f>ROUND($D$3*E5/$E$3,2)</f>
        <v>20269.59</v>
      </c>
      <c r="E5" s="47">
        <f>SUMIF('数据-基础表'!$11:$11,"住宅",'数据-基础表'!$5:$5)</f>
        <v>49719.61</v>
      </c>
      <c r="F5" s="2875"/>
      <c r="G5" s="1301"/>
      <c r="H5" s="1151" t="s">
        <v>1791</v>
      </c>
      <c r="I5" s="958">
        <f>ROUND(E31/D31,2)</f>
        <v>2.4500000000000002</v>
      </c>
      <c r="J5" s="2875"/>
      <c r="K5" s="2875"/>
      <c r="L5" s="2875"/>
      <c r="M5" s="2875"/>
      <c r="N5" s="2875"/>
      <c r="O5" s="2875"/>
      <c r="P5" s="2875"/>
    </row>
    <row r="6" spans="1:16" ht="15" thickBot="1">
      <c r="A6" s="1822"/>
      <c r="B6" s="3384" t="s">
        <v>1796</v>
      </c>
      <c r="C6" s="3384"/>
      <c r="D6" s="46">
        <f>ROUND($D$3*E6/$E$3,2)</f>
        <v>14960.76</v>
      </c>
      <c r="E6" s="47">
        <f>E3-E5</f>
        <v>36697.490000000005</v>
      </c>
      <c r="F6" s="2875"/>
      <c r="G6" s="2869" t="s">
        <v>1797</v>
      </c>
      <c r="H6" s="1302" t="s">
        <v>1798</v>
      </c>
      <c r="I6" s="2870">
        <f>ROUND(F31/D31,2)</f>
        <v>1.42</v>
      </c>
      <c r="J6" s="2875"/>
      <c r="K6" s="2875"/>
      <c r="L6" s="2875"/>
      <c r="M6" s="2875"/>
      <c r="N6" s="2875"/>
      <c r="O6" s="2875"/>
      <c r="P6" s="2875"/>
    </row>
    <row r="7" spans="1:16" ht="15.75" thickBot="1">
      <c r="A7" s="3376"/>
      <c r="B7" s="3377"/>
      <c r="C7" s="3378"/>
      <c r="D7" s="1819" t="s">
        <v>1792</v>
      </c>
      <c r="E7" s="1823" t="s">
        <v>1799</v>
      </c>
      <c r="F7" s="2875"/>
      <c r="G7" s="2871" t="s">
        <v>1800</v>
      </c>
      <c r="H7" s="2872"/>
      <c r="I7" s="2873">
        <v>1.01</v>
      </c>
      <c r="J7" s="2875"/>
      <c r="K7" s="2875"/>
      <c r="L7" s="2875"/>
      <c r="M7" s="2875"/>
      <c r="N7" s="2875"/>
      <c r="O7" s="2875"/>
      <c r="P7" s="2875"/>
    </row>
    <row r="8" spans="1:16">
      <c r="A8" s="45" t="s">
        <v>1801</v>
      </c>
      <c r="B8" s="48" t="s">
        <v>1802</v>
      </c>
      <c r="C8" s="46" t="s">
        <v>1803</v>
      </c>
      <c r="D8" s="46">
        <f t="shared" ref="D8:D15" si="0">ROUND($D$3*E8/$E$3,2)</f>
        <v>20377.189999999999</v>
      </c>
      <c r="E8" s="49">
        <f>SUMIF('数据-基础表'!BB10:BK10,"地上",'数据-基础表'!BB5:BK5)</f>
        <v>49983.53</v>
      </c>
      <c r="F8" s="2875"/>
      <c r="G8" s="2876"/>
      <c r="H8" s="2876"/>
      <c r="I8" s="2875"/>
      <c r="J8" s="2875"/>
      <c r="K8" s="2875"/>
      <c r="L8" s="2875"/>
      <c r="M8" s="2875"/>
      <c r="N8" s="2875"/>
      <c r="O8" s="2875"/>
      <c r="P8" s="2875"/>
    </row>
    <row r="9" spans="1:16">
      <c r="A9" s="1824"/>
      <c r="B9" s="1825"/>
      <c r="C9" s="46" t="s">
        <v>1804</v>
      </c>
      <c r="D9" s="46">
        <f t="shared" si="0"/>
        <v>0</v>
      </c>
      <c r="E9" s="50">
        <v>0</v>
      </c>
      <c r="F9" s="2875"/>
      <c r="G9" s="2876"/>
      <c r="H9" s="2876"/>
      <c r="I9" s="2875"/>
      <c r="J9" s="2875"/>
      <c r="K9" s="2875"/>
      <c r="L9" s="2875"/>
      <c r="M9" s="2875"/>
      <c r="N9" s="2875"/>
      <c r="O9" s="2875"/>
      <c r="P9" s="2875"/>
    </row>
    <row r="10" spans="1:16">
      <c r="A10" s="1824"/>
      <c r="B10" s="1825"/>
      <c r="C10" s="46" t="s">
        <v>1813</v>
      </c>
      <c r="D10" s="46">
        <f t="shared" si="0"/>
        <v>155.75</v>
      </c>
      <c r="E10" s="49">
        <f>SUMPRODUCT(('数据-基础表'!BB10:BK10="地下")*('数据-基础表'!BB11:BK11="商业")*('数据-基础表'!BB5:BK5))</f>
        <v>382.04</v>
      </c>
      <c r="F10" s="2875"/>
      <c r="G10" s="2876"/>
      <c r="H10" s="2876"/>
      <c r="I10" s="2875"/>
      <c r="J10" s="2875"/>
      <c r="K10" s="2875"/>
      <c r="L10" s="2875"/>
      <c r="M10" s="2875"/>
      <c r="N10" s="2875"/>
      <c r="O10" s="2875"/>
      <c r="P10" s="2875"/>
    </row>
    <row r="11" spans="1:16">
      <c r="A11" s="1824"/>
      <c r="B11" s="1825"/>
      <c r="C11" s="46" t="s">
        <v>1805</v>
      </c>
      <c r="D11" s="46">
        <f t="shared" si="0"/>
        <v>0</v>
      </c>
      <c r="E11" s="49">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4"/>
      <c r="B12" s="1825"/>
      <c r="C12" s="46" t="s">
        <v>1806</v>
      </c>
      <c r="D12" s="46">
        <f t="shared" si="0"/>
        <v>10306.299999999999</v>
      </c>
      <c r="E12" s="49">
        <f>SUMPRODUCT(('数据-基础表'!BB10:BK10="地下")*('数据-基础表'!BB11:BK11="仓储")*('数据-基础表'!BB5:BK5))</f>
        <v>25280.489999999998</v>
      </c>
      <c r="F12" s="2875"/>
      <c r="G12" s="2876"/>
      <c r="H12" s="2876"/>
      <c r="I12" s="2875"/>
      <c r="J12" s="2875"/>
      <c r="K12" s="2875"/>
      <c r="L12" s="2875"/>
      <c r="M12" s="2875"/>
      <c r="N12" s="2875"/>
      <c r="O12" s="2875"/>
      <c r="P12" s="2875"/>
    </row>
    <row r="13" spans="1:16">
      <c r="A13" s="1824"/>
      <c r="B13" s="1825"/>
      <c r="C13" s="46" t="s">
        <v>1807</v>
      </c>
      <c r="D13" s="46">
        <f t="shared" si="0"/>
        <v>4391.12</v>
      </c>
      <c r="E13" s="49">
        <f>SUMPRODUCT(('数据-基础表'!BB10:BK10="地下")*('数据-基础表'!BB11:BK11="车库")*('数据-基础表'!BB5:BK5))</f>
        <v>10771.04</v>
      </c>
      <c r="F13" s="2875"/>
      <c r="G13" s="2876"/>
      <c r="H13" s="2876"/>
      <c r="I13" s="2875"/>
      <c r="J13" s="2875"/>
      <c r="K13" s="2875"/>
      <c r="L13" s="2875"/>
      <c r="M13" s="2875"/>
      <c r="N13" s="2875"/>
      <c r="O13" s="2875"/>
      <c r="P13" s="2875"/>
    </row>
    <row r="14" spans="1:16">
      <c r="A14" s="1824"/>
      <c r="B14" s="1825"/>
      <c r="C14" s="46" t="s">
        <v>1819</v>
      </c>
      <c r="D14" s="46">
        <f t="shared" si="0"/>
        <v>0</v>
      </c>
      <c r="E14" s="49">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4"/>
      <c r="B15" s="1825"/>
      <c r="C15" s="46" t="s">
        <v>1814</v>
      </c>
      <c r="D15" s="46">
        <f t="shared" si="0"/>
        <v>0</v>
      </c>
      <c r="E15" s="49">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2"/>
      <c r="B16" s="1825"/>
      <c r="C16" s="48" t="s">
        <v>1808</v>
      </c>
      <c r="D16" s="48">
        <f>SUM(D8:D15)</f>
        <v>35230.36</v>
      </c>
      <c r="E16" s="51">
        <f>SUM(E8:E15)</f>
        <v>86417.1</v>
      </c>
      <c r="F16" s="2875"/>
      <c r="G16" s="2876"/>
      <c r="H16" s="1826" t="s">
        <v>1820</v>
      </c>
      <c r="I16" s="1827"/>
      <c r="J16" s="1295"/>
      <c r="K16" s="3373" t="s">
        <v>1820</v>
      </c>
      <c r="L16" s="3374"/>
      <c r="M16" s="3374"/>
      <c r="N16" s="3374"/>
      <c r="O16" s="3374"/>
      <c r="P16" s="3375"/>
    </row>
    <row r="17" spans="1:19" ht="15">
      <c r="A17" s="1828" t="s">
        <v>1821</v>
      </c>
      <c r="B17" s="1829" t="s">
        <v>1822</v>
      </c>
      <c r="C17" s="1830" t="s">
        <v>1823</v>
      </c>
      <c r="D17" s="1831" t="s">
        <v>1811</v>
      </c>
      <c r="E17" s="1832" t="s">
        <v>1812</v>
      </c>
      <c r="F17" s="1833"/>
      <c r="G17" s="1834"/>
      <c r="H17" s="1835" t="s">
        <v>1824</v>
      </c>
      <c r="I17" s="1836" t="s">
        <v>1809</v>
      </c>
      <c r="J17" s="1295"/>
      <c r="K17" s="3370" t="s">
        <v>1825</v>
      </c>
      <c r="L17" s="3371"/>
      <c r="M17" s="3372"/>
      <c r="N17" s="3370" t="s">
        <v>1826</v>
      </c>
      <c r="O17" s="3371"/>
      <c r="P17" s="3372"/>
      <c r="R17" s="1818" t="s">
        <v>1827</v>
      </c>
      <c r="S17" s="56"/>
    </row>
    <row r="18" spans="1:19" ht="15">
      <c r="A18" s="1824"/>
      <c r="B18" s="1837"/>
      <c r="C18" s="1838"/>
      <c r="D18" s="1839"/>
      <c r="E18" s="1840" t="s">
        <v>1828</v>
      </c>
      <c r="F18" s="1841" t="s">
        <v>1829</v>
      </c>
      <c r="G18" s="1842" t="s">
        <v>1830</v>
      </c>
      <c r="H18" s="1166" t="s">
        <v>1831</v>
      </c>
      <c r="I18" s="1843" t="s">
        <v>1832</v>
      </c>
      <c r="J18" s="1295"/>
      <c r="K18" s="1166" t="s">
        <v>1833</v>
      </c>
      <c r="L18" s="1844" t="s">
        <v>1834</v>
      </c>
      <c r="M18" s="958" t="s">
        <v>1835</v>
      </c>
      <c r="N18" s="1166" t="s">
        <v>1833</v>
      </c>
      <c r="O18" s="1844" t="s">
        <v>1834</v>
      </c>
      <c r="P18" s="958" t="s">
        <v>1835</v>
      </c>
      <c r="R18" s="1151" t="s">
        <v>1836</v>
      </c>
      <c r="S18" s="1151" t="s">
        <v>1837</v>
      </c>
    </row>
    <row r="19" spans="1:19">
      <c r="A19" s="1845"/>
      <c r="B19" s="48" t="s">
        <v>1810</v>
      </c>
      <c r="C19" s="3074" t="s">
        <v>3233</v>
      </c>
      <c r="D19" s="46">
        <f>ROUND($D$3*E19/$E$3,2)</f>
        <v>6404.06</v>
      </c>
      <c r="E19" s="54">
        <f t="shared" ref="E19:E26" si="1">SUM(F19:G19)</f>
        <v>15708.62</v>
      </c>
      <c r="F19" s="3014">
        <f>'数据-基础表'!I13</f>
        <v>15708.62</v>
      </c>
      <c r="G19" s="3015">
        <v>0</v>
      </c>
      <c r="H19" s="674">
        <f>ROUND($D$3*I19/$E$3,2)</f>
        <v>0</v>
      </c>
      <c r="I19" s="49">
        <f t="shared" ref="I19:I26" si="2">IF($I$17="自定义",P19,M19)</f>
        <v>0</v>
      </c>
      <c r="J19" s="1295"/>
      <c r="K19" s="1294">
        <f t="shared" ref="K19:K26" si="3">ROUND(E$28*E19/E$27,2)</f>
        <v>0</v>
      </c>
      <c r="L19" s="1151">
        <f t="shared" ref="L19:L26" si="4">ROUND(IF(COUNTIF(C19,"*住宅*")&gt;0,E$29*E19/E$32,0),2)</f>
        <v>0</v>
      </c>
      <c r="M19" s="1306">
        <f>K19+L19</f>
        <v>0</v>
      </c>
      <c r="N19" s="1846"/>
      <c r="O19" s="1847"/>
      <c r="P19" s="1306">
        <f>N19+O19</f>
        <v>0</v>
      </c>
      <c r="R19" s="1151">
        <f t="shared" ref="R19:S26" si="5">D19+H19</f>
        <v>6404.06</v>
      </c>
      <c r="S19" s="1152">
        <f t="shared" si="5"/>
        <v>15708.62</v>
      </c>
    </row>
    <row r="20" spans="1:19">
      <c r="A20" s="1848"/>
      <c r="B20" s="48" t="s">
        <v>1838</v>
      </c>
      <c r="C20" s="3074" t="s">
        <v>5425</v>
      </c>
      <c r="D20" s="46">
        <f t="shared" ref="D20:D26" si="6">ROUND($D$3*E20/$E$3,2)</f>
        <v>8082.92</v>
      </c>
      <c r="E20" s="54">
        <f t="shared" si="1"/>
        <v>19826.72</v>
      </c>
      <c r="F20" s="3014">
        <v>0</v>
      </c>
      <c r="G20" s="3015">
        <f>'数据-基础表'!K13</f>
        <v>19826.72</v>
      </c>
      <c r="H20" s="674">
        <f t="shared" ref="H20:H26" si="7">ROUND($D$3*I20/$E$3,2)</f>
        <v>0</v>
      </c>
      <c r="I20" s="49">
        <f t="shared" si="2"/>
        <v>0</v>
      </c>
      <c r="J20" s="1295"/>
      <c r="K20" s="1294">
        <f t="shared" si="3"/>
        <v>0</v>
      </c>
      <c r="L20" s="1151">
        <f t="shared" si="4"/>
        <v>0</v>
      </c>
      <c r="M20" s="1306">
        <f t="shared" ref="M20:M26" si="8">K20+L20</f>
        <v>0</v>
      </c>
      <c r="N20" s="1846"/>
      <c r="O20" s="1847"/>
      <c r="P20" s="1306">
        <f t="shared" ref="P20:P26" si="9">N20+O20</f>
        <v>0</v>
      </c>
      <c r="R20" s="1151">
        <f t="shared" si="5"/>
        <v>8082.92</v>
      </c>
      <c r="S20" s="1152">
        <f t="shared" si="5"/>
        <v>19826.72</v>
      </c>
    </row>
    <row r="21" spans="1:19">
      <c r="A21" s="1848"/>
      <c r="B21" s="48" t="s">
        <v>1838</v>
      </c>
      <c r="C21" s="3074" t="s">
        <v>3235</v>
      </c>
      <c r="D21" s="46">
        <f t="shared" si="6"/>
        <v>4391.12</v>
      </c>
      <c r="E21" s="54">
        <f t="shared" si="1"/>
        <v>10771.04</v>
      </c>
      <c r="F21" s="3014">
        <v>0</v>
      </c>
      <c r="G21" s="3015">
        <f>'数据-基础表'!M13</f>
        <v>10771.04</v>
      </c>
      <c r="H21" s="674">
        <f t="shared" si="7"/>
        <v>0</v>
      </c>
      <c r="I21" s="49">
        <f t="shared" si="2"/>
        <v>0</v>
      </c>
      <c r="J21" s="1295"/>
      <c r="K21" s="1294">
        <f t="shared" si="3"/>
        <v>0</v>
      </c>
      <c r="L21" s="1151">
        <f t="shared" si="4"/>
        <v>0</v>
      </c>
      <c r="M21" s="1306">
        <f t="shared" si="8"/>
        <v>0</v>
      </c>
      <c r="N21" s="1846"/>
      <c r="O21" s="1847"/>
      <c r="P21" s="1306">
        <f t="shared" si="9"/>
        <v>0</v>
      </c>
      <c r="R21" s="1151">
        <f t="shared" si="5"/>
        <v>4391.12</v>
      </c>
      <c r="S21" s="1152">
        <f t="shared" si="5"/>
        <v>10771.04</v>
      </c>
    </row>
    <row r="22" spans="1:19">
      <c r="A22" s="1848"/>
      <c r="B22" s="48" t="s">
        <v>1838</v>
      </c>
      <c r="C22" s="3148" t="s">
        <v>5405</v>
      </c>
      <c r="D22" s="46">
        <f t="shared" si="6"/>
        <v>13264.95</v>
      </c>
      <c r="E22" s="54">
        <f t="shared" si="1"/>
        <v>32537.82</v>
      </c>
      <c r="F22" s="3016">
        <f>'数据-基础表'!O13</f>
        <v>32537.82</v>
      </c>
      <c r="G22" s="3017">
        <v>0</v>
      </c>
      <c r="H22" s="674">
        <f t="shared" si="7"/>
        <v>0</v>
      </c>
      <c r="I22" s="49">
        <f t="shared" si="2"/>
        <v>0</v>
      </c>
      <c r="J22" s="1295"/>
      <c r="K22" s="1294">
        <f t="shared" si="3"/>
        <v>0</v>
      </c>
      <c r="L22" s="1151">
        <f t="shared" si="4"/>
        <v>0</v>
      </c>
      <c r="M22" s="1306">
        <f t="shared" si="8"/>
        <v>0</v>
      </c>
      <c r="N22" s="1846"/>
      <c r="O22" s="1847"/>
      <c r="P22" s="1306">
        <f t="shared" si="9"/>
        <v>0</v>
      </c>
      <c r="R22" s="1151">
        <f t="shared" si="5"/>
        <v>13264.95</v>
      </c>
      <c r="S22" s="1152">
        <f t="shared" si="5"/>
        <v>32537.82</v>
      </c>
    </row>
    <row r="23" spans="1:19">
      <c r="A23" s="1848"/>
      <c r="B23" s="48" t="s">
        <v>1838</v>
      </c>
      <c r="C23" s="3148" t="s">
        <v>5423</v>
      </c>
      <c r="D23" s="46">
        <f>ROUND($D$3*E23/$E$3,2)</f>
        <v>600.58000000000004</v>
      </c>
      <c r="E23" s="54">
        <f>SUM(F23:G23)</f>
        <v>1473.1699999999998</v>
      </c>
      <c r="F23" s="3016">
        <f>'数据-基础表'!Q13</f>
        <v>1473.1699999999998</v>
      </c>
      <c r="G23" s="3017">
        <v>0</v>
      </c>
      <c r="H23" s="674">
        <f>ROUND($D$3*I23/$E$3,2)</f>
        <v>0</v>
      </c>
      <c r="I23" s="49">
        <f t="shared" si="2"/>
        <v>0</v>
      </c>
      <c r="J23" s="1295"/>
      <c r="K23" s="1294">
        <f t="shared" si="3"/>
        <v>0</v>
      </c>
      <c r="L23" s="1151">
        <f t="shared" si="4"/>
        <v>0</v>
      </c>
      <c r="M23" s="1306">
        <f t="shared" si="8"/>
        <v>0</v>
      </c>
      <c r="N23" s="1846"/>
      <c r="O23" s="1847"/>
      <c r="P23" s="1306">
        <f t="shared" si="9"/>
        <v>0</v>
      </c>
      <c r="R23" s="1151">
        <f t="shared" si="5"/>
        <v>600.58000000000004</v>
      </c>
      <c r="S23" s="1152">
        <f t="shared" si="5"/>
        <v>1473.1699999999998</v>
      </c>
    </row>
    <row r="24" spans="1:19">
      <c r="A24" s="1848"/>
      <c r="B24" s="48" t="s">
        <v>1838</v>
      </c>
      <c r="C24" s="3148" t="s">
        <v>5427</v>
      </c>
      <c r="D24" s="46">
        <f>ROUND($D$3*E24/$E$3,2)</f>
        <v>202.23</v>
      </c>
      <c r="E24" s="54">
        <f>SUM(F24:G24)</f>
        <v>496.05</v>
      </c>
      <c r="F24" s="3016">
        <v>0</v>
      </c>
      <c r="G24" s="3017">
        <f>'数据-基础表'!S13</f>
        <v>496.05</v>
      </c>
      <c r="H24" s="674">
        <f>ROUND($D$3*I24/$E$3,2)</f>
        <v>0</v>
      </c>
      <c r="I24" s="49">
        <f t="shared" si="2"/>
        <v>0</v>
      </c>
      <c r="J24" s="1295"/>
      <c r="K24" s="1294">
        <f t="shared" si="3"/>
        <v>0</v>
      </c>
      <c r="L24" s="1151">
        <f t="shared" si="4"/>
        <v>0</v>
      </c>
      <c r="M24" s="1306">
        <f t="shared" si="8"/>
        <v>0</v>
      </c>
      <c r="N24" s="1846"/>
      <c r="O24" s="1847"/>
      <c r="P24" s="1306">
        <f t="shared" si="9"/>
        <v>0</v>
      </c>
      <c r="R24" s="1151">
        <f t="shared" si="5"/>
        <v>202.23</v>
      </c>
      <c r="S24" s="1152">
        <f t="shared" si="5"/>
        <v>496.05</v>
      </c>
    </row>
    <row r="25" spans="1:19">
      <c r="A25" s="1848"/>
      <c r="B25" s="48" t="s">
        <v>1838</v>
      </c>
      <c r="C25" s="3148" t="s">
        <v>5494</v>
      </c>
      <c r="D25" s="46">
        <f t="shared" si="6"/>
        <v>2021.15</v>
      </c>
      <c r="E25" s="54">
        <f t="shared" si="1"/>
        <v>4957.7199999999993</v>
      </c>
      <c r="F25" s="3016">
        <v>0</v>
      </c>
      <c r="G25" s="3017">
        <f>'数据-基础表'!U13</f>
        <v>4957.7199999999993</v>
      </c>
      <c r="H25" s="45">
        <f t="shared" si="7"/>
        <v>0</v>
      </c>
      <c r="I25" s="49">
        <f t="shared" si="2"/>
        <v>0</v>
      </c>
      <c r="J25" s="1295"/>
      <c r="K25" s="1294">
        <f t="shared" si="3"/>
        <v>0</v>
      </c>
      <c r="L25" s="1151">
        <f t="shared" si="4"/>
        <v>0</v>
      </c>
      <c r="M25" s="1306">
        <f t="shared" si="8"/>
        <v>0</v>
      </c>
      <c r="N25" s="1846"/>
      <c r="O25" s="1847"/>
      <c r="P25" s="1306">
        <f t="shared" si="9"/>
        <v>0</v>
      </c>
      <c r="R25" s="1151">
        <f t="shared" si="5"/>
        <v>2021.15</v>
      </c>
      <c r="S25" s="1152">
        <f t="shared" si="5"/>
        <v>4957.7199999999993</v>
      </c>
    </row>
    <row r="26" spans="1:19">
      <c r="A26" s="1848"/>
      <c r="B26" s="48" t="s">
        <v>1838</v>
      </c>
      <c r="C26" s="3253" t="s">
        <v>5675</v>
      </c>
      <c r="D26" s="46">
        <f t="shared" si="6"/>
        <v>263.33999999999997</v>
      </c>
      <c r="E26" s="54">
        <f t="shared" si="1"/>
        <v>645.96</v>
      </c>
      <c r="F26" s="3016">
        <f>'数据-基础表'!W13</f>
        <v>263.92</v>
      </c>
      <c r="G26" s="3017">
        <f>'数据-基础表'!Y13</f>
        <v>382.04</v>
      </c>
      <c r="H26" s="45">
        <f t="shared" si="7"/>
        <v>0</v>
      </c>
      <c r="I26" s="49">
        <f t="shared" si="2"/>
        <v>0</v>
      </c>
      <c r="J26" s="1295"/>
      <c r="K26" s="1301">
        <f t="shared" si="3"/>
        <v>0</v>
      </c>
      <c r="L26" s="1302">
        <f t="shared" si="4"/>
        <v>0</v>
      </c>
      <c r="M26" s="59">
        <f t="shared" si="8"/>
        <v>0</v>
      </c>
      <c r="N26" s="1849"/>
      <c r="O26" s="1850"/>
      <c r="P26" s="59">
        <f t="shared" si="9"/>
        <v>0</v>
      </c>
      <c r="R26" s="1151">
        <f t="shared" si="5"/>
        <v>263.33999999999997</v>
      </c>
      <c r="S26" s="1152">
        <f t="shared" si="5"/>
        <v>645.96</v>
      </c>
    </row>
    <row r="27" spans="1:19" ht="15.75" thickBot="1">
      <c r="A27" s="1848"/>
      <c r="B27" s="46"/>
      <c r="C27" s="1851" t="s">
        <v>1839</v>
      </c>
      <c r="D27" s="1296">
        <f>SUM(D19:D26)</f>
        <v>35230.35</v>
      </c>
      <c r="E27" s="1297">
        <f>IF(SUM(E19:E26)='数据-基础表'!BA5,SUM(E19:E26),IF(F27="地上面积有误","面积有误","地下面积有误"))</f>
        <v>86417.10000000002</v>
      </c>
      <c r="F27" s="1296">
        <f>IF(SUM(F19:F26)=E8,SUM(F19:F26),"地上面积有误")</f>
        <v>49983.53</v>
      </c>
      <c r="G27" s="1298">
        <f>SUM(G19:G26)</f>
        <v>36433.57</v>
      </c>
      <c r="H27" s="1299">
        <f>SUM(H19:H26)</f>
        <v>0</v>
      </c>
      <c r="I27" s="1300">
        <f>SUM(I19:I26)</f>
        <v>0</v>
      </c>
      <c r="J27" s="1295"/>
      <c r="K27" s="1303">
        <f>SUM(K19:K26)</f>
        <v>0</v>
      </c>
      <c r="L27" s="1304">
        <f>SUM(L19:L26)</f>
        <v>0</v>
      </c>
      <c r="M27" s="1307">
        <f>SUM(M19:M26)</f>
        <v>0</v>
      </c>
      <c r="N27" s="1303">
        <f t="shared" ref="N27:O27" si="10">SUM(N19:N26)</f>
        <v>0</v>
      </c>
      <c r="O27" s="1304">
        <f t="shared" si="10"/>
        <v>0</v>
      </c>
      <c r="P27" s="1305">
        <f>SUM(P19:P26)</f>
        <v>0</v>
      </c>
      <c r="R27" s="1153">
        <f>IF(SUM(R19:R26)=$D$3,SUM(R19:R26),SUM(R19:R26)&amp;"误差"&amp;ROUND(SUM(R19:R26)-$D$3,2))</f>
        <v>35230.35</v>
      </c>
      <c r="S27" s="1151">
        <f>IF(SUM(S19:S26)=$E$3,SUM(S19:S26),SUM(S19:S26)&amp;"误差"&amp;ROUND(SUM(S19:S26)-E3,2))</f>
        <v>86417.10000000002</v>
      </c>
    </row>
    <row r="28" spans="1:19">
      <c r="A28" s="1848"/>
      <c r="B28" s="48" t="s">
        <v>1840</v>
      </c>
      <c r="C28" s="1163" t="s">
        <v>1841</v>
      </c>
      <c r="D28" s="46">
        <f>ROUND($D$3*E28/$E$3,2)</f>
        <v>0</v>
      </c>
      <c r="E28" s="54">
        <f>SUM(F28:G28)</f>
        <v>0</v>
      </c>
      <c r="F28" s="56">
        <f>'数据-基础表'!BQ5+'数据-基础表'!BS5</f>
        <v>0</v>
      </c>
      <c r="G28" s="57">
        <f>'数据-基础表'!BR5+'数据-基础表'!BT5</f>
        <v>0</v>
      </c>
      <c r="H28" s="2875"/>
      <c r="I28" s="2875"/>
      <c r="J28" s="2875"/>
      <c r="K28" s="2875"/>
      <c r="L28" s="2875"/>
      <c r="M28" s="2875"/>
      <c r="N28" s="2875"/>
      <c r="O28" s="2875"/>
      <c r="P28" s="2875"/>
    </row>
    <row r="29" spans="1:19">
      <c r="A29" s="1848"/>
      <c r="B29" s="48" t="s">
        <v>1840</v>
      </c>
      <c r="C29" s="1852" t="s">
        <v>1842</v>
      </c>
      <c r="D29" s="46">
        <f>ROUND($D$3*E29/$E$3,2)</f>
        <v>0</v>
      </c>
      <c r="E29" s="54">
        <f>SUM(F29:G29)</f>
        <v>0</v>
      </c>
      <c r="F29" s="58">
        <f>'数据-基础表'!BM5+'数据-基础表'!BO5</f>
        <v>0</v>
      </c>
      <c r="G29" s="59">
        <f>'数据-基础表'!BN5+'数据-基础表'!BP5</f>
        <v>0</v>
      </c>
      <c r="H29" s="2875"/>
      <c r="I29" s="2875"/>
      <c r="J29" s="2875"/>
      <c r="K29" s="2875"/>
      <c r="L29" s="2875"/>
      <c r="M29" s="2875"/>
      <c r="N29" s="2875"/>
      <c r="O29" s="2875"/>
      <c r="P29" s="2875"/>
    </row>
    <row r="30" spans="1:19" ht="15">
      <c r="A30" s="1848"/>
      <c r="B30" s="48"/>
      <c r="C30" s="1853" t="s">
        <v>1839</v>
      </c>
      <c r="D30" s="1296">
        <f>SUM(D28:D29)</f>
        <v>0</v>
      </c>
      <c r="E30" s="1296">
        <f>SUM(E28:E29)</f>
        <v>0</v>
      </c>
      <c r="F30" s="1296">
        <f>SUM(F28:F29)</f>
        <v>0</v>
      </c>
      <c r="G30" s="1298">
        <f>SUM(G28:G29)</f>
        <v>0</v>
      </c>
      <c r="H30" s="2875"/>
      <c r="I30" s="2875"/>
      <c r="J30" s="2875"/>
      <c r="K30" s="2875"/>
      <c r="L30" s="2875"/>
      <c r="M30" s="2875"/>
      <c r="N30" s="2875"/>
      <c r="O30" s="2875"/>
      <c r="P30" s="2875"/>
    </row>
    <row r="31" spans="1:19" ht="15.75" thickBot="1">
      <c r="A31" s="1854"/>
      <c r="B31" s="1855"/>
      <c r="C31" s="938" t="s">
        <v>1843</v>
      </c>
      <c r="D31" s="680">
        <f>D27+D30</f>
        <v>35230.35</v>
      </c>
      <c r="E31" s="680">
        <f>E27+E30</f>
        <v>86417.10000000002</v>
      </c>
      <c r="F31" s="681">
        <f>F27+F30</f>
        <v>49983.53</v>
      </c>
      <c r="G31" s="682">
        <f>G27+G30</f>
        <v>36433.57</v>
      </c>
      <c r="H31" s="2875"/>
      <c r="I31" s="2875"/>
      <c r="J31" s="2875"/>
      <c r="K31" s="2875"/>
      <c r="L31" s="2875"/>
      <c r="M31" s="2875"/>
      <c r="N31" s="2875"/>
      <c r="O31" s="2875"/>
      <c r="P31" s="2875"/>
    </row>
    <row r="32" spans="1:19">
      <c r="A32" s="1821"/>
      <c r="B32" s="1821" t="s">
        <v>1844</v>
      </c>
      <c r="C32" s="1821"/>
      <c r="D32" s="1821"/>
      <c r="E32" s="1178">
        <f>SUMIF(C19:C26,"*住宅*",E19:E26)</f>
        <v>48246.44</v>
      </c>
      <c r="F32" s="1821"/>
      <c r="G32" s="1821"/>
      <c r="H32" s="2875"/>
      <c r="I32" s="2875"/>
      <c r="J32" s="2875"/>
      <c r="K32" s="2875"/>
      <c r="L32" s="2875"/>
      <c r="M32" s="2875"/>
      <c r="N32" s="2875"/>
      <c r="O32" s="2875"/>
      <c r="P32" s="2875"/>
    </row>
    <row r="33" spans="4:7">
      <c r="D33" s="1856"/>
    </row>
    <row r="36" spans="4:7">
      <c r="D36" s="3175"/>
      <c r="F36" s="3070">
        <v>86772.06</v>
      </c>
      <c r="G36" s="3070">
        <v>63837.320000000072</v>
      </c>
    </row>
    <row r="37" spans="4:7">
      <c r="E37" s="3175"/>
    </row>
    <row r="38" spans="4:7">
      <c r="E38" s="1856"/>
    </row>
    <row r="39" spans="4:7">
      <c r="E39" s="31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3270-ED6E-4888-AE70-E92273D27FB1}">
  <dimension ref="A2:Q30"/>
  <sheetViews>
    <sheetView topLeftCell="F1" workbookViewId="0">
      <selection activeCell="M9" sqref="M9"/>
    </sheetView>
  </sheetViews>
  <sheetFormatPr defaultRowHeight="13.5"/>
  <cols>
    <col min="3" max="3" width="24.125" customWidth="1"/>
    <col min="4" max="6" width="11.625" bestFit="1" customWidth="1"/>
    <col min="10" max="10" width="10.5" bestFit="1" customWidth="1"/>
    <col min="11" max="11" width="9.5" bestFit="1" customWidth="1"/>
    <col min="13" max="13" width="16.5" customWidth="1"/>
    <col min="15" max="15" width="14" customWidth="1"/>
    <col min="17" max="17" width="15.25" customWidth="1"/>
  </cols>
  <sheetData>
    <row r="2" spans="1:17" ht="14.25">
      <c r="A2" s="3385" t="s">
        <v>5707</v>
      </c>
      <c r="B2" s="3386" t="s">
        <v>5370</v>
      </c>
      <c r="C2" s="3386" t="s">
        <v>5371</v>
      </c>
      <c r="D2" s="3387" t="s">
        <v>5699</v>
      </c>
      <c r="E2" s="3387"/>
      <c r="F2" s="3387"/>
      <c r="I2" s="3395" t="s">
        <v>5714</v>
      </c>
      <c r="J2" s="3397" t="s">
        <v>5715</v>
      </c>
      <c r="K2" s="3397" t="s">
        <v>5716</v>
      </c>
      <c r="L2" s="3397" t="s">
        <v>5393</v>
      </c>
      <c r="M2" s="3397"/>
      <c r="N2" s="3397" t="s">
        <v>5394</v>
      </c>
      <c r="O2" s="3397"/>
      <c r="P2" s="3395" t="s">
        <v>5395</v>
      </c>
      <c r="Q2" s="3395"/>
    </row>
    <row r="3" spans="1:17" ht="14.25">
      <c r="A3" s="3385"/>
      <c r="B3" s="3386"/>
      <c r="C3" s="3386"/>
      <c r="D3" s="3270" t="s">
        <v>37</v>
      </c>
      <c r="E3" s="3271" t="s">
        <v>3056</v>
      </c>
      <c r="F3" s="3271" t="s">
        <v>3057</v>
      </c>
      <c r="I3" s="3395"/>
      <c r="J3" s="3397"/>
      <c r="K3" s="3397"/>
      <c r="L3" s="3288" t="s">
        <v>5717</v>
      </c>
      <c r="M3" s="3288" t="s">
        <v>5397</v>
      </c>
      <c r="N3" s="3288" t="s">
        <v>5717</v>
      </c>
      <c r="O3" s="3288" t="s">
        <v>5397</v>
      </c>
      <c r="P3" s="3288" t="s">
        <v>5717</v>
      </c>
      <c r="Q3" s="3288" t="s">
        <v>5397</v>
      </c>
    </row>
    <row r="4" spans="1:17" ht="128.25">
      <c r="A4" s="3385"/>
      <c r="B4" s="3386" t="s">
        <v>5374</v>
      </c>
      <c r="C4" s="3272" t="s">
        <v>5694</v>
      </c>
      <c r="D4" s="3273">
        <v>15708.62</v>
      </c>
      <c r="E4" s="3274">
        <v>15708.62</v>
      </c>
      <c r="F4" s="3274">
        <v>0</v>
      </c>
      <c r="G4">
        <v>0</v>
      </c>
      <c r="I4" s="3289" t="s">
        <v>5718</v>
      </c>
      <c r="J4" s="3288">
        <v>86417.1</v>
      </c>
      <c r="K4" s="3288">
        <v>35230.35</v>
      </c>
      <c r="L4" s="3288">
        <f ca="1">结果表!D118</f>
        <v>160839</v>
      </c>
      <c r="M4" s="3288">
        <f ca="1">结果表!E118</f>
        <v>18612</v>
      </c>
      <c r="N4" s="3288">
        <f ca="1">结果表!F118</f>
        <v>19105</v>
      </c>
      <c r="O4" s="3288">
        <f ca="1">结果表!G118</f>
        <v>2211</v>
      </c>
      <c r="P4" s="3288">
        <f ca="1">结果表!H118</f>
        <v>179944</v>
      </c>
      <c r="Q4" s="3288">
        <f ca="1">结果表!I118</f>
        <v>20823</v>
      </c>
    </row>
    <row r="5" spans="1:17" ht="128.25">
      <c r="A5" s="3385"/>
      <c r="B5" s="3386"/>
      <c r="C5" s="3272" t="s">
        <v>5697</v>
      </c>
      <c r="D5" s="3273">
        <v>19826.72</v>
      </c>
      <c r="E5" s="3274">
        <v>0</v>
      </c>
      <c r="F5" s="3274">
        <v>19826.72</v>
      </c>
      <c r="G5">
        <v>0</v>
      </c>
      <c r="I5" s="3289" t="s">
        <v>5718</v>
      </c>
      <c r="J5" s="3290">
        <v>137478.11000000004</v>
      </c>
      <c r="K5" s="3290">
        <v>53102.95</v>
      </c>
      <c r="L5" s="3290">
        <f ca="1">[1]结果表!$D$118</f>
        <v>280431</v>
      </c>
      <c r="M5" s="3290">
        <f ca="1">[1]结果表!$E$118</f>
        <v>20398</v>
      </c>
      <c r="N5" s="3290">
        <f ca="1">[1]结果表!$F$118</f>
        <v>48103</v>
      </c>
      <c r="O5" s="3290">
        <f ca="1">[1]结果表!$G$118</f>
        <v>3499</v>
      </c>
      <c r="P5" s="3290">
        <f ca="1">[1]结果表!$H$118</f>
        <v>328534</v>
      </c>
      <c r="Q5" s="3290">
        <f ca="1">[1]结果表!$I$118</f>
        <v>23897</v>
      </c>
    </row>
    <row r="6" spans="1:17">
      <c r="A6" s="3385"/>
      <c r="B6" s="3386"/>
      <c r="C6" s="3272" t="s">
        <v>48</v>
      </c>
      <c r="D6" s="3273">
        <v>10771.04</v>
      </c>
      <c r="E6" s="3274">
        <v>0</v>
      </c>
      <c r="F6" s="3274">
        <v>10771.04</v>
      </c>
      <c r="G6">
        <v>0</v>
      </c>
      <c r="I6" s="3291" t="s">
        <v>5720</v>
      </c>
      <c r="J6" s="3292">
        <f>SUM(J4:J5)</f>
        <v>223895.21000000005</v>
      </c>
      <c r="K6" s="3292">
        <f>SUM(K4:K5)</f>
        <v>88333.299999999988</v>
      </c>
      <c r="L6" s="3394">
        <f ca="1">L4+L5</f>
        <v>441270</v>
      </c>
      <c r="M6" s="3394"/>
      <c r="N6" s="3394">
        <f ca="1">N4+N5</f>
        <v>67208</v>
      </c>
      <c r="O6" s="3394"/>
      <c r="P6" s="3394">
        <f ca="1">P4+P5</f>
        <v>508478</v>
      </c>
      <c r="Q6" s="3394"/>
    </row>
    <row r="7" spans="1:17">
      <c r="A7" s="3385"/>
      <c r="B7" s="3386"/>
      <c r="C7" s="3275" t="s">
        <v>3168</v>
      </c>
      <c r="D7" s="3273">
        <v>32537.82</v>
      </c>
      <c r="E7" s="3274">
        <v>32537.82</v>
      </c>
      <c r="F7" s="3274">
        <v>0</v>
      </c>
      <c r="G7" s="3294">
        <v>0.65</v>
      </c>
      <c r="I7" s="3393" t="s">
        <v>5721</v>
      </c>
      <c r="J7" s="3394"/>
      <c r="K7" s="3394"/>
      <c r="L7" s="3396">
        <f ca="1">L6*10000</f>
        <v>4412700000</v>
      </c>
      <c r="M7" s="3396"/>
      <c r="N7" s="3396">
        <f t="shared" ref="N7" ca="1" si="0">N6*10000</f>
        <v>672080000</v>
      </c>
      <c r="O7" s="3396"/>
      <c r="P7" s="3396">
        <f t="shared" ref="P7" ca="1" si="1">P6*10000</f>
        <v>5084780000</v>
      </c>
      <c r="Q7" s="3396"/>
    </row>
    <row r="8" spans="1:17">
      <c r="A8" s="3385"/>
      <c r="B8" s="3386"/>
      <c r="C8" s="3275" t="s">
        <v>5695</v>
      </c>
      <c r="D8" s="3273">
        <v>1473.1699999999998</v>
      </c>
      <c r="E8" s="3274">
        <v>1473.1699999999998</v>
      </c>
      <c r="F8" s="3274">
        <v>0</v>
      </c>
      <c r="G8" s="3294">
        <v>0.65</v>
      </c>
    </row>
    <row r="9" spans="1:17">
      <c r="A9" s="3385"/>
      <c r="B9" s="3386"/>
      <c r="C9" s="3275" t="s">
        <v>5696</v>
      </c>
      <c r="D9" s="3273">
        <v>496.05</v>
      </c>
      <c r="E9" s="3274">
        <v>0</v>
      </c>
      <c r="F9" s="3274">
        <v>496.05</v>
      </c>
      <c r="G9" s="3294">
        <v>0.65</v>
      </c>
    </row>
    <row r="10" spans="1:17">
      <c r="A10" s="3385"/>
      <c r="B10" s="3386"/>
      <c r="C10" s="3275" t="s">
        <v>5698</v>
      </c>
      <c r="D10" s="3273">
        <v>4957.7199999999993</v>
      </c>
      <c r="E10" s="3274">
        <v>0</v>
      </c>
      <c r="F10" s="3274">
        <v>4957.7199999999993</v>
      </c>
      <c r="G10" s="3294">
        <v>0.95</v>
      </c>
    </row>
    <row r="11" spans="1:17">
      <c r="A11" s="3385"/>
      <c r="B11" s="3386"/>
      <c r="C11" s="3275" t="s">
        <v>1343</v>
      </c>
      <c r="D11" s="3273">
        <v>645.96</v>
      </c>
      <c r="E11" s="3274">
        <v>263.92</v>
      </c>
      <c r="F11" s="3274">
        <v>382.04</v>
      </c>
      <c r="G11" s="3294">
        <v>0.95</v>
      </c>
    </row>
    <row r="12" spans="1:17">
      <c r="A12" s="3385"/>
      <c r="B12" s="3388" t="s">
        <v>5700</v>
      </c>
      <c r="C12" s="3388"/>
      <c r="D12" s="3276">
        <v>86417.10000000002</v>
      </c>
      <c r="E12" s="3276">
        <v>49983.53</v>
      </c>
      <c r="F12" s="3276">
        <v>36433.57</v>
      </c>
      <c r="G12" s="3067">
        <f>(D4*G4+D5*G5+D6*G6+D7*G7+D8*G8+D9*G9+D10*G10+D11*G11)/D12</f>
        <v>0.32115254966898898</v>
      </c>
    </row>
    <row r="13" spans="1:17">
      <c r="A13" s="3385"/>
      <c r="B13" s="3386" t="s">
        <v>5380</v>
      </c>
      <c r="C13" s="3271" t="s">
        <v>5381</v>
      </c>
      <c r="D13" s="3273">
        <v>0</v>
      </c>
      <c r="E13" s="3273">
        <v>0</v>
      </c>
      <c r="F13" s="3273">
        <v>0</v>
      </c>
    </row>
    <row r="14" spans="1:17">
      <c r="A14" s="3385"/>
      <c r="B14" s="3386"/>
      <c r="C14" s="3271" t="s">
        <v>5382</v>
      </c>
      <c r="D14" s="3273">
        <v>0</v>
      </c>
      <c r="E14" s="3273">
        <v>0</v>
      </c>
      <c r="F14" s="3273">
        <v>0</v>
      </c>
    </row>
    <row r="15" spans="1:17">
      <c r="A15" s="3385"/>
      <c r="B15" s="3389" t="s">
        <v>5701</v>
      </c>
      <c r="C15" s="3389"/>
      <c r="D15" s="3276">
        <v>0</v>
      </c>
      <c r="E15" s="3276">
        <v>0</v>
      </c>
      <c r="F15" s="3276">
        <v>0</v>
      </c>
    </row>
    <row r="16" spans="1:17">
      <c r="A16" s="3385"/>
      <c r="B16" s="3388" t="s">
        <v>5702</v>
      </c>
      <c r="C16" s="3388"/>
      <c r="D16" s="3276">
        <v>86417.10000000002</v>
      </c>
      <c r="E16" s="3276">
        <v>49983.53</v>
      </c>
      <c r="F16" s="3276">
        <v>36433.57</v>
      </c>
    </row>
    <row r="17" spans="1:6">
      <c r="A17" s="3385" t="s">
        <v>5708</v>
      </c>
      <c r="B17" s="3391" t="s">
        <v>5374</v>
      </c>
      <c r="C17" s="3272" t="s">
        <v>5694</v>
      </c>
      <c r="D17" s="3277">
        <v>38232.800000000003</v>
      </c>
      <c r="E17" s="3274">
        <v>38232.800000000003</v>
      </c>
      <c r="F17" s="3274">
        <v>0</v>
      </c>
    </row>
    <row r="18" spans="1:6">
      <c r="A18" s="3385"/>
      <c r="B18" s="3391"/>
      <c r="C18" s="3272" t="s">
        <v>5697</v>
      </c>
      <c r="D18" s="3277">
        <v>48839.159999999996</v>
      </c>
      <c r="E18" s="3274">
        <v>0</v>
      </c>
      <c r="F18" s="3274">
        <v>48839.159999999996</v>
      </c>
    </row>
    <row r="19" spans="1:6">
      <c r="A19" s="3385"/>
      <c r="B19" s="3391"/>
      <c r="C19" s="3272" t="s">
        <v>48</v>
      </c>
      <c r="D19" s="3277">
        <v>22201.280000000061</v>
      </c>
      <c r="E19" s="3274">
        <v>0</v>
      </c>
      <c r="F19" s="3274">
        <v>22201.280000000061</v>
      </c>
    </row>
    <row r="20" spans="1:6">
      <c r="A20" s="3385"/>
      <c r="B20" s="3391"/>
      <c r="C20" s="3275" t="s">
        <v>3168</v>
      </c>
      <c r="D20" s="3277">
        <v>24860.720000000001</v>
      </c>
      <c r="E20" s="3274">
        <v>24860.720000000001</v>
      </c>
      <c r="F20" s="3274">
        <v>0</v>
      </c>
    </row>
    <row r="21" spans="1:6">
      <c r="A21" s="3385"/>
      <c r="B21" s="3391"/>
      <c r="C21" s="3275" t="s">
        <v>5695</v>
      </c>
      <c r="D21" s="3277">
        <v>679.36</v>
      </c>
      <c r="E21" s="3274">
        <v>679.36</v>
      </c>
      <c r="F21" s="3274">
        <v>0</v>
      </c>
    </row>
    <row r="22" spans="1:6">
      <c r="A22" s="3385"/>
      <c r="B22" s="3391"/>
      <c r="C22" s="3275" t="s">
        <v>5696</v>
      </c>
      <c r="D22" s="3277">
        <v>386.37</v>
      </c>
      <c r="E22" s="3274">
        <v>0</v>
      </c>
      <c r="F22" s="3274">
        <v>386.37</v>
      </c>
    </row>
    <row r="23" spans="1:6">
      <c r="A23" s="3385"/>
      <c r="B23" s="3391"/>
      <c r="C23" s="3275" t="s">
        <v>5698</v>
      </c>
      <c r="D23" s="3277">
        <v>2278.42</v>
      </c>
      <c r="E23" s="3274">
        <v>0</v>
      </c>
      <c r="F23" s="3274">
        <v>2278.42</v>
      </c>
    </row>
    <row r="24" spans="1:6">
      <c r="A24" s="3385"/>
      <c r="B24" s="3392" t="s">
        <v>5703</v>
      </c>
      <c r="C24" s="3392"/>
      <c r="D24" s="3278">
        <v>137478.11000000004</v>
      </c>
      <c r="E24" s="3278">
        <v>63772.880000000005</v>
      </c>
      <c r="F24" s="3278">
        <v>73705.230000000054</v>
      </c>
    </row>
    <row r="25" spans="1:6">
      <c r="A25" s="3385"/>
      <c r="B25" s="3391" t="s">
        <v>5380</v>
      </c>
      <c r="C25" s="3279" t="s">
        <v>5381</v>
      </c>
      <c r="D25" s="3277">
        <v>0</v>
      </c>
      <c r="E25" s="3279">
        <v>0</v>
      </c>
      <c r="F25" s="3279">
        <v>0</v>
      </c>
    </row>
    <row r="26" spans="1:6">
      <c r="A26" s="3385"/>
      <c r="B26" s="3391"/>
      <c r="C26" s="3279" t="s">
        <v>5382</v>
      </c>
      <c r="D26" s="3277">
        <v>0</v>
      </c>
      <c r="E26" s="3279">
        <v>0</v>
      </c>
      <c r="F26" s="3279">
        <v>0</v>
      </c>
    </row>
    <row r="27" spans="1:6">
      <c r="A27" s="3385"/>
      <c r="B27" s="3392" t="s">
        <v>5704</v>
      </c>
      <c r="C27" s="3392"/>
      <c r="D27" s="3278">
        <v>0</v>
      </c>
      <c r="E27" s="3278">
        <v>0</v>
      </c>
      <c r="F27" s="3278">
        <v>0</v>
      </c>
    </row>
    <row r="28" spans="1:6">
      <c r="A28" s="3385"/>
      <c r="B28" s="3392" t="s">
        <v>5705</v>
      </c>
      <c r="C28" s="3392"/>
      <c r="D28" s="3278">
        <v>137478.11000000004</v>
      </c>
      <c r="E28" s="3278">
        <v>63772.880000000005</v>
      </c>
      <c r="F28" s="3278">
        <v>73705.230000000054</v>
      </c>
    </row>
    <row r="29" spans="1:6">
      <c r="A29" s="3390" t="s">
        <v>5706</v>
      </c>
      <c r="B29" s="3390"/>
      <c r="C29" s="3390"/>
      <c r="D29" s="3269">
        <f>D16+D28</f>
        <v>223895.21000000008</v>
      </c>
      <c r="E29" s="3269">
        <f>E16+E28</f>
        <v>113756.41</v>
      </c>
      <c r="F29" s="3269">
        <f>F16+F28</f>
        <v>110138.80000000005</v>
      </c>
    </row>
    <row r="30" spans="1:6">
      <c r="D30" s="3293">
        <f>D29-E4-F5-F6</f>
        <v>177588.83000000007</v>
      </c>
    </row>
  </sheetData>
  <mergeCells count="29">
    <mergeCell ref="I7:K7"/>
    <mergeCell ref="P2:Q2"/>
    <mergeCell ref="L6:M6"/>
    <mergeCell ref="N6:O6"/>
    <mergeCell ref="P6:Q6"/>
    <mergeCell ref="L7:M7"/>
    <mergeCell ref="N7:O7"/>
    <mergeCell ref="P7:Q7"/>
    <mergeCell ref="I2:I3"/>
    <mergeCell ref="J2:J3"/>
    <mergeCell ref="K2:K3"/>
    <mergeCell ref="L2:M2"/>
    <mergeCell ref="N2:O2"/>
    <mergeCell ref="A29:C29"/>
    <mergeCell ref="B17:B23"/>
    <mergeCell ref="B24:C24"/>
    <mergeCell ref="B25:B26"/>
    <mergeCell ref="B27:C27"/>
    <mergeCell ref="B28:C28"/>
    <mergeCell ref="A2:A16"/>
    <mergeCell ref="A17:A28"/>
    <mergeCell ref="B2:B3"/>
    <mergeCell ref="C2:C3"/>
    <mergeCell ref="D2:F2"/>
    <mergeCell ref="B12:C12"/>
    <mergeCell ref="B15:C15"/>
    <mergeCell ref="B16:C16"/>
    <mergeCell ref="B4:B11"/>
    <mergeCell ref="B13:B14"/>
  </mergeCells>
  <phoneticPr fontId="141" type="noConversion"/>
  <conditionalFormatting sqref="D12">
    <cfRule type="containsText" dxfId="236" priority="10" stopIfTrue="1" operator="containsText" text="面积有误">
      <formula>NOT(ISERROR(SEARCH("面积有误",D12)))</formula>
    </cfRule>
    <cfRule type="cellIs" dxfId="235" priority="12" stopIfTrue="1" operator="equal">
      <formula>"地下面积有误"</formula>
    </cfRule>
  </conditionalFormatting>
  <conditionalFormatting sqref="E12">
    <cfRule type="cellIs" dxfId="234" priority="11" stopIfTrue="1" operator="equal">
      <formula>"地上面积有误"</formula>
    </cfRule>
  </conditionalFormatting>
  <conditionalFormatting sqref="D24">
    <cfRule type="containsText" dxfId="233" priority="7" stopIfTrue="1" operator="containsText" text="面积有误">
      <formula>NOT(ISERROR(SEARCH("面积有误",D24)))</formula>
    </cfRule>
    <cfRule type="cellIs" dxfId="232" priority="9" stopIfTrue="1" operator="equal">
      <formula>"地下面积有误"</formula>
    </cfRule>
  </conditionalFormatting>
  <conditionalFormatting sqref="E24">
    <cfRule type="cellIs" dxfId="231" priority="8" stopIfTrue="1" operator="equal">
      <formula>"地上面积有误"</formula>
    </cfRule>
  </conditionalFormatting>
  <conditionalFormatting sqref="D16">
    <cfRule type="containsText" dxfId="230" priority="4" stopIfTrue="1" operator="containsText" text="面积有误">
      <formula>NOT(ISERROR(SEARCH("面积有误",D16)))</formula>
    </cfRule>
    <cfRule type="cellIs" dxfId="229" priority="6" stopIfTrue="1" operator="equal">
      <formula>"地下面积有误"</formula>
    </cfRule>
  </conditionalFormatting>
  <conditionalFormatting sqref="E16">
    <cfRule type="cellIs" dxfId="228" priority="5" stopIfTrue="1" operator="equal">
      <formula>"地上面积有误"</formula>
    </cfRule>
  </conditionalFormatting>
  <conditionalFormatting sqref="D28">
    <cfRule type="containsText" dxfId="227" priority="1" stopIfTrue="1" operator="containsText" text="面积有误">
      <formula>NOT(ISERROR(SEARCH("面积有误",D28)))</formula>
    </cfRule>
    <cfRule type="cellIs" dxfId="226" priority="3" stopIfTrue="1" operator="equal">
      <formula>"地下面积有误"</formula>
    </cfRule>
  </conditionalFormatting>
  <conditionalFormatting sqref="E28">
    <cfRule type="cellIs" dxfId="225" priority="2" stopIfTrue="1" operator="equal">
      <formula>"地上面积有误"</formula>
    </cfRule>
  </conditionalFormatting>
  <dataValidations count="5">
    <dataValidation type="list" allowBlank="1" showInputMessage="1" showErrorMessage="1" sqref="B4 B13 B17 B25" xr:uid="{4278F9BF-FF67-4D68-8282-7F6B3C3154F8}">
      <formula1>类别</formula1>
    </dataValidation>
    <dataValidation type="list" allowBlank="1" showInputMessage="1" showErrorMessage="1" sqref="N2:O2" xr:uid="{06443791-ECDC-4F1A-92E9-E4D6E410C045}">
      <formula1>"建筑物价值,在建建筑物价值,建筑物/在建建筑物价值"</formula1>
    </dataValidation>
    <dataValidation type="list" allowBlank="1" showInputMessage="1" showErrorMessage="1" sqref="L2:M2" xr:uid="{47C12B35-6DB1-4BC4-9ECF-116261791790}">
      <formula1>"出让国有建设用地使用权价值,划拨国有建设用地使用权价值"</formula1>
    </dataValidation>
    <dataValidation type="list" allowBlank="1" showInputMessage="1" showErrorMessage="1" sqref="K2:K3" xr:uid="{076E9900-7C8C-4452-852A-CACB95563004}">
      <formula1>"土地面积,分摊土地面积,（分摊）土地面积"</formula1>
    </dataValidation>
    <dataValidation type="list" allowBlank="1" showInputMessage="1" showErrorMessage="1" sqref="J2:J3" xr:uid="{78DF4A1C-459E-489C-A713-AD432ACBA9F8}">
      <formula1>"建筑面积,规划建筑面积,（规划）建筑面积"</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0" sqref="D30"/>
      <selection pane="topRight" activeCell="D30" sqref="D30"/>
      <selection pane="bottomLeft" activeCell="D30" sqref="D30"/>
      <selection pane="bottomRight" activeCell="N7" sqref="N7"/>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1845</v>
      </c>
      <c r="B1" s="683"/>
      <c r="C1" s="1346"/>
      <c r="D1" s="1858"/>
      <c r="E1" s="1346"/>
      <c r="F1" s="1346"/>
      <c r="G1" s="1346"/>
      <c r="H1" s="1346"/>
      <c r="I1" s="1346"/>
      <c r="J1" s="1346"/>
      <c r="K1" s="159"/>
      <c r="L1" s="159"/>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8"/>
      <c r="AO1" s="2888"/>
      <c r="AP1" s="2888"/>
      <c r="AQ1" s="2888"/>
      <c r="AR1" s="2888"/>
    </row>
    <row r="2" spans="1:67" s="1737" customFormat="1" ht="15.75" thickBot="1">
      <c r="A2" s="1861" t="s">
        <v>1846</v>
      </c>
      <c r="B2" s="1170">
        <f>项目基本情况!D3</f>
        <v>44568</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0"/>
      <c r="AO2" s="2890"/>
      <c r="AP2" s="2890"/>
      <c r="AQ2" s="2890"/>
      <c r="AR2" s="289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0"/>
      <c r="AO3" s="2890"/>
      <c r="AP3" s="2890"/>
      <c r="AQ3" s="2890"/>
      <c r="AR3" s="289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0" t="s">
        <v>1847</v>
      </c>
      <c r="B4" s="1866"/>
      <c r="C4" s="1867"/>
      <c r="D4" s="1868"/>
      <c r="E4" s="1867" t="s">
        <v>1848</v>
      </c>
      <c r="F4" s="1867"/>
      <c r="G4" s="1867"/>
      <c r="H4" s="1867"/>
      <c r="I4" s="1867"/>
      <c r="J4" s="1869"/>
      <c r="K4" s="1870"/>
      <c r="L4" s="1871"/>
      <c r="M4" s="1867"/>
      <c r="N4" s="1867" t="s">
        <v>1849</v>
      </c>
      <c r="O4" s="1867"/>
      <c r="P4" s="1867"/>
      <c r="Q4" s="1867"/>
      <c r="R4" s="1867"/>
      <c r="S4" s="1869"/>
      <c r="T4" s="2874" t="str">
        <f>'数据-汇总表'!I17</f>
        <v>按面积比例</v>
      </c>
      <c r="U4" s="1866" t="s">
        <v>1850</v>
      </c>
      <c r="V4" s="1867"/>
      <c r="W4" s="1867"/>
      <c r="X4" s="1867"/>
      <c r="Y4" s="1869"/>
      <c r="Z4" s="1830" t="s">
        <v>1851</v>
      </c>
      <c r="AA4" s="1830"/>
      <c r="AB4" s="1830"/>
      <c r="AC4" s="1830"/>
      <c r="AD4" s="1830"/>
      <c r="AE4" s="1828" t="s">
        <v>1852</v>
      </c>
      <c r="AF4" s="1830"/>
      <c r="AG4" s="1872"/>
      <c r="AH4" s="1866"/>
      <c r="AI4" s="1867"/>
      <c r="AJ4" s="1867"/>
      <c r="AK4" s="1867"/>
      <c r="AL4" s="1867"/>
      <c r="AM4" s="1869"/>
      <c r="AN4" s="2890"/>
      <c r="AO4" s="2890"/>
      <c r="AP4" s="2890"/>
      <c r="AQ4" s="2890"/>
      <c r="AR4" s="289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1853</v>
      </c>
      <c r="B5" s="1874" t="s">
        <v>1854</v>
      </c>
      <c r="C5" s="1875" t="s">
        <v>1855</v>
      </c>
      <c r="D5" s="1876" t="s">
        <v>1856</v>
      </c>
      <c r="E5" s="1172" t="s">
        <v>1857</v>
      </c>
      <c r="F5" s="1877" t="s">
        <v>1858</v>
      </c>
      <c r="G5" s="1172" t="s">
        <v>1859</v>
      </c>
      <c r="H5" s="1172" t="s">
        <v>1860</v>
      </c>
      <c r="I5" s="1172" t="s">
        <v>1861</v>
      </c>
      <c r="J5" s="1878" t="s">
        <v>1862</v>
      </c>
      <c r="K5" s="1879" t="s">
        <v>1863</v>
      </c>
      <c r="L5" s="1880" t="s">
        <v>1864</v>
      </c>
      <c r="M5" s="1881" t="s">
        <v>1865</v>
      </c>
      <c r="N5" s="1882" t="s">
        <v>5302</v>
      </c>
      <c r="O5" s="1880" t="s">
        <v>1866</v>
      </c>
      <c r="P5" s="1883" t="s">
        <v>1867</v>
      </c>
      <c r="Q5" s="61" t="s">
        <v>1868</v>
      </c>
      <c r="R5" s="1884" t="s">
        <v>1869</v>
      </c>
      <c r="S5" s="1885" t="s">
        <v>1870</v>
      </c>
      <c r="T5" s="1886" t="s">
        <v>1871</v>
      </c>
      <c r="U5" s="1171" t="s">
        <v>1872</v>
      </c>
      <c r="V5" s="1172" t="s">
        <v>1873</v>
      </c>
      <c r="W5" s="1172" t="s">
        <v>1874</v>
      </c>
      <c r="X5" s="63"/>
      <c r="Y5" s="62" t="s">
        <v>1875</v>
      </c>
      <c r="Z5" s="1887" t="s">
        <v>1872</v>
      </c>
      <c r="AA5" s="1172" t="s">
        <v>1873</v>
      </c>
      <c r="AB5" s="1172" t="s">
        <v>1874</v>
      </c>
      <c r="AC5" s="63"/>
      <c r="AD5" s="63" t="s">
        <v>1875</v>
      </c>
      <c r="AE5" s="1171" t="s">
        <v>1876</v>
      </c>
      <c r="AF5" s="1172" t="s">
        <v>1877</v>
      </c>
      <c r="AG5" s="62" t="s">
        <v>1878</v>
      </c>
      <c r="AH5" s="1171" t="s">
        <v>1879</v>
      </c>
      <c r="AI5" s="1887" t="s">
        <v>1880</v>
      </c>
      <c r="AJ5" s="1887" t="s">
        <v>1881</v>
      </c>
      <c r="AK5" s="1172" t="s">
        <v>1882</v>
      </c>
      <c r="AL5" s="1172" t="s">
        <v>1883</v>
      </c>
      <c r="AM5" s="62" t="s">
        <v>1884</v>
      </c>
      <c r="AN5" s="1888" t="s">
        <v>1885</v>
      </c>
      <c r="AO5" s="1740" t="s">
        <v>1886</v>
      </c>
      <c r="AP5" s="1153" t="s">
        <v>1887</v>
      </c>
      <c r="AQ5" s="1889" t="s">
        <v>1888</v>
      </c>
      <c r="AR5" s="1889" t="s">
        <v>1889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合院住宅</v>
      </c>
      <c r="B6" s="1891" t="str">
        <f>IF(A6=0,"","经营性")</f>
        <v>经营性</v>
      </c>
      <c r="C6" s="1892" t="s">
        <v>3058</v>
      </c>
      <c r="D6" s="961">
        <f>SUMIF(项目基本情况!D$12:I$12,C6,项目基本情况!D$14:I$14)</f>
        <v>70</v>
      </c>
      <c r="E6" s="960">
        <f>IF(B6="","",SUMIF(项目基本情况!D$12:I$12,C6,项目基本情况!D$13:I$13))</f>
        <v>68510</v>
      </c>
      <c r="F6" s="64">
        <f>SUMIF(项目基本情况!D$12:I$12,C6,项目基本情况!D$15:I$15)</f>
        <v>65.59</v>
      </c>
      <c r="G6" s="65">
        <f>IF(ISERROR(ROUND(POWER(1+H6,D6-F6)*(POWER(1+H6,F6)-1)/(POWER(1+H6,D6)-1),3)),0,ROUND(POWER(1+H6,D6-F6)*(POWER(1+H6,F6)-1)/(POWER(1+H6,D6)-1),3))</f>
        <v>0.98699999999999999</v>
      </c>
      <c r="H6" s="736">
        <v>0.04</v>
      </c>
      <c r="I6" s="736">
        <v>5.5E-2</v>
      </c>
      <c r="J6" s="66">
        <v>8.5000000000000006E-2</v>
      </c>
      <c r="K6" s="1155">
        <f>SUMIF('数据-汇总表'!C$19:C$33,A6,'数据-汇总表'!E$19:E$33)</f>
        <v>15708.62</v>
      </c>
      <c r="L6" s="737">
        <v>5000</v>
      </c>
      <c r="M6" s="67">
        <f t="shared" ref="M6:M14" si="0">ROUND(K6*L6/10000,0)</f>
        <v>7854</v>
      </c>
      <c r="N6" s="735">
        <v>0.32</v>
      </c>
      <c r="O6" s="67">
        <f>IF($N$5="成新度","——",ROUND(M6*N6,0))</f>
        <v>2513</v>
      </c>
      <c r="P6" s="68">
        <f>IF($N$5="成新度","——",M6-O6)</f>
        <v>5341</v>
      </c>
      <c r="Q6" s="738">
        <v>0.1</v>
      </c>
      <c r="R6" s="69">
        <f ca="1">SUMIF('数据-汇总表'!C$19:C$33,A6,'数据-汇总表'!R$19:R$27)</f>
        <v>6404.06</v>
      </c>
      <c r="S6" s="52">
        <f>IF('数据-汇总表'!$I$17="按面积比例",SUMIF('数据-汇总表'!C$19:C$33,A6,'数据-汇总表'!K$19:K$33),SUMIF('数据-汇总表'!C$19:C$33,A6,'数据-汇总表'!N$19:N$33))</f>
        <v>0</v>
      </c>
      <c r="T6" s="1328">
        <f>ROUND($L$14*S6/10000,0)</f>
        <v>0</v>
      </c>
      <c r="U6" s="70"/>
      <c r="V6" s="71"/>
      <c r="W6" s="71"/>
      <c r="X6" s="1165"/>
      <c r="Y6" s="72"/>
      <c r="Z6" s="73"/>
      <c r="AA6" s="66"/>
      <c r="AB6" s="66"/>
      <c r="AC6" s="1165"/>
      <c r="AD6" s="74"/>
      <c r="AE6" s="1166">
        <f ca="1">IF(AN6="",0,SUMIF(INDIRECT("'"&amp;AN6&amp;"'"&amp;"!E:E"),$AE$5,INDIRECT("'"&amp;AN6&amp;"'"&amp;"!F:F")))</f>
        <v>0</v>
      </c>
      <c r="AF6" s="1525"/>
      <c r="AG6" s="138">
        <f>IF(AF6="",0,AE6-AF6)</f>
        <v>0</v>
      </c>
      <c r="AH6" s="75"/>
      <c r="AI6" s="77"/>
      <c r="AJ6" s="78"/>
      <c r="AK6" s="79"/>
      <c r="AL6" s="80"/>
      <c r="AM6" s="81"/>
      <c r="AN6" s="1893"/>
      <c r="AO6" s="53" t="e">
        <f ca="1">SUMIF(INDIRECT("'"&amp;AN6&amp;"'"&amp;"!A:A"),"总价",INDIRECT("'"&amp;AN6&amp;"'"&amp;"!B:B"))</f>
        <v>#REF!</v>
      </c>
      <c r="AP6" s="1894">
        <f>IF(C6="住宅",K6*L6,0)</f>
        <v>78543100</v>
      </c>
      <c r="AQ6" s="53">
        <f>ROUND($L$14*$N$14*S6/10000,0)</f>
        <v>0</v>
      </c>
      <c r="AR6" s="53">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地下仓储（配套）</v>
      </c>
      <c r="B7" s="1891" t="str">
        <f t="shared" ref="B7:B13" si="1">IF(A7=0,"","经营性")</f>
        <v>经营性</v>
      </c>
      <c r="C7" s="1892" t="s">
        <v>3230</v>
      </c>
      <c r="D7" s="961">
        <f>SUMIF(项目基本情况!D$12:I$12,C7,项目基本情况!D$14:I$14)</f>
        <v>50</v>
      </c>
      <c r="E7" s="960">
        <f>IF(B7="","",SUMIF(项目基本情况!D$12:I$12,C7,项目基本情况!D$13:I$13))</f>
        <v>61205</v>
      </c>
      <c r="F7" s="64">
        <f>SUMIF(项目基本情况!D$12:I$12,C7,项目基本情况!D$15:I$15)</f>
        <v>45.58</v>
      </c>
      <c r="G7" s="65">
        <f t="shared" ref="G7:G11" si="2">IF(ISERROR(ROUND(POWER(1+H7,D7-F7)*(POWER(1+H7,F7)-1)/(POWER(1+H7,D7)-1),3)),0,ROUND(POWER(1+H7,D7-F7)*(POWER(1+H7,F7)-1)/(POWER(1+H7,D7)-1),3))</f>
        <v>0.96899999999999997</v>
      </c>
      <c r="H7" s="736">
        <v>0.04</v>
      </c>
      <c r="I7" s="736">
        <v>5.5E-2</v>
      </c>
      <c r="J7" s="66">
        <v>8.5000000000000006E-2</v>
      </c>
      <c r="K7" s="1155">
        <f>SUMIF('数据-汇总表'!C$19:C$33,A7,'数据-汇总表'!E$19:E$33)</f>
        <v>19826.72</v>
      </c>
      <c r="L7" s="737">
        <f>L6</f>
        <v>5000</v>
      </c>
      <c r="M7" s="67">
        <f t="shared" si="0"/>
        <v>9913</v>
      </c>
      <c r="N7" s="735">
        <f>N6</f>
        <v>0.32</v>
      </c>
      <c r="O7" s="67">
        <f t="shared" ref="O7:O14" si="3">IF($N$5="成新度","——",ROUND(M7*N7,0))</f>
        <v>3172</v>
      </c>
      <c r="P7" s="68">
        <f t="shared" ref="P7:P14" si="4">IF($N$5="成新度","——",M7-O7)</f>
        <v>6741</v>
      </c>
      <c r="Q7" s="738">
        <v>0.1</v>
      </c>
      <c r="R7" s="69">
        <f ca="1">SUMIF('数据-汇总表'!C$19:C$33,A7,'数据-汇总表'!R$19:R$27)</f>
        <v>8082.92</v>
      </c>
      <c r="S7" s="52">
        <f>IF('数据-汇总表'!$I$17="按面积比例",SUMIF('数据-汇总表'!C$19:C$33,A7,'数据-汇总表'!K$19:K$33),SUMIF('数据-汇总表'!C$19:C$33,A7,'数据-汇总表'!N$19:N$33))</f>
        <v>0</v>
      </c>
      <c r="T7" s="1328">
        <f t="shared" ref="T7:T13" si="5">ROUND($L$14*S7/10000,0)</f>
        <v>0</v>
      </c>
      <c r="U7" s="70"/>
      <c r="V7" s="71"/>
      <c r="W7" s="71"/>
      <c r="X7" s="1165"/>
      <c r="Y7" s="72"/>
      <c r="Z7" s="73"/>
      <c r="AA7" s="66"/>
      <c r="AB7" s="66"/>
      <c r="AC7" s="1165"/>
      <c r="AD7" s="74"/>
      <c r="AE7" s="1166">
        <f t="shared" ref="AE7:AE13" ca="1" si="6">IF(AN7="",0,SUMIF(INDIRECT("'"&amp;AN7&amp;"'"&amp;"!E:E"),$AE$5,INDIRECT("'"&amp;AN7&amp;"'"&amp;"!F:F")))</f>
        <v>0</v>
      </c>
      <c r="AF7" s="1525"/>
      <c r="AG7" s="138">
        <f t="shared" ref="AG7:AG13" si="7">IF(AF7="",0,AE7-AF7)</f>
        <v>0</v>
      </c>
      <c r="AH7" s="75"/>
      <c r="AI7" s="77"/>
      <c r="AJ7" s="78"/>
      <c r="AK7" s="79"/>
      <c r="AL7" s="80"/>
      <c r="AM7" s="81"/>
      <c r="AN7" s="1893"/>
      <c r="AO7" s="53" t="e">
        <f t="shared" ref="AO7:AO13" ca="1" si="8">SUMIF(INDIRECT("'"&amp;AN7&amp;"'"&amp;"!A:A"),"总价",INDIRECT("'"&amp;AN7&amp;"'"&amp;"!B:B"))</f>
        <v>#REF!</v>
      </c>
      <c r="AP7" s="1894">
        <f t="shared" ref="AP7:AP14" si="9">IF(C7="住宅",K7*L7,0)</f>
        <v>0</v>
      </c>
      <c r="AQ7" s="53">
        <f t="shared" ref="AQ7:AQ13" si="10">ROUND($L$14*$N$14*S7/10000,0)</f>
        <v>0</v>
      </c>
      <c r="AR7" s="53">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地下车库</v>
      </c>
      <c r="B8" s="1891" t="str">
        <f t="shared" si="1"/>
        <v>经营性</v>
      </c>
      <c r="C8" s="1892" t="s">
        <v>3162</v>
      </c>
      <c r="D8" s="961">
        <f>SUMIF(项目基本情况!D$12:I$12,C8,项目基本情况!D$14:I$14)</f>
        <v>50</v>
      </c>
      <c r="E8" s="960">
        <f>IF(B8="","",SUMIF(项目基本情况!D$12:I$12,C8,项目基本情况!D$13:I$13))</f>
        <v>61205</v>
      </c>
      <c r="F8" s="64">
        <f>SUMIF(项目基本情况!D$12:I$12,C8,项目基本情况!D$15:I$15)</f>
        <v>45.58</v>
      </c>
      <c r="G8" s="65">
        <f t="shared" si="2"/>
        <v>0.96899999999999997</v>
      </c>
      <c r="H8" s="736">
        <v>0.04</v>
      </c>
      <c r="I8" s="736">
        <v>5.5E-2</v>
      </c>
      <c r="J8" s="66">
        <v>8.5000000000000006E-2</v>
      </c>
      <c r="K8" s="1155">
        <f>SUMIF('数据-汇总表'!C$19:C$33,A8,'数据-汇总表'!E$19:E$33)</f>
        <v>10771.04</v>
      </c>
      <c r="L8" s="737">
        <f t="shared" ref="L8:L9" si="12">L7</f>
        <v>5000</v>
      </c>
      <c r="M8" s="67">
        <f>ROUND(K8*L8/10000,0)</f>
        <v>5386</v>
      </c>
      <c r="N8" s="735">
        <f t="shared" ref="N8:N14" si="13">N7</f>
        <v>0.32</v>
      </c>
      <c r="O8" s="67">
        <f t="shared" si="3"/>
        <v>1724</v>
      </c>
      <c r="P8" s="68">
        <f t="shared" si="4"/>
        <v>3662</v>
      </c>
      <c r="Q8" s="738">
        <v>0.05</v>
      </c>
      <c r="R8" s="69">
        <f ca="1">SUMIF('数据-汇总表'!C$19:C$33,A8,'数据-汇总表'!R$19:R$27)</f>
        <v>4391.12</v>
      </c>
      <c r="S8" s="52">
        <f>IF('数据-汇总表'!$I$17="按面积比例",SUMIF('数据-汇总表'!C$19:C$33,A8,'数据-汇总表'!K$19:K$33),SUMIF('数据-汇总表'!C$19:C$33,A8,'数据-汇总表'!N$19:N$33))</f>
        <v>0</v>
      </c>
      <c r="T8" s="1328">
        <f t="shared" si="5"/>
        <v>0</v>
      </c>
      <c r="U8" s="739"/>
      <c r="V8" s="740"/>
      <c r="W8" s="740"/>
      <c r="X8" s="1165"/>
      <c r="Y8" s="741"/>
      <c r="Z8" s="73"/>
      <c r="AA8" s="66"/>
      <c r="AB8" s="66"/>
      <c r="AC8" s="1165"/>
      <c r="AD8" s="74"/>
      <c r="AE8" s="1166">
        <f t="shared" ca="1" si="6"/>
        <v>0</v>
      </c>
      <c r="AF8" s="1525"/>
      <c r="AG8" s="138">
        <f t="shared" si="7"/>
        <v>0</v>
      </c>
      <c r="AH8" s="3152">
        <v>236</v>
      </c>
      <c r="AI8" s="77"/>
      <c r="AJ8" s="78"/>
      <c r="AK8" s="742"/>
      <c r="AL8" s="743"/>
      <c r="AM8" s="744"/>
      <c r="AN8" s="1893"/>
      <c r="AO8" s="53" t="e">
        <f t="shared" ca="1" si="8"/>
        <v>#REF!</v>
      </c>
      <c r="AP8" s="1894">
        <f t="shared" si="9"/>
        <v>0</v>
      </c>
      <c r="AQ8" s="53">
        <f t="shared" si="10"/>
        <v>0</v>
      </c>
      <c r="AR8" s="53">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自持住宅</v>
      </c>
      <c r="B9" s="1891" t="str">
        <f t="shared" si="1"/>
        <v>经营性</v>
      </c>
      <c r="C9" s="1892" t="s">
        <v>3058</v>
      </c>
      <c r="D9" s="961">
        <f>SUMIF(项目基本情况!D$12:I$12,C9,项目基本情况!D$14:I$14)</f>
        <v>70</v>
      </c>
      <c r="E9" s="960">
        <f>IF(B9="","",SUMIF(项目基本情况!D$12:I$12,C9,项目基本情况!D$13:I$13))</f>
        <v>68510</v>
      </c>
      <c r="F9" s="64">
        <f>SUMIF(项目基本情况!D$12:I$12,C9,项目基本情况!D$15:I$15)</f>
        <v>65.59</v>
      </c>
      <c r="G9" s="65">
        <f t="shared" si="2"/>
        <v>0.98699999999999999</v>
      </c>
      <c r="H9" s="66">
        <v>0.04</v>
      </c>
      <c r="I9" s="66">
        <v>5.5E-2</v>
      </c>
      <c r="J9" s="66">
        <v>8.5000000000000006E-2</v>
      </c>
      <c r="K9" s="1155">
        <f>SUMIF('数据-汇总表'!C$19:C$33,A9,'数据-汇总表'!E$19:E$33)</f>
        <v>32537.82</v>
      </c>
      <c r="L9" s="737">
        <f t="shared" si="12"/>
        <v>5000</v>
      </c>
      <c r="M9" s="67">
        <f t="shared" si="0"/>
        <v>16269</v>
      </c>
      <c r="N9" s="735">
        <f t="shared" si="13"/>
        <v>0.32</v>
      </c>
      <c r="O9" s="67">
        <f t="shared" si="3"/>
        <v>5206</v>
      </c>
      <c r="P9" s="68">
        <f t="shared" si="4"/>
        <v>11063</v>
      </c>
      <c r="Q9" s="82">
        <v>0.05</v>
      </c>
      <c r="R9" s="69">
        <f ca="1">SUMIF('数据-汇总表'!C$19:C$33,A9,'数据-汇总表'!R$19:R$27)</f>
        <v>13264.95</v>
      </c>
      <c r="S9" s="52">
        <f>IF('数据-汇总表'!$I$17="按面积比例",SUMIF('数据-汇总表'!C$19:C$33,A9,'数据-汇总表'!K$19:K$33),SUMIF('数据-汇总表'!C$19:C$33,A9,'数据-汇总表'!N$19:N$33))</f>
        <v>0</v>
      </c>
      <c r="T9" s="1328">
        <f t="shared" si="5"/>
        <v>0</v>
      </c>
      <c r="U9" s="70">
        <v>3</v>
      </c>
      <c r="V9" s="3287">
        <v>0</v>
      </c>
      <c r="W9" s="71">
        <v>0.15</v>
      </c>
      <c r="X9" s="1165"/>
      <c r="Y9" s="72">
        <v>1</v>
      </c>
      <c r="Z9" s="73"/>
      <c r="AA9" s="66"/>
      <c r="AB9" s="66"/>
      <c r="AC9" s="1165"/>
      <c r="AD9" s="74"/>
      <c r="AE9" s="1166">
        <f t="shared" ca="1" si="6"/>
        <v>64.19</v>
      </c>
      <c r="AF9" s="1525"/>
      <c r="AG9" s="138">
        <f t="shared" si="7"/>
        <v>0</v>
      </c>
      <c r="AH9" s="75"/>
      <c r="AI9" s="77">
        <v>365</v>
      </c>
      <c r="AJ9" s="78"/>
      <c r="AK9" s="79">
        <v>1.4999999999999999E-2</v>
      </c>
      <c r="AL9" s="80">
        <v>1.5E-3</v>
      </c>
      <c r="AM9" s="81">
        <v>0.02</v>
      </c>
      <c r="AN9" s="1893" t="s">
        <v>5406</v>
      </c>
      <c r="AO9" s="53">
        <f t="shared" ca="1" si="8"/>
        <v>36654</v>
      </c>
      <c r="AP9" s="1894">
        <f t="shared" si="9"/>
        <v>162689100</v>
      </c>
      <c r="AQ9" s="53">
        <f t="shared" si="10"/>
        <v>0</v>
      </c>
      <c r="AR9" s="53">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洋房</v>
      </c>
      <c r="B10" s="1891" t="str">
        <f t="shared" si="1"/>
        <v>经营性</v>
      </c>
      <c r="C10" s="1892" t="s">
        <v>3058</v>
      </c>
      <c r="D10" s="961">
        <f>SUMIF(项目基本情况!D$12:I$12,C10,项目基本情况!D$14:I$14)</f>
        <v>70</v>
      </c>
      <c r="E10" s="960">
        <f>IF(B10="","",SUMIF(项目基本情况!D$12:I$12,C10,项目基本情况!D$13:I$13))</f>
        <v>68510</v>
      </c>
      <c r="F10" s="64">
        <f>SUMIF(项目基本情况!D$12:I$12,C10,项目基本情况!D$15:I$15)</f>
        <v>65.59</v>
      </c>
      <c r="G10" s="65">
        <f t="shared" si="2"/>
        <v>0.98699999999999999</v>
      </c>
      <c r="H10" s="66">
        <v>0.04</v>
      </c>
      <c r="I10" s="66">
        <v>5.5E-2</v>
      </c>
      <c r="J10" s="66">
        <v>8.5000000000000006E-2</v>
      </c>
      <c r="K10" s="1155">
        <f>SUMIF('数据-汇总表'!C$19:C$33,A10,'数据-汇总表'!E$19:E$33)</f>
        <v>1473.1699999999998</v>
      </c>
      <c r="L10" s="737">
        <v>5000</v>
      </c>
      <c r="M10" s="67">
        <f t="shared" si="0"/>
        <v>737</v>
      </c>
      <c r="N10" s="735">
        <f t="shared" si="13"/>
        <v>0.32</v>
      </c>
      <c r="O10" s="67">
        <f t="shared" si="3"/>
        <v>236</v>
      </c>
      <c r="P10" s="68">
        <f t="shared" si="4"/>
        <v>501</v>
      </c>
      <c r="Q10" s="82">
        <v>0.1</v>
      </c>
      <c r="R10" s="69">
        <f ca="1">SUMIF('数据-汇总表'!C$19:C$33,A10,'数据-汇总表'!R$19:R$27)</f>
        <v>600.58000000000004</v>
      </c>
      <c r="S10" s="52">
        <f>IF('数据-汇总表'!$I$17="按面积比例",SUMIF('数据-汇总表'!C$19:C$33,A10,'数据-汇总表'!K$19:K$33),SUMIF('数据-汇总表'!C$19:C$33,A10,'数据-汇总表'!N$19:N$33))</f>
        <v>0</v>
      </c>
      <c r="T10" s="1328">
        <f t="shared" si="5"/>
        <v>0</v>
      </c>
      <c r="U10" s="70"/>
      <c r="V10" s="3287"/>
      <c r="W10" s="71"/>
      <c r="X10" s="1165"/>
      <c r="Y10" s="72"/>
      <c r="Z10" s="73"/>
      <c r="AA10" s="66"/>
      <c r="AB10" s="66"/>
      <c r="AC10" s="1165"/>
      <c r="AD10" s="74"/>
      <c r="AE10" s="1166">
        <f t="shared" ca="1" si="6"/>
        <v>0</v>
      </c>
      <c r="AF10" s="1525"/>
      <c r="AG10" s="138">
        <f t="shared" si="7"/>
        <v>0</v>
      </c>
      <c r="AH10" s="75"/>
      <c r="AI10" s="77"/>
      <c r="AJ10" s="78"/>
      <c r="AK10" s="79"/>
      <c r="AL10" s="80"/>
      <c r="AM10" s="81"/>
      <c r="AN10" s="1893"/>
      <c r="AO10" s="53" t="e">
        <f t="shared" ca="1" si="8"/>
        <v>#REF!</v>
      </c>
      <c r="AP10" s="1894">
        <f t="shared" si="9"/>
        <v>7365849.9999999991</v>
      </c>
      <c r="AQ10" s="53">
        <f t="shared" si="10"/>
        <v>0</v>
      </c>
      <c r="AR10" s="53">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t="str">
        <f>'数据-汇总表'!C24</f>
        <v>地下仓储（洋房配套）</v>
      </c>
      <c r="B11" s="1891" t="str">
        <f t="shared" si="1"/>
        <v>经营性</v>
      </c>
      <c r="C11" s="1892" t="s">
        <v>3230</v>
      </c>
      <c r="D11" s="961">
        <f>SUMIF(项目基本情况!D$12:I$12,C11,项目基本情况!D$14:I$14)</f>
        <v>50</v>
      </c>
      <c r="E11" s="960">
        <f>IF(B11="","",SUMIF(项目基本情况!D$12:I$12,C11,项目基本情况!D$13:I$13))</f>
        <v>61205</v>
      </c>
      <c r="F11" s="64">
        <f>SUMIF(项目基本情况!D$12:I$12,C11,项目基本情况!D$15:I$15)</f>
        <v>45.58</v>
      </c>
      <c r="G11" s="65">
        <f t="shared" si="2"/>
        <v>0.96899999999999997</v>
      </c>
      <c r="H11" s="66">
        <v>0.04</v>
      </c>
      <c r="I11" s="66">
        <v>5.5E-2</v>
      </c>
      <c r="J11" s="66">
        <v>8.5000000000000006E-2</v>
      </c>
      <c r="K11" s="1155">
        <f>SUMIF('数据-汇总表'!C$19:C$33,A11,'数据-汇总表'!E$19:E$33)</f>
        <v>496.05</v>
      </c>
      <c r="L11" s="83">
        <v>5000</v>
      </c>
      <c r="M11" s="67">
        <f t="shared" si="0"/>
        <v>248</v>
      </c>
      <c r="N11" s="735">
        <f t="shared" si="13"/>
        <v>0.32</v>
      </c>
      <c r="O11" s="67">
        <f t="shared" si="3"/>
        <v>79</v>
      </c>
      <c r="P11" s="68">
        <f t="shared" si="4"/>
        <v>169</v>
      </c>
      <c r="Q11" s="82">
        <v>0.1</v>
      </c>
      <c r="R11" s="69">
        <f ca="1">SUMIF('数据-汇总表'!C$19:C$33,A11,'数据-汇总表'!R$19:R$27)</f>
        <v>202.23</v>
      </c>
      <c r="S11" s="52">
        <f>IF('数据-汇总表'!$I$17="按面积比例",SUMIF('数据-汇总表'!C$19:C$33,A11,'数据-汇总表'!K$19:K$33),SUMIF('数据-汇总表'!C$19:C$33,A11,'数据-汇总表'!N$19:N$33))</f>
        <v>0</v>
      </c>
      <c r="T11" s="1328">
        <f t="shared" si="5"/>
        <v>0</v>
      </c>
      <c r="U11" s="75"/>
      <c r="V11" s="66"/>
      <c r="W11" s="66"/>
      <c r="X11" s="1165"/>
      <c r="Y11" s="72"/>
      <c r="Z11" s="84"/>
      <c r="AA11" s="66"/>
      <c r="AB11" s="66"/>
      <c r="AC11" s="1165"/>
      <c r="AD11" s="74"/>
      <c r="AE11" s="1166">
        <f t="shared" ca="1" si="6"/>
        <v>0</v>
      </c>
      <c r="AF11" s="1525"/>
      <c r="AG11" s="138">
        <f t="shared" si="7"/>
        <v>0</v>
      </c>
      <c r="AH11" s="75"/>
      <c r="AI11" s="77"/>
      <c r="AJ11" s="78"/>
      <c r="AK11" s="85"/>
      <c r="AL11" s="86"/>
      <c r="AM11" s="87"/>
      <c r="AN11" s="1893"/>
      <c r="AO11" s="53" t="e">
        <f t="shared" ca="1" si="8"/>
        <v>#REF!</v>
      </c>
      <c r="AP11" s="1894">
        <f t="shared" si="9"/>
        <v>0</v>
      </c>
      <c r="AQ11" s="53">
        <f t="shared" si="10"/>
        <v>0</v>
      </c>
      <c r="AR11" s="53">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t="str">
        <f>'数据-汇总表'!C25</f>
        <v>地下仓储（独立）</v>
      </c>
      <c r="B12" s="1891" t="str">
        <f t="shared" si="1"/>
        <v>经营性</v>
      </c>
      <c r="C12" s="1892" t="s">
        <v>3230</v>
      </c>
      <c r="D12" s="961">
        <f>SUMIF(项目基本情况!D$12:I$12,C12,项目基本情况!D$14:I$14)</f>
        <v>50</v>
      </c>
      <c r="E12" s="960">
        <f>IF(B12="","",SUMIF(项目基本情况!D$12:I$12,C12,项目基本情况!D$13:I$13))</f>
        <v>61205</v>
      </c>
      <c r="F12" s="64">
        <f>SUMIF(项目基本情况!D$12:I$12,C12,项目基本情况!D$15:I$15)</f>
        <v>45.58</v>
      </c>
      <c r="G12" s="65">
        <f>IF(ISERROR(ROUND(POWER(1+H12,D12-F12)*(POWER(1+H12,F12)-1)/(POWER(1+H12,D12)-1),3)),0,ROUND(POWER(1+H12,D12-F12)*(POWER(1+H12,F12)-1)/(POWER(1+H12,D12)-1),3))</f>
        <v>0.96899999999999997</v>
      </c>
      <c r="H12" s="66">
        <v>0.04</v>
      </c>
      <c r="I12" s="66">
        <v>5.5E-2</v>
      </c>
      <c r="J12" s="66">
        <v>8.5000000000000006E-2</v>
      </c>
      <c r="K12" s="1155">
        <f>SUMIF('数据-汇总表'!C$19:C$33,A12,'数据-汇总表'!E$19:E$33)</f>
        <v>4957.7199999999993</v>
      </c>
      <c r="L12" s="83">
        <v>5000</v>
      </c>
      <c r="M12" s="67">
        <f>ROUND(K12*L12/10000,0)</f>
        <v>2479</v>
      </c>
      <c r="N12" s="735">
        <f t="shared" si="13"/>
        <v>0.32</v>
      </c>
      <c r="O12" s="67">
        <f t="shared" si="3"/>
        <v>793</v>
      </c>
      <c r="P12" s="68">
        <f t="shared" si="4"/>
        <v>1686</v>
      </c>
      <c r="Q12" s="82">
        <v>0.05</v>
      </c>
      <c r="R12" s="69">
        <f ca="1">SUMIF('数据-汇总表'!C$19:C$33,A12,'数据-汇总表'!R$19:R$27)</f>
        <v>2021.15</v>
      </c>
      <c r="S12" s="52">
        <f>IF('数据-汇总表'!$I$17="按面积比例",SUMIF('数据-汇总表'!C$19:C$33,A12,'数据-汇总表'!K$19:K$33),SUMIF('数据-汇总表'!C$19:C$33,A12,'数据-汇总表'!N$19:N$33))</f>
        <v>0</v>
      </c>
      <c r="T12" s="1328">
        <f t="shared" si="5"/>
        <v>0</v>
      </c>
      <c r="U12" s="75">
        <v>1.5</v>
      </c>
      <c r="V12" s="66">
        <v>0</v>
      </c>
      <c r="W12" s="66">
        <v>0.15</v>
      </c>
      <c r="X12" s="1165"/>
      <c r="Y12" s="72">
        <v>1</v>
      </c>
      <c r="Z12" s="84"/>
      <c r="AA12" s="66"/>
      <c r="AB12" s="66"/>
      <c r="AC12" s="1165"/>
      <c r="AD12" s="74"/>
      <c r="AE12" s="1166">
        <f t="shared" ca="1" si="6"/>
        <v>44.18</v>
      </c>
      <c r="AF12" s="1525"/>
      <c r="AG12" s="138">
        <f t="shared" si="7"/>
        <v>0</v>
      </c>
      <c r="AH12" s="75"/>
      <c r="AI12" s="77">
        <v>365</v>
      </c>
      <c r="AJ12" s="78"/>
      <c r="AK12" s="85">
        <v>1.4999999999999999E-2</v>
      </c>
      <c r="AL12" s="86">
        <v>1.5E-3</v>
      </c>
      <c r="AM12" s="87">
        <v>0.02</v>
      </c>
      <c r="AN12" s="1893" t="s">
        <v>5495</v>
      </c>
      <c r="AO12" s="53">
        <f t="shared" ca="1" si="8"/>
        <v>2175</v>
      </c>
      <c r="AP12" s="1894">
        <f t="shared" si="9"/>
        <v>0</v>
      </c>
      <c r="AQ12" s="53">
        <f t="shared" si="10"/>
        <v>0</v>
      </c>
      <c r="AR12" s="53">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t="str">
        <f>'数据-汇总表'!C26</f>
        <v>商业</v>
      </c>
      <c r="B13" s="1891" t="str">
        <f t="shared" si="1"/>
        <v>经营性</v>
      </c>
      <c r="C13" s="1892" t="s">
        <v>1343</v>
      </c>
      <c r="D13" s="961">
        <f>SUMIF(项目基本情况!D$12:I$12,C13,项目基本情况!D$14:I$14)</f>
        <v>40</v>
      </c>
      <c r="E13" s="960">
        <f>IF(B13="","",SUMIF(项目基本情况!D$12:I$12,C13,项目基本情况!D$13:I$13))</f>
        <v>57553</v>
      </c>
      <c r="F13" s="64">
        <f>SUMIF(项目基本情况!D$12:I$12,C13,项目基本情况!D$15:I$15)</f>
        <v>35.57</v>
      </c>
      <c r="G13" s="65">
        <f>IF(ISERROR(ROUND(POWER(1+H13,D13-F13)*(POWER(1+H13,F13)-1)/(POWER(1+H13,D13)-1),3)),0,ROUND(POWER(1+H13,D13-F13)*(POWER(1+H13,F13)-1)/(POWER(1+H13,D13)-1),3))</f>
        <v>0.95</v>
      </c>
      <c r="H13" s="66">
        <v>0.04</v>
      </c>
      <c r="I13" s="66">
        <v>5.5E-2</v>
      </c>
      <c r="J13" s="66">
        <v>8.5000000000000006E-2</v>
      </c>
      <c r="K13" s="1155">
        <f>SUMIF('数据-汇总表'!C$19:C$33,A13,'数据-汇总表'!E$19:E$33)</f>
        <v>645.96</v>
      </c>
      <c r="L13" s="83">
        <v>5000</v>
      </c>
      <c r="M13" s="67">
        <f>ROUND(K13*L13/10000,0)</f>
        <v>323</v>
      </c>
      <c r="N13" s="735">
        <f t="shared" si="13"/>
        <v>0.32</v>
      </c>
      <c r="O13" s="67">
        <f t="shared" si="3"/>
        <v>103</v>
      </c>
      <c r="P13" s="68">
        <f t="shared" si="4"/>
        <v>220</v>
      </c>
      <c r="Q13" s="82">
        <v>0.15</v>
      </c>
      <c r="R13" s="69">
        <f ca="1">SUMIF('数据-汇总表'!C$19:C$33,A13,'数据-汇总表'!R$19:R$27)</f>
        <v>263.33999999999997</v>
      </c>
      <c r="S13" s="52">
        <f>IF('数据-汇总表'!$I$17="按面积比例",SUMIF('数据-汇总表'!C$19:C$33,A13,'数据-汇总表'!K$19:K$33),SUMIF('数据-汇总表'!C$19:C$33,A13,'数据-汇总表'!N$19:N$33))</f>
        <v>0</v>
      </c>
      <c r="T13" s="1328">
        <f t="shared" si="5"/>
        <v>0</v>
      </c>
      <c r="U13" s="70">
        <v>6</v>
      </c>
      <c r="V13" s="3287">
        <v>0</v>
      </c>
      <c r="W13" s="71">
        <v>0.15</v>
      </c>
      <c r="X13" s="1165"/>
      <c r="Y13" s="72">
        <v>1</v>
      </c>
      <c r="Z13" s="73"/>
      <c r="AA13" s="66"/>
      <c r="AB13" s="66"/>
      <c r="AC13" s="1165"/>
      <c r="AD13" s="74"/>
      <c r="AE13" s="1166">
        <f t="shared" ca="1" si="6"/>
        <v>34.17</v>
      </c>
      <c r="AF13" s="1525"/>
      <c r="AG13" s="138">
        <f t="shared" si="7"/>
        <v>0</v>
      </c>
      <c r="AH13" s="75"/>
      <c r="AI13" s="77">
        <v>365</v>
      </c>
      <c r="AJ13" s="78"/>
      <c r="AK13" s="79">
        <v>1.4999999999999999E-2</v>
      </c>
      <c r="AL13" s="80">
        <v>1.5E-3</v>
      </c>
      <c r="AM13" s="81">
        <v>0.02</v>
      </c>
      <c r="AN13" s="1893" t="s">
        <v>5684</v>
      </c>
      <c r="AO13" s="53">
        <f t="shared" ca="1" si="8"/>
        <v>1374</v>
      </c>
      <c r="AP13" s="1894">
        <f t="shared" si="9"/>
        <v>0</v>
      </c>
      <c r="AQ13" s="53">
        <f t="shared" si="10"/>
        <v>0</v>
      </c>
      <c r="AR13" s="53">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1890</v>
      </c>
      <c r="B14" s="1891" t="s">
        <v>1891</v>
      </c>
      <c r="C14" s="1896" t="s">
        <v>1890</v>
      </c>
      <c r="D14" s="961"/>
      <c r="E14" s="960"/>
      <c r="F14" s="64"/>
      <c r="G14" s="65"/>
      <c r="H14" s="1154"/>
      <c r="I14" s="1154"/>
      <c r="J14" s="1154"/>
      <c r="K14" s="1155">
        <f>SUMIF('数据-汇总表'!C$19:C$33,A14,'数据-汇总表'!E$19:E$33)</f>
        <v>0</v>
      </c>
      <c r="L14" s="83">
        <v>5000</v>
      </c>
      <c r="M14" s="67">
        <f t="shared" si="0"/>
        <v>0</v>
      </c>
      <c r="N14" s="735">
        <f t="shared" si="13"/>
        <v>0.32</v>
      </c>
      <c r="O14" s="67">
        <f t="shared" si="3"/>
        <v>0</v>
      </c>
      <c r="P14" s="68">
        <f t="shared" si="4"/>
        <v>0</v>
      </c>
      <c r="Q14" s="1158"/>
      <c r="R14" s="69"/>
      <c r="S14" s="52"/>
      <c r="T14" s="1328"/>
      <c r="U14" s="674"/>
      <c r="V14" s="1160"/>
      <c r="W14" s="1160"/>
      <c r="X14" s="1161"/>
      <c r="Y14" s="1162"/>
      <c r="Z14" s="1163"/>
      <c r="AA14" s="1164"/>
      <c r="AB14" s="1164"/>
      <c r="AC14" s="1165"/>
      <c r="AD14" s="1161"/>
      <c r="AE14" s="1166"/>
      <c r="AF14" s="53"/>
      <c r="AG14" s="138"/>
      <c r="AH14" s="1166"/>
      <c r="AI14" s="1534"/>
      <c r="AJ14" s="708"/>
      <c r="AK14" s="1167"/>
      <c r="AL14" s="1168"/>
      <c r="AM14" s="1169"/>
      <c r="AN14" s="2888"/>
      <c r="AO14" s="2890"/>
      <c r="AP14" s="2890">
        <f t="shared" si="9"/>
        <v>0</v>
      </c>
      <c r="AQ14" s="2890"/>
      <c r="AR14" s="289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1892</v>
      </c>
      <c r="B15" s="1891" t="s">
        <v>1891</v>
      </c>
      <c r="C15" s="1896" t="s">
        <v>1893</v>
      </c>
      <c r="D15" s="961"/>
      <c r="E15" s="960"/>
      <c r="F15" s="64"/>
      <c r="G15" s="65"/>
      <c r="H15" s="1154"/>
      <c r="I15" s="1154"/>
      <c r="J15" s="1154"/>
      <c r="K15" s="1155">
        <f>SUMIF('数据-汇总表'!C$19:C$33,A15,'数据-汇总表'!E$19:E$33)</f>
        <v>0</v>
      </c>
      <c r="L15" s="1156"/>
      <c r="M15" s="67"/>
      <c r="N15" s="1157"/>
      <c r="O15" s="67"/>
      <c r="P15" s="68"/>
      <c r="Q15" s="1158"/>
      <c r="R15" s="69"/>
      <c r="S15" s="52"/>
      <c r="T15" s="1328"/>
      <c r="U15" s="674"/>
      <c r="V15" s="1160"/>
      <c r="W15" s="1160"/>
      <c r="X15" s="1161"/>
      <c r="Y15" s="1162"/>
      <c r="Z15" s="1163"/>
      <c r="AA15" s="1164"/>
      <c r="AB15" s="1164"/>
      <c r="AC15" s="1165"/>
      <c r="AD15" s="1161"/>
      <c r="AE15" s="1166"/>
      <c r="AF15" s="53"/>
      <c r="AG15" s="138"/>
      <c r="AH15" s="1166"/>
      <c r="AI15" s="1534"/>
      <c r="AJ15" s="708"/>
      <c r="AK15" s="1167"/>
      <c r="AL15" s="1168"/>
      <c r="AM15" s="1169"/>
      <c r="AN15" s="2888"/>
      <c r="AO15" s="2890"/>
      <c r="AP15" s="2890"/>
      <c r="AQ15" s="2890"/>
      <c r="AR15" s="289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1894</v>
      </c>
      <c r="B16" s="88"/>
      <c r="C16" s="936"/>
      <c r="D16" s="1898"/>
      <c r="E16" s="88"/>
      <c r="F16" s="88"/>
      <c r="G16" s="89">
        <f>ROUND(SUMPRODUCT(G6:G13,K6:K13)/SUMPRODUCT((G6:G13&gt;0)*(K6:K13)),3)</f>
        <v>0.97899999999999998</v>
      </c>
      <c r="H16" s="90">
        <f>ROUND(SUMPRODUCT(H6:H13,K6:K13)/SUMPRODUCT((H6:H13&gt;0)*(K6:K13)),3)</f>
        <v>0.04</v>
      </c>
      <c r="I16" s="91"/>
      <c r="J16" s="91"/>
      <c r="K16" s="92">
        <f>SUM(K6:K15)</f>
        <v>86417.10000000002</v>
      </c>
      <c r="L16" s="93">
        <f>ROUND(M16*10000/SUM(K6:K14),0)</f>
        <v>5000</v>
      </c>
      <c r="M16" s="93">
        <f>SUM(M6:M14)</f>
        <v>43209</v>
      </c>
      <c r="N16" s="94">
        <f>ROUND(SUMPRODUCT(M6:M14,N6:N14)/M16,3)</f>
        <v>0.32</v>
      </c>
      <c r="O16" s="93">
        <f>SUM(O6:O14)</f>
        <v>13826</v>
      </c>
      <c r="P16" s="93">
        <f>SUM(P6:P14)</f>
        <v>29383</v>
      </c>
      <c r="Q16" s="95">
        <f>ROUND(SUMPRODUCT(Q6:Q13,K6:K13)/SUMPRODUCT((Q6:Q13&gt;0)*(K6:K13)),2)</f>
        <v>7.0000000000000007E-2</v>
      </c>
      <c r="R16" s="1159">
        <f ca="1">SUM(R6:R13)</f>
        <v>35230.35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888"/>
      <c r="AO16" s="2890"/>
      <c r="AP16" s="2890"/>
      <c r="AQ16" s="2890"/>
      <c r="AR16" s="289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f>K8/AH8</f>
        <v>45.64</v>
      </c>
      <c r="AI17" s="2888"/>
      <c r="AJ17" s="2888"/>
      <c r="AK17" s="2888"/>
      <c r="AL17" s="2888"/>
      <c r="AM17" s="2888"/>
      <c r="AN17" s="2888"/>
      <c r="AO17" s="2888"/>
      <c r="AP17" s="2888"/>
      <c r="AQ17" s="2888"/>
      <c r="AR17" s="2888"/>
    </row>
    <row r="18" spans="1:67" ht="15" thickBot="1">
      <c r="A18" s="60"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0" t="s">
        <v>1896</v>
      </c>
      <c r="B19" s="103">
        <v>0</v>
      </c>
      <c r="C19" s="3018" t="s">
        <v>3042</v>
      </c>
      <c r="D19" s="2893"/>
      <c r="E19" s="2890"/>
      <c r="F19" s="2890"/>
      <c r="G19" s="2890"/>
      <c r="H19" s="2890"/>
      <c r="I19" s="2890"/>
      <c r="J19" s="2890"/>
      <c r="K19" s="2889"/>
      <c r="L19" s="2889"/>
      <c r="M19" s="2888"/>
      <c r="N19" s="2888"/>
      <c r="O19" s="2888"/>
      <c r="P19" s="2888"/>
      <c r="Q19" s="2888">
        <f>(38366.56*10%+49007.41*10%+22290.46*5%+24860.72*5%+679.36*10%+386.37*10%+2278.42*5%)/137869.3</f>
        <v>8.2073746657160093E-2</v>
      </c>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1" t="s">
        <v>1897</v>
      </c>
      <c r="B20" s="104">
        <v>2</v>
      </c>
      <c r="C20" s="3019" t="s">
        <v>3040</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2" t="s">
        <v>1898</v>
      </c>
      <c r="B21" s="104">
        <v>0.6</v>
      </c>
      <c r="C21" s="2890">
        <f>B20*N16</f>
        <v>0.64</v>
      </c>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1" t="s">
        <v>1899</v>
      </c>
      <c r="B22" s="105">
        <f>B19+B20</f>
        <v>2</v>
      </c>
      <c r="C22" s="2890"/>
      <c r="D22" s="2893"/>
      <c r="E22" s="2890"/>
      <c r="F22" s="2890"/>
      <c r="G22" s="2890"/>
      <c r="H22" s="2890"/>
      <c r="I22" s="2890"/>
      <c r="J22" s="2890"/>
      <c r="K22" s="2889"/>
      <c r="L22" s="2889"/>
      <c r="M22" s="2888"/>
      <c r="N22" s="2888"/>
      <c r="O22" s="2888"/>
      <c r="P22" s="2888"/>
      <c r="Q22" s="2888">
        <f>(38232.8*10%+48839.16*10%+22201.28*5%+24860.72*5%+679.36*10%+386.37*10%+2278.42*5%)/137478.11</f>
        <v>8.2055172274335175E-2</v>
      </c>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2" t="s">
        <v>1900</v>
      </c>
      <c r="B23" s="105">
        <f>B19+B21</f>
        <v>0.6</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03" t="s">
        <v>1901</v>
      </c>
      <c r="B24" s="106">
        <f>B20-B21</f>
        <v>1.4</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35"/>
      <c r="B25" s="1865"/>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1" t="s">
        <v>1902</v>
      </c>
      <c r="B26" s="1904"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6" customFormat="1" ht="27.75">
      <c r="A27" s="1905" t="s">
        <v>1905</v>
      </c>
      <c r="B27" s="107"/>
      <c r="C27" s="3020" t="s">
        <v>3044</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1906</v>
      </c>
      <c r="B28" s="110"/>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1907</v>
      </c>
      <c r="B29" s="112"/>
      <c r="C29" s="3021" t="s">
        <v>3031</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1908</v>
      </c>
      <c r="B30" s="675">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1909</v>
      </c>
      <c r="B31" s="111">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1910</v>
      </c>
      <c r="B32" s="676">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1911</v>
      </c>
      <c r="B33" s="677">
        <v>0.05</v>
      </c>
      <c r="C33" s="3022" t="s">
        <v>3032</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1912</v>
      </c>
      <c r="B34" s="113">
        <v>0.05</v>
      </c>
      <c r="C34" s="3022" t="s">
        <v>3033</v>
      </c>
      <c r="D34" s="2901" t="s">
        <v>3041</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1913</v>
      </c>
      <c r="B35" s="110">
        <v>200</v>
      </c>
      <c r="C35" s="3022" t="s">
        <v>3034</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1914</v>
      </c>
      <c r="B36" s="114">
        <v>1.4999999999999999E-2</v>
      </c>
      <c r="C36" s="3022" t="s">
        <v>3035</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09" t="s">
        <v>1915</v>
      </c>
      <c r="B37" s="115">
        <v>0.03</v>
      </c>
      <c r="C37" s="3022" t="s">
        <v>3036</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7" t="s">
        <v>1916</v>
      </c>
      <c r="B38" s="113">
        <v>0.03</v>
      </c>
      <c r="C38" s="3022" t="s">
        <v>3036</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0" t="s">
        <v>1917</v>
      </c>
      <c r="B39" s="318">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3239</v>
      </c>
      <c r="B40" s="1204">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5" t="s">
        <v>1918</v>
      </c>
      <c r="B41" s="116">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1" t="s">
        <v>1919</v>
      </c>
      <c r="B42" s="117">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1" t="s">
        <v>1920</v>
      </c>
      <c r="B43" s="118">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2" t="s">
        <v>1921</v>
      </c>
      <c r="B44" s="119">
        <v>0.05</v>
      </c>
      <c r="C44" s="3022" t="s">
        <v>3045</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2" t="s">
        <v>1922</v>
      </c>
      <c r="B45" s="117">
        <v>0.03</v>
      </c>
      <c r="C45" s="3021" t="s">
        <v>3037</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2" t="s">
        <v>1923</v>
      </c>
      <c r="B46" s="117">
        <v>0.02</v>
      </c>
      <c r="C46" s="3021" t="s">
        <v>3038</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3" t="s">
        <v>1924</v>
      </c>
      <c r="B47" s="120"/>
      <c r="C47" s="3024" t="s">
        <v>3046</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4" t="s">
        <v>1925</v>
      </c>
      <c r="B48" s="121">
        <v>0.03</v>
      </c>
      <c r="C48" s="3021" t="s">
        <v>3037</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0" t="s">
        <v>1926</v>
      </c>
      <c r="B49" s="117">
        <v>5.0000000000000001E-4</v>
      </c>
      <c r="C49" s="3021" t="s">
        <v>3039</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5" t="s">
        <v>1927</v>
      </c>
      <c r="B50" s="122">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8" t="s">
        <v>1928</v>
      </c>
      <c r="B51" s="123">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5" t="s">
        <v>1929</v>
      </c>
      <c r="B52" s="124">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7" t="s">
        <v>1930</v>
      </c>
      <c r="B53" s="1916" t="s">
        <v>56</v>
      </c>
      <c r="C53" s="2877" t="s">
        <v>1931</v>
      </c>
      <c r="D53" s="3023" t="s">
        <v>3043</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7" t="s">
        <v>1932</v>
      </c>
      <c r="B54" s="76"/>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7" t="s">
        <v>1933</v>
      </c>
      <c r="B55" s="76"/>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7" t="s">
        <v>1934</v>
      </c>
      <c r="B56" s="76"/>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7" t="s">
        <v>1935</v>
      </c>
      <c r="B57" s="76"/>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7" t="s">
        <v>1936</v>
      </c>
      <c r="B58" s="76"/>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7" t="s">
        <v>1937</v>
      </c>
      <c r="B59" s="76">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7" t="s">
        <v>1938</v>
      </c>
      <c r="B60" s="76"/>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7" t="s">
        <v>1939</v>
      </c>
      <c r="B61" s="76"/>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7" t="s">
        <v>1940</v>
      </c>
      <c r="B62" s="76"/>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8" t="s">
        <v>1941</v>
      </c>
      <c r="B63" s="125"/>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5"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5"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5"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5"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5"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5" customFormat="1">
      <c r="A69" s="1919"/>
      <c r="D69" s="1920"/>
      <c r="K69" s="732"/>
      <c r="L69" s="732"/>
    </row>
    <row r="70" spans="1:44" s="895" customFormat="1">
      <c r="A70" s="1919"/>
      <c r="D70" s="1920"/>
      <c r="K70" s="732"/>
      <c r="L70" s="732"/>
    </row>
    <row r="71" spans="1:44" s="895" customFormat="1">
      <c r="A71" s="1919"/>
      <c r="D71" s="1920"/>
      <c r="K71" s="732"/>
      <c r="L71" s="732"/>
    </row>
    <row r="72" spans="1:44" s="895" customFormat="1">
      <c r="A72" s="1919"/>
      <c r="D72" s="1920"/>
      <c r="K72" s="732"/>
      <c r="L72" s="732"/>
    </row>
    <row r="73" spans="1:44" s="895" customFormat="1">
      <c r="A73" s="1919"/>
      <c r="D73" s="1920"/>
      <c r="K73" s="732"/>
      <c r="L73" s="732"/>
    </row>
    <row r="74" spans="1:44" s="895" customFormat="1">
      <c r="A74" s="1919"/>
      <c r="D74" s="1920"/>
      <c r="K74" s="732"/>
      <c r="L74" s="732"/>
    </row>
    <row r="75" spans="1:44" s="895" customFormat="1">
      <c r="A75" s="1919"/>
      <c r="D75" s="1920"/>
      <c r="K75" s="732"/>
      <c r="L75" s="732"/>
    </row>
    <row r="76" spans="1:44" s="895" customFormat="1">
      <c r="A76" s="1919"/>
      <c r="D76" s="1920"/>
      <c r="K76" s="732"/>
      <c r="L76" s="732"/>
    </row>
    <row r="77" spans="1:44" s="895" customFormat="1">
      <c r="A77" s="1919"/>
      <c r="D77" s="1920"/>
      <c r="K77" s="732"/>
      <c r="L77" s="732"/>
    </row>
    <row r="78" spans="1:44" s="895" customFormat="1">
      <c r="A78" s="1919"/>
      <c r="D78" s="1920"/>
      <c r="K78" s="732"/>
      <c r="L78" s="732"/>
    </row>
    <row r="79" spans="1:44" s="895" customFormat="1">
      <c r="A79" s="1919"/>
      <c r="D79" s="1920"/>
      <c r="K79" s="732"/>
      <c r="L79" s="732"/>
    </row>
    <row r="80" spans="1:44" s="895" customFormat="1">
      <c r="A80" s="1919"/>
      <c r="D80" s="1920"/>
      <c r="K80" s="732"/>
      <c r="L80" s="732"/>
    </row>
    <row r="81" spans="1:12" s="895" customFormat="1">
      <c r="A81" s="1919"/>
      <c r="D81" s="1920"/>
      <c r="K81" s="732"/>
      <c r="L81" s="732"/>
    </row>
    <row r="82" spans="1:12" s="895" customFormat="1">
      <c r="A82" s="1919"/>
      <c r="D82" s="1920"/>
      <c r="K82" s="732"/>
      <c r="L82" s="732"/>
    </row>
    <row r="83" spans="1:12" s="895" customFormat="1">
      <c r="A83" s="1919"/>
      <c r="D83" s="1920"/>
      <c r="K83" s="732"/>
      <c r="L83" s="732"/>
    </row>
    <row r="84" spans="1:12" s="895" customFormat="1">
      <c r="A84" s="1919"/>
      <c r="D84" s="1920"/>
      <c r="K84" s="732"/>
      <c r="L84" s="732"/>
    </row>
    <row r="85" spans="1:12" s="895" customFormat="1">
      <c r="A85" s="1919"/>
      <c r="D85" s="1920"/>
      <c r="K85" s="732"/>
      <c r="L85" s="732"/>
    </row>
    <row r="86" spans="1:12" s="895" customFormat="1">
      <c r="A86" s="1919"/>
      <c r="D86" s="1920"/>
      <c r="K86" s="732"/>
      <c r="L86" s="732"/>
    </row>
    <row r="87" spans="1:12" s="895" customFormat="1">
      <c r="A87" s="1919"/>
      <c r="D87" s="1920"/>
      <c r="K87" s="732"/>
      <c r="L87" s="732"/>
    </row>
    <row r="88" spans="1:12" s="895" customFormat="1">
      <c r="A88" s="1919"/>
      <c r="D88" s="1920"/>
      <c r="K88" s="732"/>
      <c r="L88" s="732"/>
    </row>
    <row r="89" spans="1:12" s="895" customFormat="1">
      <c r="A89" s="1919"/>
      <c r="D89" s="1920"/>
      <c r="K89" s="732"/>
      <c r="L89" s="732"/>
    </row>
    <row r="90" spans="1:12" s="895" customFormat="1">
      <c r="A90" s="1919"/>
      <c r="D90" s="1920"/>
      <c r="K90" s="732"/>
      <c r="L90" s="732"/>
    </row>
    <row r="91" spans="1:12" s="895" customFormat="1">
      <c r="A91" s="1919"/>
      <c r="D91" s="1920"/>
      <c r="K91" s="732"/>
      <c r="L91" s="732"/>
    </row>
    <row r="92" spans="1:12" s="895" customFormat="1">
      <c r="A92" s="1919"/>
      <c r="D92" s="1920"/>
      <c r="K92" s="732"/>
      <c r="L92" s="732"/>
    </row>
    <row r="93" spans="1:12" s="895" customFormat="1">
      <c r="A93" s="1919"/>
      <c r="D93" s="1920"/>
      <c r="K93" s="732"/>
      <c r="L93" s="732"/>
    </row>
    <row r="94" spans="1:12" s="895" customFormat="1">
      <c r="A94" s="1919"/>
      <c r="D94" s="1920"/>
      <c r="K94" s="732"/>
      <c r="L94" s="732"/>
    </row>
    <row r="95" spans="1:12" s="895" customFormat="1">
      <c r="A95" s="1919"/>
      <c r="D95" s="1920"/>
      <c r="K95" s="732"/>
      <c r="L95" s="732"/>
    </row>
    <row r="96" spans="1:12" s="895" customFormat="1">
      <c r="A96" s="1919"/>
      <c r="D96" s="1920"/>
      <c r="K96" s="732"/>
      <c r="L96" s="732"/>
    </row>
    <row r="97" spans="1:12" s="895" customFormat="1">
      <c r="A97" s="1919"/>
      <c r="D97" s="1920"/>
      <c r="K97" s="732"/>
      <c r="L97" s="732"/>
    </row>
    <row r="98" spans="1:12" s="895" customFormat="1">
      <c r="A98" s="1919"/>
      <c r="D98" s="1920"/>
      <c r="K98" s="732"/>
      <c r="L98" s="732"/>
    </row>
    <row r="99" spans="1:12" s="895" customFormat="1">
      <c r="A99" s="1919"/>
      <c r="D99" s="1920"/>
      <c r="K99" s="732"/>
      <c r="L99" s="732"/>
    </row>
    <row r="100" spans="1:12" s="895" customFormat="1">
      <c r="A100" s="1919"/>
      <c r="D100" s="1920"/>
      <c r="K100" s="732"/>
      <c r="L100" s="732"/>
    </row>
    <row r="101" spans="1:12" s="895" customFormat="1">
      <c r="A101" s="1919"/>
      <c r="D101" s="1920"/>
      <c r="K101" s="732"/>
      <c r="L101" s="732"/>
    </row>
    <row r="102" spans="1:12" s="895" customFormat="1">
      <c r="A102" s="1919"/>
      <c r="D102" s="1920"/>
      <c r="K102" s="732"/>
      <c r="L102" s="732"/>
    </row>
    <row r="103" spans="1:12" s="895" customFormat="1">
      <c r="A103" s="1919"/>
      <c r="D103" s="1920"/>
      <c r="K103" s="732"/>
      <c r="L103" s="732"/>
    </row>
    <row r="104" spans="1:12" s="895" customFormat="1">
      <c r="A104" s="1919"/>
      <c r="D104" s="1920"/>
      <c r="K104" s="732"/>
      <c r="L104" s="732"/>
    </row>
    <row r="105" spans="1:12" s="895" customFormat="1">
      <c r="A105" s="1919"/>
      <c r="D105" s="1920"/>
      <c r="K105" s="732"/>
      <c r="L105" s="732"/>
    </row>
    <row r="106" spans="1:12" s="895" customFormat="1">
      <c r="A106" s="1919"/>
      <c r="D106" s="1920"/>
      <c r="K106" s="732"/>
      <c r="L106" s="732"/>
    </row>
    <row r="107" spans="1:12" s="895" customFormat="1">
      <c r="A107" s="1919"/>
      <c r="D107" s="1920"/>
      <c r="K107" s="732"/>
      <c r="L107" s="732"/>
    </row>
    <row r="108" spans="1:12" s="895" customFormat="1">
      <c r="A108" s="1919"/>
      <c r="D108" s="1920"/>
      <c r="K108" s="732"/>
      <c r="L108" s="732"/>
    </row>
    <row r="109" spans="1:12" s="895" customFormat="1">
      <c r="A109" s="1919"/>
      <c r="D109" s="1920"/>
      <c r="K109" s="732"/>
      <c r="L109" s="732"/>
    </row>
    <row r="110" spans="1:12" s="895" customFormat="1">
      <c r="A110" s="1919"/>
      <c r="D110" s="1920"/>
      <c r="K110" s="732"/>
      <c r="L110" s="732"/>
    </row>
    <row r="111" spans="1:12" s="895" customFormat="1">
      <c r="A111" s="1919"/>
      <c r="D111" s="1920"/>
      <c r="K111" s="732"/>
      <c r="L111" s="732"/>
    </row>
    <row r="112" spans="1:12" s="895" customFormat="1">
      <c r="A112" s="1919"/>
      <c r="D112" s="1920"/>
      <c r="K112" s="732"/>
      <c r="L112" s="732"/>
    </row>
    <row r="113" spans="1:12" s="895" customFormat="1">
      <c r="A113" s="1919"/>
      <c r="D113" s="1920"/>
      <c r="K113" s="732"/>
      <c r="L113" s="732"/>
    </row>
    <row r="114" spans="1:12" s="895" customFormat="1">
      <c r="A114" s="1919"/>
      <c r="D114" s="1920"/>
      <c r="K114" s="732"/>
      <c r="L114" s="732"/>
    </row>
    <row r="115" spans="1:12" s="895" customFormat="1">
      <c r="A115" s="1919"/>
      <c r="D115" s="1920"/>
      <c r="K115" s="732"/>
      <c r="L115" s="732"/>
    </row>
    <row r="116" spans="1:12" s="895" customFormat="1">
      <c r="A116" s="1919"/>
      <c r="D116" s="1920"/>
      <c r="K116" s="732"/>
      <c r="L116" s="732"/>
    </row>
    <row r="117" spans="1:12" s="895" customFormat="1">
      <c r="A117" s="1919"/>
      <c r="D117" s="1920"/>
      <c r="K117" s="732"/>
      <c r="L117" s="732"/>
    </row>
    <row r="118" spans="1:12" s="895" customFormat="1">
      <c r="A118" s="1919"/>
      <c r="D118" s="1920"/>
      <c r="K118" s="732"/>
      <c r="L118" s="732"/>
    </row>
    <row r="119" spans="1:12" s="895" customFormat="1">
      <c r="A119" s="1919"/>
      <c r="D119" s="1920"/>
      <c r="K119" s="732"/>
      <c r="L119" s="732"/>
    </row>
    <row r="120" spans="1:12" s="895" customFormat="1">
      <c r="A120" s="1919"/>
      <c r="D120" s="1920"/>
      <c r="K120" s="732"/>
      <c r="L120" s="732"/>
    </row>
    <row r="121" spans="1:12" s="895" customFormat="1">
      <c r="A121" s="1919"/>
      <c r="D121" s="1920"/>
      <c r="K121" s="732"/>
      <c r="L121" s="732"/>
    </row>
    <row r="122" spans="1:12" s="895" customFormat="1">
      <c r="A122" s="1919"/>
      <c r="D122" s="1920"/>
      <c r="K122" s="732"/>
      <c r="L122" s="732"/>
    </row>
    <row r="123" spans="1:12" s="895" customFormat="1">
      <c r="A123" s="1919"/>
      <c r="D123" s="1920"/>
      <c r="K123" s="732"/>
      <c r="L123" s="732"/>
    </row>
    <row r="124" spans="1:12" s="895" customFormat="1">
      <c r="A124" s="1919"/>
      <c r="D124" s="1920"/>
      <c r="K124" s="732"/>
      <c r="L124" s="732"/>
    </row>
    <row r="125" spans="1:12" s="895" customFormat="1">
      <c r="A125" s="1919"/>
      <c r="D125" s="1920"/>
      <c r="K125" s="732"/>
      <c r="L125" s="732"/>
    </row>
    <row r="126" spans="1:12" s="895" customFormat="1">
      <c r="A126" s="1919"/>
      <c r="D126" s="1920"/>
      <c r="K126" s="732"/>
      <c r="L126" s="732"/>
    </row>
    <row r="127" spans="1:12" s="895" customFormat="1">
      <c r="A127" s="1919"/>
      <c r="D127" s="1920"/>
      <c r="K127" s="732"/>
      <c r="L127" s="732"/>
    </row>
    <row r="128" spans="1:12" s="895" customFormat="1">
      <c r="A128" s="1919"/>
      <c r="D128" s="1920"/>
      <c r="K128" s="732"/>
      <c r="L128" s="732"/>
    </row>
    <row r="129" spans="1:12" s="895" customFormat="1">
      <c r="A129" s="1919"/>
      <c r="D129" s="1920"/>
      <c r="K129" s="732"/>
      <c r="L129" s="732"/>
    </row>
    <row r="130" spans="1:12" s="895" customFormat="1">
      <c r="A130" s="1919"/>
      <c r="D130" s="1920"/>
      <c r="K130" s="732"/>
      <c r="L130" s="732"/>
    </row>
    <row r="131" spans="1:12" s="895" customFormat="1">
      <c r="A131" s="1919"/>
      <c r="D131" s="1920"/>
      <c r="K131" s="732"/>
      <c r="L131" s="732"/>
    </row>
    <row r="132" spans="1:12" s="895" customFormat="1">
      <c r="A132" s="1919"/>
      <c r="D132" s="1920"/>
      <c r="K132" s="732"/>
      <c r="L132" s="732"/>
    </row>
    <row r="133" spans="1:12" s="895" customFormat="1">
      <c r="A133" s="1919"/>
      <c r="D133" s="1920"/>
      <c r="K133" s="732"/>
      <c r="L133" s="732"/>
    </row>
    <row r="134" spans="1:12" s="1859" customFormat="1">
      <c r="A134" s="1921"/>
      <c r="D134" s="1922"/>
      <c r="K134" s="26"/>
      <c r="L134" s="26"/>
    </row>
    <row r="135" spans="1:12" s="1859" customFormat="1">
      <c r="A135" s="1921"/>
      <c r="D135" s="1922"/>
      <c r="K135" s="26"/>
      <c r="L135" s="26"/>
    </row>
    <row r="136" spans="1:12" s="1859" customFormat="1">
      <c r="A136" s="1921"/>
      <c r="D136" s="1922"/>
      <c r="K136" s="26"/>
      <c r="L136" s="26"/>
    </row>
    <row r="137" spans="1:12" s="1859" customFormat="1">
      <c r="A137" s="1921"/>
      <c r="D137" s="1922"/>
      <c r="K137" s="26"/>
      <c r="L137" s="26"/>
    </row>
    <row r="138" spans="1:12" s="1859" customFormat="1">
      <c r="A138" s="1921"/>
      <c r="D138" s="1922"/>
      <c r="K138" s="26"/>
      <c r="L138" s="26"/>
    </row>
    <row r="139" spans="1:12" s="1859" customFormat="1">
      <c r="A139" s="1921"/>
      <c r="D139" s="1922"/>
      <c r="K139" s="26"/>
      <c r="L139" s="26"/>
    </row>
    <row r="140" spans="1:12" s="1859" customFormat="1">
      <c r="A140" s="1921"/>
      <c r="D140" s="1922"/>
      <c r="K140" s="26"/>
      <c r="L140" s="26"/>
    </row>
    <row r="141" spans="1:12" s="1859" customFormat="1">
      <c r="A141" s="1921"/>
      <c r="D141" s="1922"/>
      <c r="K141" s="26"/>
      <c r="L141" s="26"/>
    </row>
    <row r="142" spans="1:12" s="1859" customFormat="1">
      <c r="A142" s="1921"/>
      <c r="D142" s="1922"/>
      <c r="K142" s="26"/>
      <c r="L142" s="26"/>
    </row>
    <row r="143" spans="1:12" s="1859" customFormat="1">
      <c r="A143" s="1921"/>
      <c r="D143" s="1922"/>
      <c r="K143" s="26"/>
      <c r="L143" s="26"/>
    </row>
    <row r="144" spans="1:12" s="1859" customFormat="1">
      <c r="A144" s="1921"/>
      <c r="D144" s="1922"/>
      <c r="K144" s="26"/>
      <c r="L144" s="26"/>
    </row>
    <row r="145" spans="1:12" s="1859" customFormat="1">
      <c r="A145" s="1921"/>
      <c r="D145" s="1922"/>
      <c r="K145" s="26"/>
      <c r="L145" s="26"/>
    </row>
    <row r="146" spans="1:12" s="1859" customFormat="1">
      <c r="A146" s="1921"/>
      <c r="D146" s="1922"/>
      <c r="K146" s="26"/>
      <c r="L146" s="26"/>
    </row>
    <row r="147" spans="1:12" s="1859" customFormat="1">
      <c r="A147" s="1921"/>
      <c r="D147" s="1922"/>
      <c r="K147" s="26"/>
      <c r="L147" s="26"/>
    </row>
    <row r="148" spans="1:12" s="1859" customFormat="1">
      <c r="A148" s="1921"/>
      <c r="D148" s="1922"/>
      <c r="K148" s="26"/>
      <c r="L148" s="26"/>
    </row>
    <row r="149" spans="1:12" s="1859" customFormat="1">
      <c r="A149" s="1921"/>
      <c r="D149" s="1922"/>
      <c r="K149" s="26"/>
      <c r="L149" s="26"/>
    </row>
    <row r="150" spans="1:12" s="1859" customFormat="1">
      <c r="A150" s="1921"/>
      <c r="D150" s="1922"/>
      <c r="K150" s="26"/>
      <c r="L150" s="26"/>
    </row>
    <row r="151" spans="1:12" s="1859" customFormat="1">
      <c r="A151" s="1921"/>
      <c r="D151" s="1922"/>
      <c r="K151" s="26"/>
      <c r="L151" s="26"/>
    </row>
    <row r="152" spans="1:12" s="1859" customFormat="1">
      <c r="A152" s="1921"/>
      <c r="D152" s="1922"/>
      <c r="K152" s="26"/>
      <c r="L152" s="26"/>
    </row>
    <row r="153" spans="1:12" s="1859" customFormat="1">
      <c r="A153" s="1921"/>
      <c r="D153" s="1922"/>
      <c r="K153" s="26"/>
      <c r="L153" s="26"/>
    </row>
    <row r="154" spans="1:12" s="1859" customFormat="1">
      <c r="A154" s="1921"/>
      <c r="D154" s="1922"/>
      <c r="K154" s="26"/>
      <c r="L154" s="26"/>
    </row>
    <row r="155" spans="1:12" s="1859" customFormat="1">
      <c r="A155" s="1921"/>
      <c r="D155" s="1922"/>
      <c r="K155" s="26"/>
      <c r="L155" s="26"/>
    </row>
    <row r="156" spans="1:12" s="1859" customFormat="1">
      <c r="A156" s="1921"/>
      <c r="D156" s="1922"/>
      <c r="K156" s="26"/>
      <c r="L156" s="26"/>
    </row>
    <row r="157" spans="1:12" s="1859" customFormat="1">
      <c r="A157" s="1921"/>
      <c r="D157" s="1922"/>
      <c r="K157" s="26"/>
      <c r="L157" s="26"/>
    </row>
    <row r="158" spans="1:12" s="1859" customFormat="1">
      <c r="A158" s="1921"/>
      <c r="D158" s="1922"/>
      <c r="K158" s="26"/>
      <c r="L158" s="26"/>
    </row>
    <row r="159" spans="1:12" s="1859" customFormat="1">
      <c r="A159" s="1921"/>
      <c r="D159" s="1922"/>
      <c r="K159" s="26"/>
      <c r="L159" s="26"/>
    </row>
    <row r="160" spans="1:12" s="1859" customFormat="1">
      <c r="A160" s="1921"/>
      <c r="D160" s="1922"/>
      <c r="K160" s="26"/>
      <c r="L160" s="26"/>
    </row>
    <row r="161" spans="1:12" s="1859" customFormat="1">
      <c r="A161" s="1921"/>
      <c r="D161" s="1922"/>
      <c r="K161" s="26"/>
      <c r="L161" s="26"/>
    </row>
    <row r="162" spans="1:12" s="1859" customFormat="1">
      <c r="A162" s="1921"/>
      <c r="D162" s="1922"/>
      <c r="K162" s="26"/>
      <c r="L162" s="26"/>
    </row>
    <row r="163" spans="1:12" s="1859" customFormat="1">
      <c r="A163" s="1921"/>
      <c r="D163" s="1922"/>
      <c r="K163" s="26"/>
      <c r="L163" s="26"/>
    </row>
    <row r="164" spans="1:12" s="1859" customFormat="1">
      <c r="A164" s="1921"/>
      <c r="D164" s="1922"/>
      <c r="K164" s="26"/>
      <c r="L164" s="26"/>
    </row>
    <row r="165" spans="1:12" s="1859" customFormat="1">
      <c r="A165" s="1921"/>
      <c r="D165" s="1922"/>
      <c r="K165" s="26"/>
      <c r="L165" s="26"/>
    </row>
    <row r="166" spans="1:12" s="1859" customFormat="1">
      <c r="A166" s="1921"/>
      <c r="D166" s="1922"/>
      <c r="K166" s="26"/>
      <c r="L166" s="26"/>
    </row>
    <row r="167" spans="1:12" s="1859" customFormat="1">
      <c r="A167" s="1921"/>
      <c r="D167" s="1922"/>
      <c r="K167" s="26"/>
      <c r="L167" s="26"/>
    </row>
    <row r="168" spans="1:12" s="1859" customFormat="1">
      <c r="A168" s="1921"/>
      <c r="D168" s="1922"/>
      <c r="K168" s="26"/>
      <c r="L168" s="26"/>
    </row>
    <row r="169" spans="1:12" s="1859" customFormat="1">
      <c r="A169" s="1921"/>
      <c r="D169" s="1922"/>
      <c r="K169" s="26"/>
      <c r="L169" s="26"/>
    </row>
    <row r="170" spans="1:12" s="1859" customFormat="1">
      <c r="A170" s="1921"/>
      <c r="D170" s="1922"/>
      <c r="K170" s="26"/>
      <c r="L170" s="26"/>
    </row>
    <row r="171" spans="1:12" s="1859" customFormat="1">
      <c r="A171" s="1921"/>
      <c r="D171" s="1922"/>
      <c r="K171" s="26"/>
      <c r="L171" s="26"/>
    </row>
    <row r="172" spans="1:12" s="1859" customFormat="1">
      <c r="A172" s="1921"/>
      <c r="D172" s="1922"/>
      <c r="K172" s="26"/>
      <c r="L172" s="26"/>
    </row>
    <row r="173" spans="1:12" s="1859" customFormat="1">
      <c r="A173" s="1921"/>
      <c r="D173" s="1922"/>
      <c r="K173" s="26"/>
      <c r="L173" s="26"/>
    </row>
    <row r="174" spans="1:12" s="1859" customFormat="1">
      <c r="A174" s="1921"/>
      <c r="D174" s="1922"/>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384"/>
  <sheetViews>
    <sheetView zoomScale="115" zoomScaleNormal="115" workbookViewId="0">
      <selection activeCell="R31" sqref="R31"/>
    </sheetView>
  </sheetViews>
  <sheetFormatPr defaultColWidth="8.875" defaultRowHeight="12"/>
  <cols>
    <col min="1" max="5" width="8.875" style="3070"/>
    <col min="6" max="6" width="10.375" style="3070" customWidth="1"/>
    <col min="7" max="9" width="8.875" style="3070"/>
    <col min="10" max="13" width="8.875" style="1221" customWidth="1"/>
    <col min="14" max="14" width="14.375" style="1221" customWidth="1"/>
    <col min="15" max="15" width="9.125" style="3121" customWidth="1"/>
    <col min="16" max="16" width="8.875" style="3070"/>
    <col min="17" max="17" width="10.25" style="3070" customWidth="1"/>
    <col min="18" max="19" width="8.875" style="3070"/>
    <col min="20" max="20" width="14.375" style="3070" customWidth="1"/>
    <col min="21" max="16384" width="8.875" style="3070"/>
  </cols>
  <sheetData>
    <row r="1" spans="1:21" ht="24">
      <c r="A1" s="3068"/>
      <c r="B1" s="3116" t="s">
        <v>3489</v>
      </c>
      <c r="C1" s="3117" t="s">
        <v>3171</v>
      </c>
      <c r="D1" s="3116" t="s">
        <v>3172</v>
      </c>
      <c r="E1" s="3069" t="s">
        <v>3490</v>
      </c>
      <c r="F1" s="3069" t="s">
        <v>3491</v>
      </c>
      <c r="H1" s="3070" t="s">
        <v>1341</v>
      </c>
      <c r="I1" s="3070" t="s">
        <v>3238</v>
      </c>
      <c r="J1" s="3069" t="s">
        <v>3492</v>
      </c>
      <c r="K1" s="3069" t="s">
        <v>3493</v>
      </c>
      <c r="L1" s="3069" t="s">
        <v>3494</v>
      </c>
      <c r="M1" s="3069" t="s">
        <v>3495</v>
      </c>
      <c r="N1" s="3068" t="s">
        <v>3496</v>
      </c>
      <c r="O1" s="3120"/>
      <c r="P1" s="3070" t="s">
        <v>1341</v>
      </c>
      <c r="Q1" s="3070" t="s">
        <v>3236</v>
      </c>
      <c r="R1" s="3070" t="s">
        <v>3237</v>
      </c>
      <c r="S1" s="3070" t="s">
        <v>3238</v>
      </c>
    </row>
    <row r="2" spans="1:21" ht="24">
      <c r="A2" s="3398">
        <v>1</v>
      </c>
      <c r="B2" s="3071">
        <v>1</v>
      </c>
      <c r="C2" s="3072" t="s">
        <v>3497</v>
      </c>
      <c r="D2" s="3118" t="s">
        <v>3498</v>
      </c>
      <c r="E2" s="3119">
        <v>180.92</v>
      </c>
      <c r="F2" s="3119">
        <v>11494390</v>
      </c>
      <c r="G2" s="3070" t="s">
        <v>3173</v>
      </c>
      <c r="H2" s="3070" t="s">
        <v>3058</v>
      </c>
      <c r="I2" s="3070">
        <f>ROUND(F2/E2,0)</f>
        <v>63533</v>
      </c>
      <c r="J2" s="3404">
        <v>3</v>
      </c>
      <c r="K2" s="3404">
        <v>1</v>
      </c>
      <c r="L2" s="3404">
        <f>E2</f>
        <v>180.92</v>
      </c>
      <c r="M2" s="3404">
        <f>E3+E4</f>
        <v>227.45999999999998</v>
      </c>
      <c r="N2" s="3404">
        <f>L2+M2</f>
        <v>408.38</v>
      </c>
      <c r="P2" s="3070" t="s">
        <v>3058</v>
      </c>
      <c r="Q2" s="3070">
        <v>2300984547</v>
      </c>
      <c r="R2" s="3070">
        <f>38099.64+U18</f>
        <v>38232.800000000003</v>
      </c>
      <c r="S2" s="3070">
        <f>ROUND(Q2/R2,0)</f>
        <v>60184</v>
      </c>
    </row>
    <row r="3" spans="1:21" ht="24">
      <c r="A3" s="3399"/>
      <c r="B3" s="3071">
        <v>1</v>
      </c>
      <c r="C3" s="3072" t="s">
        <v>3499</v>
      </c>
      <c r="D3" s="3118" t="s">
        <v>3500</v>
      </c>
      <c r="E3" s="3119">
        <v>116.25</v>
      </c>
      <c r="F3" s="3119">
        <v>3487500</v>
      </c>
      <c r="G3" s="3070" t="s">
        <v>3501</v>
      </c>
      <c r="H3" s="3070" t="s">
        <v>3230</v>
      </c>
      <c r="I3" s="3070">
        <f t="shared" ref="I3:I66" si="0">ROUND(F3/E3,0)</f>
        <v>30000</v>
      </c>
      <c r="J3" s="3404"/>
      <c r="K3" s="3404"/>
      <c r="L3" s="3404"/>
      <c r="M3" s="3404"/>
      <c r="N3" s="3404"/>
      <c r="P3" s="3070" t="s">
        <v>3230</v>
      </c>
      <c r="Q3" s="3070">
        <v>1460172600</v>
      </c>
      <c r="R3" s="3070">
        <f>48672.42+U19+U20</f>
        <v>48839.159999999996</v>
      </c>
      <c r="S3" s="3070">
        <f>ROUND(Q3/R3,0)</f>
        <v>29898</v>
      </c>
    </row>
    <row r="4" spans="1:21">
      <c r="A4" s="3399"/>
      <c r="B4" s="3071">
        <v>1</v>
      </c>
      <c r="C4" s="3072">
        <v>-202</v>
      </c>
      <c r="D4" s="3118" t="s">
        <v>3502</v>
      </c>
      <c r="E4" s="3119">
        <v>111.21</v>
      </c>
      <c r="F4" s="3119">
        <v>3336300</v>
      </c>
      <c r="G4" s="3070" t="s">
        <v>3503</v>
      </c>
      <c r="H4" s="3070" t="s">
        <v>3230</v>
      </c>
      <c r="I4" s="3070">
        <f t="shared" si="0"/>
        <v>30000</v>
      </c>
      <c r="J4" s="3404"/>
      <c r="K4" s="3404"/>
      <c r="L4" s="3404"/>
      <c r="M4" s="3404"/>
      <c r="N4" s="3404"/>
      <c r="P4" s="3070" t="s">
        <v>3174</v>
      </c>
      <c r="Q4" s="3070">
        <f>500*420000</f>
        <v>210000000</v>
      </c>
      <c r="R4" s="3070">
        <v>22201.280000000061</v>
      </c>
      <c r="S4" s="3070">
        <f>ROUND(Q4/R4,0)</f>
        <v>9459</v>
      </c>
      <c r="T4" s="3070" t="s">
        <v>5535</v>
      </c>
    </row>
    <row r="5" spans="1:21">
      <c r="A5" s="3399"/>
      <c r="B5" s="3071">
        <v>1</v>
      </c>
      <c r="C5" s="3071" t="s">
        <v>3504</v>
      </c>
      <c r="D5" s="3118" t="s">
        <v>3505</v>
      </c>
      <c r="E5" s="3071">
        <v>44.59</v>
      </c>
      <c r="F5" s="3071">
        <v>420000</v>
      </c>
      <c r="G5" s="3070" t="s">
        <v>3174</v>
      </c>
      <c r="H5" s="3070" t="s">
        <v>3174</v>
      </c>
      <c r="I5" s="3070">
        <f t="shared" si="0"/>
        <v>9419</v>
      </c>
      <c r="J5" s="3404"/>
      <c r="K5" s="3404"/>
      <c r="L5" s="3404"/>
      <c r="M5" s="3404"/>
      <c r="N5" s="3404"/>
      <c r="Q5" s="3070">
        <f>SUM(Q2:Q4)</f>
        <v>3971157147</v>
      </c>
      <c r="R5" s="3070">
        <f>SUM(R2:R4)</f>
        <v>109273.24000000005</v>
      </c>
    </row>
    <row r="6" spans="1:21">
      <c r="A6" s="3400"/>
      <c r="B6" s="3071">
        <v>1</v>
      </c>
      <c r="C6" s="3071" t="s">
        <v>3506</v>
      </c>
      <c r="D6" s="3118" t="s">
        <v>3507</v>
      </c>
      <c r="E6" s="3071">
        <v>44.59</v>
      </c>
      <c r="F6" s="3071">
        <v>420000</v>
      </c>
      <c r="G6" s="3070" t="s">
        <v>3174</v>
      </c>
      <c r="H6" s="3070" t="s">
        <v>3174</v>
      </c>
      <c r="I6" s="3070">
        <f t="shared" si="0"/>
        <v>9419</v>
      </c>
      <c r="J6" s="3404"/>
      <c r="K6" s="3404"/>
      <c r="L6" s="3404"/>
      <c r="M6" s="3404"/>
      <c r="N6" s="3404"/>
      <c r="R6" s="3070">
        <f>T16</f>
        <v>1065.73</v>
      </c>
    </row>
    <row r="7" spans="1:21" ht="24">
      <c r="A7" s="3398">
        <v>2</v>
      </c>
      <c r="B7" s="3071">
        <v>2</v>
      </c>
      <c r="C7" s="3072" t="s">
        <v>3508</v>
      </c>
      <c r="D7" s="3118" t="s">
        <v>3509</v>
      </c>
      <c r="E7" s="3119">
        <v>133.36000000000001</v>
      </c>
      <c r="F7" s="3119">
        <v>8472760</v>
      </c>
      <c r="G7" s="3070" t="s">
        <v>3173</v>
      </c>
      <c r="H7" s="3070" t="s">
        <v>3058</v>
      </c>
      <c r="I7" s="3070">
        <f t="shared" si="0"/>
        <v>63533</v>
      </c>
      <c r="J7" s="3404">
        <v>8</v>
      </c>
      <c r="K7" s="3404">
        <v>7</v>
      </c>
      <c r="L7" s="3401">
        <f>E7+E12+E17+E22+E27+E32+E37</f>
        <v>933.71000000000015</v>
      </c>
      <c r="M7" s="3401">
        <f>E8+E9+E13+E14+E18+E19+E23+E24+E28+E29+E33+E34+E38+E39</f>
        <v>1173.75</v>
      </c>
      <c r="N7" s="3404">
        <f>L7+M7</f>
        <v>2107.46</v>
      </c>
      <c r="R7" s="3070">
        <f>R5+R6</f>
        <v>110338.97000000004</v>
      </c>
    </row>
    <row r="8" spans="1:21" ht="24">
      <c r="A8" s="3399"/>
      <c r="B8" s="3071">
        <v>2</v>
      </c>
      <c r="C8" s="3072" t="s">
        <v>3510</v>
      </c>
      <c r="D8" s="3118" t="s">
        <v>3511</v>
      </c>
      <c r="E8" s="3119">
        <v>83.71</v>
      </c>
      <c r="F8" s="3119">
        <v>2511300</v>
      </c>
      <c r="G8" s="3070" t="s">
        <v>3501</v>
      </c>
      <c r="H8" s="3070" t="s">
        <v>3230</v>
      </c>
      <c r="I8" s="3070">
        <f t="shared" si="0"/>
        <v>30000</v>
      </c>
      <c r="J8" s="3404"/>
      <c r="K8" s="3404"/>
      <c r="L8" s="3402"/>
      <c r="M8" s="3402"/>
      <c r="N8" s="3404"/>
      <c r="O8" s="3404"/>
      <c r="P8" s="3188">
        <v>59</v>
      </c>
      <c r="Q8" s="3188">
        <v>1</v>
      </c>
      <c r="R8" s="3188">
        <v>102</v>
      </c>
      <c r="S8" s="3150" t="s">
        <v>5512</v>
      </c>
      <c r="T8" s="3188">
        <v>169.05</v>
      </c>
      <c r="U8" s="3070">
        <f>T8+T10+T12+T14</f>
        <v>679.36</v>
      </c>
    </row>
    <row r="9" spans="1:21" ht="14.25">
      <c r="A9" s="3399"/>
      <c r="B9" s="3071">
        <v>2</v>
      </c>
      <c r="C9" s="3072">
        <v>-201</v>
      </c>
      <c r="D9" s="3118" t="s">
        <v>3512</v>
      </c>
      <c r="E9" s="3119">
        <v>83.31</v>
      </c>
      <c r="F9" s="3119">
        <v>2499300</v>
      </c>
      <c r="G9" s="3070" t="s">
        <v>3503</v>
      </c>
      <c r="H9" s="3070" t="s">
        <v>3230</v>
      </c>
      <c r="I9" s="3070">
        <f t="shared" si="0"/>
        <v>30000</v>
      </c>
      <c r="J9" s="3404"/>
      <c r="K9" s="3404"/>
      <c r="L9" s="3402"/>
      <c r="M9" s="3402"/>
      <c r="N9" s="3404"/>
      <c r="O9" s="3404"/>
      <c r="P9" s="3188">
        <v>59</v>
      </c>
      <c r="Q9" s="3188">
        <v>1</v>
      </c>
      <c r="R9" s="3188">
        <v>102</v>
      </c>
      <c r="S9" s="3150" t="s">
        <v>5513</v>
      </c>
      <c r="T9" s="3188">
        <v>96.15</v>
      </c>
      <c r="U9" s="3070">
        <f>T9+T11+T13+T15</f>
        <v>386.37</v>
      </c>
    </row>
    <row r="10" spans="1:21" ht="14.25">
      <c r="A10" s="3399"/>
      <c r="B10" s="3071">
        <v>2</v>
      </c>
      <c r="C10" s="3071" t="s">
        <v>3513</v>
      </c>
      <c r="D10" s="3118" t="s">
        <v>3514</v>
      </c>
      <c r="E10" s="3071">
        <v>44.59</v>
      </c>
      <c r="F10" s="3071">
        <v>420000</v>
      </c>
      <c r="G10" s="3070" t="s">
        <v>3174</v>
      </c>
      <c r="H10" s="3070" t="s">
        <v>3174</v>
      </c>
      <c r="I10" s="3070">
        <f t="shared" si="0"/>
        <v>9419</v>
      </c>
      <c r="J10" s="3404"/>
      <c r="K10" s="3404"/>
      <c r="L10" s="3402"/>
      <c r="M10" s="3402"/>
      <c r="N10" s="3404"/>
      <c r="O10" s="3404"/>
      <c r="P10" s="3188">
        <v>59</v>
      </c>
      <c r="Q10" s="3188">
        <v>3</v>
      </c>
      <c r="R10" s="3188">
        <v>101</v>
      </c>
      <c r="S10" s="3150" t="s">
        <v>5512</v>
      </c>
      <c r="T10" s="3188">
        <v>168.94</v>
      </c>
    </row>
    <row r="11" spans="1:21" ht="14.25">
      <c r="A11" s="3400"/>
      <c r="B11" s="3071">
        <v>2</v>
      </c>
      <c r="C11" s="3071" t="s">
        <v>3515</v>
      </c>
      <c r="D11" s="3118" t="s">
        <v>3516</v>
      </c>
      <c r="E11" s="3071">
        <v>44.59</v>
      </c>
      <c r="F11" s="3071">
        <v>420000</v>
      </c>
      <c r="G11" s="3070" t="s">
        <v>3174</v>
      </c>
      <c r="H11" s="3070" t="s">
        <v>3174</v>
      </c>
      <c r="I11" s="3070">
        <f t="shared" si="0"/>
        <v>9419</v>
      </c>
      <c r="J11" s="3404"/>
      <c r="K11" s="3404"/>
      <c r="L11" s="3402"/>
      <c r="M11" s="3402"/>
      <c r="N11" s="3404"/>
      <c r="O11" s="3404"/>
      <c r="P11" s="3188">
        <v>59</v>
      </c>
      <c r="Q11" s="3188">
        <v>3</v>
      </c>
      <c r="R11" s="3188">
        <v>101</v>
      </c>
      <c r="S11" s="3150" t="s">
        <v>5513</v>
      </c>
      <c r="T11" s="3188">
        <v>96.08</v>
      </c>
    </row>
    <row r="12" spans="1:21" ht="24">
      <c r="A12" s="3398">
        <v>3</v>
      </c>
      <c r="B12" s="3071">
        <v>2</v>
      </c>
      <c r="C12" s="3072" t="s">
        <v>3497</v>
      </c>
      <c r="D12" s="3118" t="s">
        <v>3517</v>
      </c>
      <c r="E12" s="3119">
        <v>133.36000000000001</v>
      </c>
      <c r="F12" s="3119">
        <v>7722744</v>
      </c>
      <c r="G12" s="3070" t="s">
        <v>3173</v>
      </c>
      <c r="H12" s="3070" t="s">
        <v>3058</v>
      </c>
      <c r="I12" s="3070">
        <f t="shared" si="0"/>
        <v>57909</v>
      </c>
      <c r="J12" s="3404"/>
      <c r="K12" s="3404"/>
      <c r="L12" s="3402"/>
      <c r="M12" s="3402"/>
      <c r="N12" s="3404"/>
      <c r="O12" s="3404"/>
      <c r="P12" s="3188">
        <v>60</v>
      </c>
      <c r="Q12" s="3188">
        <v>2</v>
      </c>
      <c r="R12" s="3188">
        <v>102</v>
      </c>
      <c r="S12" s="3150" t="s">
        <v>5512</v>
      </c>
      <c r="T12" s="3188">
        <v>169.51</v>
      </c>
    </row>
    <row r="13" spans="1:21" ht="24">
      <c r="A13" s="3399"/>
      <c r="B13" s="3071">
        <v>2</v>
      </c>
      <c r="C13" s="3072" t="s">
        <v>3499</v>
      </c>
      <c r="D13" s="3118" t="s">
        <v>3518</v>
      </c>
      <c r="E13" s="3119">
        <v>83.86</v>
      </c>
      <c r="F13" s="3119">
        <v>2515800</v>
      </c>
      <c r="G13" s="3070" t="s">
        <v>3501</v>
      </c>
      <c r="H13" s="3070" t="s">
        <v>3230</v>
      </c>
      <c r="I13" s="3070">
        <f t="shared" si="0"/>
        <v>30000</v>
      </c>
      <c r="J13" s="3404"/>
      <c r="K13" s="3404"/>
      <c r="L13" s="3402"/>
      <c r="M13" s="3402"/>
      <c r="N13" s="3404"/>
      <c r="O13" s="3404"/>
      <c r="P13" s="3188">
        <v>60</v>
      </c>
      <c r="Q13" s="3188">
        <v>2</v>
      </c>
      <c r="R13" s="3188">
        <v>102</v>
      </c>
      <c r="S13" s="3150" t="s">
        <v>5513</v>
      </c>
      <c r="T13" s="3188">
        <v>96.4</v>
      </c>
    </row>
    <row r="14" spans="1:21" ht="14.25">
      <c r="A14" s="3399"/>
      <c r="B14" s="3071">
        <v>2</v>
      </c>
      <c r="C14" s="3072">
        <v>-202</v>
      </c>
      <c r="D14" s="3118" t="s">
        <v>3519</v>
      </c>
      <c r="E14" s="3119">
        <v>84.03</v>
      </c>
      <c r="F14" s="3119">
        <v>2520900</v>
      </c>
      <c r="G14" s="3070" t="s">
        <v>3503</v>
      </c>
      <c r="H14" s="3070" t="s">
        <v>3230</v>
      </c>
      <c r="I14" s="3070">
        <f t="shared" si="0"/>
        <v>30000</v>
      </c>
      <c r="J14" s="3404"/>
      <c r="K14" s="3404"/>
      <c r="L14" s="3402"/>
      <c r="M14" s="3402"/>
      <c r="N14" s="3404"/>
      <c r="O14" s="3404"/>
      <c r="P14" s="3188">
        <v>61</v>
      </c>
      <c r="Q14" s="3188">
        <v>3</v>
      </c>
      <c r="R14" s="3188">
        <v>102</v>
      </c>
      <c r="S14" s="3150" t="s">
        <v>5512</v>
      </c>
      <c r="T14" s="3188">
        <v>171.86</v>
      </c>
    </row>
    <row r="15" spans="1:21" ht="14.25">
      <c r="A15" s="3399"/>
      <c r="B15" s="3071">
        <v>2</v>
      </c>
      <c r="C15" s="3071" t="s">
        <v>3520</v>
      </c>
      <c r="D15" s="3118" t="s">
        <v>3521</v>
      </c>
      <c r="E15" s="3071">
        <v>44.59</v>
      </c>
      <c r="F15" s="3071">
        <v>420000</v>
      </c>
      <c r="G15" s="3070" t="s">
        <v>3174</v>
      </c>
      <c r="H15" s="3070" t="s">
        <v>3174</v>
      </c>
      <c r="I15" s="3070">
        <f t="shared" si="0"/>
        <v>9419</v>
      </c>
      <c r="J15" s="3404"/>
      <c r="K15" s="3404"/>
      <c r="L15" s="3402"/>
      <c r="M15" s="3402"/>
      <c r="N15" s="3404"/>
      <c r="O15" s="3404"/>
      <c r="P15" s="3188">
        <v>61</v>
      </c>
      <c r="Q15" s="3188">
        <v>3</v>
      </c>
      <c r="R15" s="3188">
        <v>102</v>
      </c>
      <c r="S15" s="3150" t="s">
        <v>5513</v>
      </c>
      <c r="T15" s="3188">
        <v>97.74</v>
      </c>
    </row>
    <row r="16" spans="1:21">
      <c r="A16" s="3400"/>
      <c r="B16" s="3071">
        <v>2</v>
      </c>
      <c r="C16" s="3071" t="s">
        <v>3522</v>
      </c>
      <c r="D16" s="3118" t="s">
        <v>3523</v>
      </c>
      <c r="E16" s="3071">
        <v>44.59</v>
      </c>
      <c r="F16" s="3071">
        <v>420000</v>
      </c>
      <c r="G16" s="3070" t="s">
        <v>3174</v>
      </c>
      <c r="H16" s="3070" t="s">
        <v>3174</v>
      </c>
      <c r="I16" s="3070">
        <f t="shared" si="0"/>
        <v>9419</v>
      </c>
      <c r="J16" s="3404"/>
      <c r="K16" s="3404"/>
      <c r="L16" s="3402"/>
      <c r="M16" s="3402"/>
      <c r="N16" s="3404"/>
      <c r="T16" s="3070">
        <f>SUM(T8:T15)</f>
        <v>1065.73</v>
      </c>
    </row>
    <row r="17" spans="1:25" ht="24">
      <c r="A17" s="3398">
        <v>4</v>
      </c>
      <c r="B17" s="3071">
        <v>2</v>
      </c>
      <c r="C17" s="3072" t="s">
        <v>3524</v>
      </c>
      <c r="D17" s="3118" t="s">
        <v>3525</v>
      </c>
      <c r="E17" s="3119">
        <v>133.36000000000001</v>
      </c>
      <c r="F17" s="3119">
        <v>7722744</v>
      </c>
      <c r="G17" s="3070" t="s">
        <v>3173</v>
      </c>
      <c r="H17" s="3070" t="s">
        <v>3058</v>
      </c>
      <c r="I17" s="3070">
        <f t="shared" si="0"/>
        <v>57909</v>
      </c>
      <c r="J17" s="3404"/>
      <c r="K17" s="3404"/>
      <c r="L17" s="3402"/>
      <c r="M17" s="3402"/>
      <c r="N17" s="3404"/>
    </row>
    <row r="18" spans="1:25" ht="24">
      <c r="A18" s="3399"/>
      <c r="B18" s="3071">
        <v>2</v>
      </c>
      <c r="C18" s="3072" t="s">
        <v>3526</v>
      </c>
      <c r="D18" s="3118" t="s">
        <v>3527</v>
      </c>
      <c r="E18" s="3119">
        <v>83.86</v>
      </c>
      <c r="F18" s="3119">
        <v>2515800</v>
      </c>
      <c r="G18" s="3070" t="s">
        <v>3501</v>
      </c>
      <c r="H18" s="3070" t="s">
        <v>3230</v>
      </c>
      <c r="I18" s="3070">
        <f t="shared" si="0"/>
        <v>30000</v>
      </c>
      <c r="J18" s="3404"/>
      <c r="K18" s="3404"/>
      <c r="L18" s="3402"/>
      <c r="M18" s="3402"/>
      <c r="N18" s="3404"/>
      <c r="P18" s="3176">
        <v>21</v>
      </c>
      <c r="Q18" s="3398">
        <v>53</v>
      </c>
      <c r="R18" s="3177">
        <v>13</v>
      </c>
      <c r="S18" s="3178" t="s">
        <v>3508</v>
      </c>
      <c r="T18" s="3179" t="s">
        <v>5498</v>
      </c>
      <c r="U18" s="3178">
        <v>133.16</v>
      </c>
      <c r="V18" s="3178">
        <v>8460054</v>
      </c>
      <c r="W18" s="3180" t="s">
        <v>3173</v>
      </c>
      <c r="X18" s="3180" t="s">
        <v>3058</v>
      </c>
      <c r="Y18" s="3180">
        <v>63533</v>
      </c>
    </row>
    <row r="19" spans="1:25" ht="24">
      <c r="A19" s="3399"/>
      <c r="B19" s="3071">
        <v>2</v>
      </c>
      <c r="C19" s="3072">
        <v>-203</v>
      </c>
      <c r="D19" s="3118" t="s">
        <v>3528</v>
      </c>
      <c r="E19" s="3119">
        <v>84.03</v>
      </c>
      <c r="F19" s="3119">
        <v>2520900</v>
      </c>
      <c r="G19" s="3070" t="s">
        <v>3503</v>
      </c>
      <c r="H19" s="3070" t="s">
        <v>3230</v>
      </c>
      <c r="I19" s="3070">
        <f t="shared" si="0"/>
        <v>30000</v>
      </c>
      <c r="J19" s="3404"/>
      <c r="K19" s="3404"/>
      <c r="L19" s="3402"/>
      <c r="M19" s="3402"/>
      <c r="N19" s="3404"/>
      <c r="P19" s="3176">
        <v>21</v>
      </c>
      <c r="Q19" s="3399"/>
      <c r="R19" s="3177">
        <v>13</v>
      </c>
      <c r="S19" s="3178" t="s">
        <v>3510</v>
      </c>
      <c r="T19" s="3179" t="s">
        <v>5499</v>
      </c>
      <c r="U19" s="3178">
        <v>83.59</v>
      </c>
      <c r="V19" s="3178">
        <v>2507700</v>
      </c>
      <c r="W19" s="3180" t="s">
        <v>3501</v>
      </c>
      <c r="X19" s="3180" t="s">
        <v>3230</v>
      </c>
      <c r="Y19" s="3180">
        <v>30000</v>
      </c>
    </row>
    <row r="20" spans="1:25">
      <c r="A20" s="3399"/>
      <c r="B20" s="3071">
        <v>2</v>
      </c>
      <c r="C20" s="3071" t="s">
        <v>3529</v>
      </c>
      <c r="D20" s="3118" t="s">
        <v>3530</v>
      </c>
      <c r="E20" s="3071">
        <v>44.59</v>
      </c>
      <c r="F20" s="3071">
        <v>420000</v>
      </c>
      <c r="G20" s="3070" t="s">
        <v>3174</v>
      </c>
      <c r="H20" s="3070" t="s">
        <v>3174</v>
      </c>
      <c r="I20" s="3070">
        <f t="shared" si="0"/>
        <v>9419</v>
      </c>
      <c r="J20" s="3404"/>
      <c r="K20" s="3404"/>
      <c r="L20" s="3402"/>
      <c r="M20" s="3402"/>
      <c r="N20" s="3404"/>
      <c r="P20" s="3176">
        <v>21</v>
      </c>
      <c r="Q20" s="3399"/>
      <c r="R20" s="3177">
        <v>13</v>
      </c>
      <c r="S20" s="3178">
        <v>-201</v>
      </c>
      <c r="T20" s="3179" t="s">
        <v>5500</v>
      </c>
      <c r="U20" s="3178">
        <v>83.15</v>
      </c>
      <c r="V20" s="3178">
        <v>2494500</v>
      </c>
      <c r="W20" s="3180" t="s">
        <v>3503</v>
      </c>
      <c r="X20" s="3180" t="s">
        <v>3230</v>
      </c>
      <c r="Y20" s="3180">
        <v>30000</v>
      </c>
    </row>
    <row r="21" spans="1:25">
      <c r="A21" s="3400"/>
      <c r="B21" s="3071">
        <v>2</v>
      </c>
      <c r="C21" s="3071" t="s">
        <v>3531</v>
      </c>
      <c r="D21" s="3118" t="s">
        <v>3532</v>
      </c>
      <c r="E21" s="3071">
        <v>44.59</v>
      </c>
      <c r="F21" s="3071">
        <v>420000</v>
      </c>
      <c r="G21" s="3070" t="s">
        <v>3174</v>
      </c>
      <c r="H21" s="3070" t="s">
        <v>3174</v>
      </c>
      <c r="I21" s="3070">
        <f t="shared" si="0"/>
        <v>9419</v>
      </c>
      <c r="J21" s="3404"/>
      <c r="K21" s="3404"/>
      <c r="L21" s="3402"/>
      <c r="M21" s="3402"/>
      <c r="N21" s="3404"/>
      <c r="P21" s="3176">
        <v>21</v>
      </c>
      <c r="Q21" s="3399"/>
      <c r="R21" s="3177">
        <v>13</v>
      </c>
      <c r="S21" s="3177" t="s">
        <v>5501</v>
      </c>
      <c r="T21" s="3179" t="s">
        <v>5502</v>
      </c>
      <c r="U21" s="3177">
        <v>44.59</v>
      </c>
      <c r="V21" s="3177">
        <v>420000</v>
      </c>
      <c r="W21" s="3180" t="s">
        <v>3174</v>
      </c>
      <c r="X21" s="3180" t="s">
        <v>3174</v>
      </c>
      <c r="Y21" s="3180">
        <v>9419</v>
      </c>
    </row>
    <row r="22" spans="1:25" ht="24">
      <c r="A22" s="3398">
        <v>5</v>
      </c>
      <c r="B22" s="3071">
        <v>2</v>
      </c>
      <c r="C22" s="3072" t="s">
        <v>3533</v>
      </c>
      <c r="D22" s="3118" t="s">
        <v>3534</v>
      </c>
      <c r="E22" s="3119">
        <v>133.55000000000001</v>
      </c>
      <c r="F22" s="3119">
        <v>7934873</v>
      </c>
      <c r="G22" s="3070" t="s">
        <v>3173</v>
      </c>
      <c r="H22" s="3070" t="s">
        <v>3058</v>
      </c>
      <c r="I22" s="3070">
        <f t="shared" si="0"/>
        <v>59415</v>
      </c>
      <c r="J22" s="3404"/>
      <c r="K22" s="3404"/>
      <c r="L22" s="3402"/>
      <c r="M22" s="3402"/>
      <c r="N22" s="3404"/>
      <c r="P22" s="3176">
        <v>21</v>
      </c>
      <c r="Q22" s="3400"/>
      <c r="R22" s="3177">
        <v>13</v>
      </c>
      <c r="S22" s="3177" t="s">
        <v>5503</v>
      </c>
      <c r="T22" s="3179" t="s">
        <v>5504</v>
      </c>
      <c r="U22" s="3177">
        <v>44.59</v>
      </c>
      <c r="V22" s="3177">
        <v>420000</v>
      </c>
      <c r="W22" s="3180" t="s">
        <v>3174</v>
      </c>
      <c r="X22" s="3180" t="s">
        <v>3174</v>
      </c>
      <c r="Y22" s="3180">
        <v>9419</v>
      </c>
    </row>
    <row r="23" spans="1:25" ht="24">
      <c r="A23" s="3399"/>
      <c r="B23" s="3071">
        <v>2</v>
      </c>
      <c r="C23" s="3072" t="s">
        <v>3535</v>
      </c>
      <c r="D23" s="3118" t="s">
        <v>3536</v>
      </c>
      <c r="E23" s="3119">
        <v>84.12</v>
      </c>
      <c r="F23" s="3119">
        <v>2523600</v>
      </c>
      <c r="G23" s="3070" t="s">
        <v>3501</v>
      </c>
      <c r="H23" s="3070" t="s">
        <v>3230</v>
      </c>
      <c r="I23" s="3070">
        <f t="shared" si="0"/>
        <v>30000</v>
      </c>
      <c r="J23" s="3404"/>
      <c r="K23" s="3404"/>
      <c r="L23" s="3402"/>
      <c r="M23" s="3402"/>
      <c r="N23" s="3404"/>
      <c r="P23" s="3176">
        <v>21</v>
      </c>
      <c r="Q23" s="3398">
        <v>151</v>
      </c>
      <c r="R23" s="3177">
        <v>36</v>
      </c>
      <c r="S23" s="3178" t="s">
        <v>3551</v>
      </c>
      <c r="T23" s="3179" t="s">
        <v>5505</v>
      </c>
      <c r="U23" s="3178">
        <v>133.76</v>
      </c>
      <c r="V23" s="3178">
        <v>7698155</v>
      </c>
      <c r="W23" s="3179" t="s">
        <v>3173</v>
      </c>
      <c r="X23" s="3070" t="s">
        <v>3058</v>
      </c>
      <c r="Y23" s="3070">
        <v>57552</v>
      </c>
    </row>
    <row r="24" spans="1:25" ht="24">
      <c r="A24" s="3399"/>
      <c r="B24" s="3071">
        <v>2</v>
      </c>
      <c r="C24" s="3072">
        <v>-204</v>
      </c>
      <c r="D24" s="3118" t="s">
        <v>3537</v>
      </c>
      <c r="E24" s="3119">
        <v>84.03</v>
      </c>
      <c r="F24" s="3119">
        <v>2520900</v>
      </c>
      <c r="G24" s="3070" t="s">
        <v>3503</v>
      </c>
      <c r="H24" s="3070" t="s">
        <v>3230</v>
      </c>
      <c r="I24" s="3070">
        <f t="shared" si="0"/>
        <v>30000</v>
      </c>
      <c r="J24" s="3404"/>
      <c r="K24" s="3404"/>
      <c r="L24" s="3402"/>
      <c r="M24" s="3402"/>
      <c r="N24" s="3404"/>
      <c r="P24" s="3176">
        <v>21</v>
      </c>
      <c r="Q24" s="3399"/>
      <c r="R24" s="3177">
        <v>36</v>
      </c>
      <c r="S24" s="3178" t="s">
        <v>3553</v>
      </c>
      <c r="T24" s="3179" t="s">
        <v>5506</v>
      </c>
      <c r="U24" s="3178">
        <v>84.1</v>
      </c>
      <c r="V24" s="3178">
        <v>2523000</v>
      </c>
      <c r="W24" s="3179" t="s">
        <v>3501</v>
      </c>
      <c r="X24" s="3070" t="s">
        <v>3230</v>
      </c>
      <c r="Y24" s="3070">
        <v>30000</v>
      </c>
    </row>
    <row r="25" spans="1:25">
      <c r="A25" s="3399"/>
      <c r="B25" s="3071">
        <v>2</v>
      </c>
      <c r="C25" s="3071" t="s">
        <v>3538</v>
      </c>
      <c r="D25" s="3118" t="s">
        <v>3539</v>
      </c>
      <c r="E25" s="3071">
        <v>43.65</v>
      </c>
      <c r="F25" s="3071">
        <v>420000</v>
      </c>
      <c r="G25" s="3070" t="s">
        <v>3174</v>
      </c>
      <c r="H25" s="3070" t="s">
        <v>3174</v>
      </c>
      <c r="I25" s="3070">
        <f t="shared" si="0"/>
        <v>9622</v>
      </c>
      <c r="J25" s="3404"/>
      <c r="K25" s="3404"/>
      <c r="L25" s="3402"/>
      <c r="M25" s="3402"/>
      <c r="N25" s="3404"/>
      <c r="P25" s="3176">
        <v>21</v>
      </c>
      <c r="Q25" s="3399"/>
      <c r="R25" s="3177">
        <v>36</v>
      </c>
      <c r="S25" s="3178">
        <v>-206</v>
      </c>
      <c r="T25" s="3179" t="s">
        <v>5507</v>
      </c>
      <c r="U25" s="3178">
        <v>84.15</v>
      </c>
      <c r="V25" s="3178">
        <v>2524500</v>
      </c>
      <c r="W25" s="3178" t="s">
        <v>3503</v>
      </c>
      <c r="X25" s="3070" t="s">
        <v>3230</v>
      </c>
      <c r="Y25" s="3070">
        <v>30000</v>
      </c>
    </row>
    <row r="26" spans="1:25">
      <c r="A26" s="3400"/>
      <c r="B26" s="3071">
        <v>2</v>
      </c>
      <c r="C26" s="3071" t="s">
        <v>3540</v>
      </c>
      <c r="D26" s="3118" t="s">
        <v>3541</v>
      </c>
      <c r="E26" s="3071">
        <v>44.59</v>
      </c>
      <c r="F26" s="3071">
        <v>420000</v>
      </c>
      <c r="G26" s="3070" t="s">
        <v>3174</v>
      </c>
      <c r="H26" s="3070" t="s">
        <v>3174</v>
      </c>
      <c r="I26" s="3070">
        <f t="shared" si="0"/>
        <v>9419</v>
      </c>
      <c r="J26" s="3404"/>
      <c r="K26" s="3404"/>
      <c r="L26" s="3402"/>
      <c r="M26" s="3402"/>
      <c r="N26" s="3404"/>
      <c r="P26" s="3176">
        <v>21</v>
      </c>
      <c r="Q26" s="3399"/>
      <c r="R26" s="3177">
        <v>36</v>
      </c>
      <c r="S26" s="3177" t="s">
        <v>5508</v>
      </c>
      <c r="T26" s="3179" t="s">
        <v>5509</v>
      </c>
      <c r="U26" s="3177">
        <v>44.59</v>
      </c>
      <c r="V26" s="3177">
        <v>420000</v>
      </c>
      <c r="W26" s="3177" t="s">
        <v>3174</v>
      </c>
      <c r="X26" s="3070" t="s">
        <v>3174</v>
      </c>
      <c r="Y26" s="3070">
        <v>9419</v>
      </c>
    </row>
    <row r="27" spans="1:25" ht="24">
      <c r="A27" s="3398">
        <v>6</v>
      </c>
      <c r="B27" s="3071">
        <v>2</v>
      </c>
      <c r="C27" s="3072" t="s">
        <v>3542</v>
      </c>
      <c r="D27" s="3118" t="s">
        <v>3543</v>
      </c>
      <c r="E27" s="3119">
        <v>133.36000000000001</v>
      </c>
      <c r="F27" s="3119">
        <v>8472760</v>
      </c>
      <c r="G27" s="3070" t="s">
        <v>3173</v>
      </c>
      <c r="H27" s="3070" t="s">
        <v>3058</v>
      </c>
      <c r="I27" s="3070">
        <f t="shared" si="0"/>
        <v>63533</v>
      </c>
      <c r="J27" s="3404"/>
      <c r="K27" s="3404"/>
      <c r="L27" s="3402"/>
      <c r="M27" s="3402"/>
      <c r="N27" s="3404"/>
      <c r="P27" s="3176">
        <v>21</v>
      </c>
      <c r="Q27" s="3400"/>
      <c r="R27" s="3177">
        <v>36</v>
      </c>
      <c r="S27" s="3177" t="s">
        <v>5510</v>
      </c>
      <c r="T27" s="3179" t="s">
        <v>5511</v>
      </c>
      <c r="U27" s="3177">
        <v>44.59</v>
      </c>
      <c r="V27" s="3177">
        <v>420000</v>
      </c>
      <c r="W27" s="3177" t="s">
        <v>3174</v>
      </c>
      <c r="X27" s="3070" t="s">
        <v>3174</v>
      </c>
      <c r="Y27" s="3070">
        <v>9419</v>
      </c>
    </row>
    <row r="28" spans="1:25" ht="24">
      <c r="A28" s="3399"/>
      <c r="B28" s="3071">
        <v>2</v>
      </c>
      <c r="C28" s="3072" t="s">
        <v>3544</v>
      </c>
      <c r="D28" s="3118" t="s">
        <v>3545</v>
      </c>
      <c r="E28" s="3119">
        <v>83.71</v>
      </c>
      <c r="F28" s="3119">
        <v>2511300</v>
      </c>
      <c r="G28" s="3070" t="s">
        <v>3501</v>
      </c>
      <c r="H28" s="3070" t="s">
        <v>3230</v>
      </c>
      <c r="I28" s="3070">
        <f t="shared" si="0"/>
        <v>30000</v>
      </c>
      <c r="J28" s="3404"/>
      <c r="K28" s="3404"/>
      <c r="L28" s="3402"/>
      <c r="M28" s="3402"/>
      <c r="N28" s="3404"/>
    </row>
    <row r="29" spans="1:25">
      <c r="A29" s="3399"/>
      <c r="B29" s="3071">
        <v>2</v>
      </c>
      <c r="C29" s="3072">
        <v>-205</v>
      </c>
      <c r="D29" s="3118" t="s">
        <v>3546</v>
      </c>
      <c r="E29" s="3119">
        <v>83.31</v>
      </c>
      <c r="F29" s="3119">
        <v>2499300</v>
      </c>
      <c r="G29" s="3070" t="s">
        <v>3503</v>
      </c>
      <c r="H29" s="3070" t="s">
        <v>3230</v>
      </c>
      <c r="I29" s="3070">
        <f t="shared" si="0"/>
        <v>30000</v>
      </c>
      <c r="J29" s="3404"/>
      <c r="K29" s="3404"/>
      <c r="L29" s="3402"/>
      <c r="M29" s="3402"/>
      <c r="N29" s="3404"/>
    </row>
    <row r="30" spans="1:25">
      <c r="A30" s="3399"/>
      <c r="B30" s="3071">
        <v>2</v>
      </c>
      <c r="C30" s="3071" t="s">
        <v>3547</v>
      </c>
      <c r="D30" s="3118" t="s">
        <v>3548</v>
      </c>
      <c r="E30" s="3071">
        <v>44.59</v>
      </c>
      <c r="F30" s="3071">
        <v>420000</v>
      </c>
      <c r="G30" s="3070" t="s">
        <v>3174</v>
      </c>
      <c r="H30" s="3070" t="s">
        <v>3174</v>
      </c>
      <c r="I30" s="3070">
        <f t="shared" si="0"/>
        <v>9419</v>
      </c>
      <c r="J30" s="3404"/>
      <c r="K30" s="3404"/>
      <c r="L30" s="3402"/>
      <c r="M30" s="3402"/>
      <c r="N30" s="3404"/>
    </row>
    <row r="31" spans="1:25">
      <c r="A31" s="3400"/>
      <c r="B31" s="3071">
        <v>2</v>
      </c>
      <c r="C31" s="3071" t="s">
        <v>3549</v>
      </c>
      <c r="D31" s="3118" t="s">
        <v>3550</v>
      </c>
      <c r="E31" s="3071">
        <v>44.59</v>
      </c>
      <c r="F31" s="3071">
        <v>420000</v>
      </c>
      <c r="G31" s="3070" t="s">
        <v>3174</v>
      </c>
      <c r="H31" s="3070" t="s">
        <v>3174</v>
      </c>
      <c r="I31" s="3070">
        <f t="shared" si="0"/>
        <v>9419</v>
      </c>
      <c r="J31" s="3404"/>
      <c r="K31" s="3404"/>
      <c r="L31" s="3402"/>
      <c r="M31" s="3402"/>
      <c r="N31" s="3404"/>
    </row>
    <row r="32" spans="1:25" ht="24">
      <c r="A32" s="3398">
        <v>7</v>
      </c>
      <c r="B32" s="3071">
        <v>2</v>
      </c>
      <c r="C32" s="3072" t="s">
        <v>3551</v>
      </c>
      <c r="D32" s="3118" t="s">
        <v>3552</v>
      </c>
      <c r="E32" s="3119">
        <v>133.36000000000001</v>
      </c>
      <c r="F32" s="3119">
        <v>7822764</v>
      </c>
      <c r="G32" s="3070" t="s">
        <v>3173</v>
      </c>
      <c r="H32" s="3070" t="s">
        <v>3058</v>
      </c>
      <c r="I32" s="3070">
        <f t="shared" si="0"/>
        <v>58659</v>
      </c>
      <c r="J32" s="3404"/>
      <c r="K32" s="3404"/>
      <c r="L32" s="3402"/>
      <c r="M32" s="3402"/>
      <c r="N32" s="3404"/>
    </row>
    <row r="33" spans="1:14" ht="24">
      <c r="A33" s="3399"/>
      <c r="B33" s="3071">
        <v>2</v>
      </c>
      <c r="C33" s="3072" t="s">
        <v>3553</v>
      </c>
      <c r="D33" s="3118" t="s">
        <v>3554</v>
      </c>
      <c r="E33" s="3119">
        <v>83.86</v>
      </c>
      <c r="F33" s="3119">
        <v>2515800</v>
      </c>
      <c r="G33" s="3070" t="s">
        <v>3501</v>
      </c>
      <c r="H33" s="3070" t="s">
        <v>3230</v>
      </c>
      <c r="I33" s="3070">
        <f t="shared" si="0"/>
        <v>30000</v>
      </c>
      <c r="J33" s="3404"/>
      <c r="K33" s="3404"/>
      <c r="L33" s="3402"/>
      <c r="M33" s="3402"/>
      <c r="N33" s="3404"/>
    </row>
    <row r="34" spans="1:14">
      <c r="A34" s="3399"/>
      <c r="B34" s="3071">
        <v>2</v>
      </c>
      <c r="C34" s="3072">
        <v>-206</v>
      </c>
      <c r="D34" s="3118" t="s">
        <v>3555</v>
      </c>
      <c r="E34" s="3119">
        <v>84.03</v>
      </c>
      <c r="F34" s="3119">
        <v>2520900</v>
      </c>
      <c r="G34" s="3070" t="s">
        <v>3503</v>
      </c>
      <c r="H34" s="3070" t="s">
        <v>3230</v>
      </c>
      <c r="I34" s="3070">
        <f t="shared" si="0"/>
        <v>30000</v>
      </c>
      <c r="J34" s="3404"/>
      <c r="K34" s="3404"/>
      <c r="L34" s="3402"/>
      <c r="M34" s="3402"/>
      <c r="N34" s="3404"/>
    </row>
    <row r="35" spans="1:14">
      <c r="A35" s="3399"/>
      <c r="B35" s="3071">
        <v>2</v>
      </c>
      <c r="C35" s="3071" t="s">
        <v>3556</v>
      </c>
      <c r="D35" s="3118" t="s">
        <v>3557</v>
      </c>
      <c r="E35" s="3071">
        <v>44.59</v>
      </c>
      <c r="F35" s="3071">
        <v>420000</v>
      </c>
      <c r="G35" s="3070" t="s">
        <v>3174</v>
      </c>
      <c r="H35" s="3070" t="s">
        <v>3174</v>
      </c>
      <c r="I35" s="3070">
        <f t="shared" si="0"/>
        <v>9419</v>
      </c>
      <c r="J35" s="3404"/>
      <c r="K35" s="3404"/>
      <c r="L35" s="3402"/>
      <c r="M35" s="3402"/>
      <c r="N35" s="3404"/>
    </row>
    <row r="36" spans="1:14">
      <c r="A36" s="3400"/>
      <c r="B36" s="3071">
        <v>2</v>
      </c>
      <c r="C36" s="3071" t="s">
        <v>3558</v>
      </c>
      <c r="D36" s="3118" t="s">
        <v>3559</v>
      </c>
      <c r="E36" s="3071">
        <v>44.59</v>
      </c>
      <c r="F36" s="3071">
        <v>420000</v>
      </c>
      <c r="G36" s="3070" t="s">
        <v>3174</v>
      </c>
      <c r="H36" s="3070" t="s">
        <v>3174</v>
      </c>
      <c r="I36" s="3070">
        <f t="shared" si="0"/>
        <v>9419</v>
      </c>
      <c r="J36" s="3404"/>
      <c r="K36" s="3404"/>
      <c r="L36" s="3402"/>
      <c r="M36" s="3402"/>
      <c r="N36" s="3404"/>
    </row>
    <row r="37" spans="1:14" ht="24">
      <c r="A37" s="3398">
        <v>8</v>
      </c>
      <c r="B37" s="3071">
        <v>2</v>
      </c>
      <c r="C37" s="3072" t="s">
        <v>3560</v>
      </c>
      <c r="D37" s="3118" t="s">
        <v>3561</v>
      </c>
      <c r="E37" s="3119">
        <v>133.36000000000001</v>
      </c>
      <c r="F37" s="3119">
        <v>7822764</v>
      </c>
      <c r="G37" s="3070" t="s">
        <v>3173</v>
      </c>
      <c r="H37" s="3070" t="s">
        <v>3058</v>
      </c>
      <c r="I37" s="3070">
        <f t="shared" si="0"/>
        <v>58659</v>
      </c>
      <c r="J37" s="3404"/>
      <c r="K37" s="3404"/>
      <c r="L37" s="3402"/>
      <c r="M37" s="3402"/>
      <c r="N37" s="3404"/>
    </row>
    <row r="38" spans="1:14" ht="24">
      <c r="A38" s="3399"/>
      <c r="B38" s="3071">
        <v>2</v>
      </c>
      <c r="C38" s="3072" t="s">
        <v>3562</v>
      </c>
      <c r="D38" s="3118" t="s">
        <v>3563</v>
      </c>
      <c r="E38" s="3119">
        <v>83.86</v>
      </c>
      <c r="F38" s="3119">
        <v>2515800</v>
      </c>
      <c r="G38" s="3070" t="s">
        <v>3501</v>
      </c>
      <c r="H38" s="3070" t="s">
        <v>3230</v>
      </c>
      <c r="I38" s="3070">
        <f t="shared" si="0"/>
        <v>30000</v>
      </c>
      <c r="J38" s="3404"/>
      <c r="K38" s="3404"/>
      <c r="L38" s="3402"/>
      <c r="M38" s="3402"/>
      <c r="N38" s="3404"/>
    </row>
    <row r="39" spans="1:14">
      <c r="A39" s="3399"/>
      <c r="B39" s="3071">
        <v>2</v>
      </c>
      <c r="C39" s="3072">
        <v>-207</v>
      </c>
      <c r="D39" s="3118" t="s">
        <v>3564</v>
      </c>
      <c r="E39" s="3119">
        <v>84.03</v>
      </c>
      <c r="F39" s="3119">
        <v>2520900</v>
      </c>
      <c r="G39" s="3070" t="s">
        <v>3503</v>
      </c>
      <c r="H39" s="3070" t="s">
        <v>3230</v>
      </c>
      <c r="I39" s="3070">
        <f t="shared" si="0"/>
        <v>30000</v>
      </c>
      <c r="J39" s="3404"/>
      <c r="K39" s="3404"/>
      <c r="L39" s="3402"/>
      <c r="M39" s="3402"/>
      <c r="N39" s="3404"/>
    </row>
    <row r="40" spans="1:14">
      <c r="A40" s="3399"/>
      <c r="B40" s="3071">
        <v>2</v>
      </c>
      <c r="C40" s="3071" t="s">
        <v>3565</v>
      </c>
      <c r="D40" s="3118" t="s">
        <v>3566</v>
      </c>
      <c r="E40" s="3071">
        <v>44.59</v>
      </c>
      <c r="F40" s="3071">
        <v>420000</v>
      </c>
      <c r="G40" s="3070" t="s">
        <v>3174</v>
      </c>
      <c r="H40" s="3070" t="s">
        <v>3174</v>
      </c>
      <c r="I40" s="3070">
        <f t="shared" si="0"/>
        <v>9419</v>
      </c>
      <c r="J40" s="3404"/>
      <c r="K40" s="3404"/>
      <c r="L40" s="3402"/>
      <c r="M40" s="3402"/>
      <c r="N40" s="3404"/>
    </row>
    <row r="41" spans="1:14">
      <c r="A41" s="3400"/>
      <c r="B41" s="3071">
        <v>2</v>
      </c>
      <c r="C41" s="3071" t="s">
        <v>3567</v>
      </c>
      <c r="D41" s="3118" t="s">
        <v>3568</v>
      </c>
      <c r="E41" s="3071">
        <v>44.59</v>
      </c>
      <c r="F41" s="3071">
        <v>420000</v>
      </c>
      <c r="G41" s="3070" t="s">
        <v>3174</v>
      </c>
      <c r="H41" s="3070" t="s">
        <v>3174</v>
      </c>
      <c r="I41" s="3070">
        <f t="shared" si="0"/>
        <v>9419</v>
      </c>
      <c r="J41" s="3404"/>
      <c r="K41" s="3404"/>
      <c r="L41" s="3403"/>
      <c r="M41" s="3403"/>
      <c r="N41" s="3404"/>
    </row>
    <row r="42" spans="1:14" ht="24">
      <c r="A42" s="3398">
        <v>9</v>
      </c>
      <c r="B42" s="3071">
        <v>3</v>
      </c>
      <c r="C42" s="3072" t="s">
        <v>3497</v>
      </c>
      <c r="D42" s="3118" t="s">
        <v>3569</v>
      </c>
      <c r="E42" s="3119">
        <v>133.31</v>
      </c>
      <c r="F42" s="3119">
        <v>7719582</v>
      </c>
      <c r="G42" s="3070" t="s">
        <v>3173</v>
      </c>
      <c r="H42" s="3070" t="s">
        <v>3058</v>
      </c>
      <c r="I42" s="3070">
        <f t="shared" si="0"/>
        <v>57907</v>
      </c>
      <c r="J42" s="3404">
        <v>8</v>
      </c>
      <c r="K42" s="3404">
        <v>7</v>
      </c>
      <c r="L42" s="3401">
        <f>E42+E47+E52+E57+E62+E67+E72</f>
        <v>933.55</v>
      </c>
      <c r="M42" s="3401">
        <f>E43+E44+E48+E49+E53+E54+E58+E59+E63+E64+E68+E69+E73+E74</f>
        <v>1174.5999999999999</v>
      </c>
      <c r="N42" s="3401">
        <f>L42+M42</f>
        <v>2108.1499999999996</v>
      </c>
    </row>
    <row r="43" spans="1:14" ht="24">
      <c r="A43" s="3399"/>
      <c r="B43" s="3071">
        <v>3</v>
      </c>
      <c r="C43" s="3072" t="s">
        <v>3499</v>
      </c>
      <c r="D43" s="3118" t="s">
        <v>3570</v>
      </c>
      <c r="E43" s="3119">
        <v>83.83</v>
      </c>
      <c r="F43" s="3119">
        <v>2514900</v>
      </c>
      <c r="G43" s="3070" t="s">
        <v>3501</v>
      </c>
      <c r="H43" s="3070" t="s">
        <v>3230</v>
      </c>
      <c r="I43" s="3070">
        <f t="shared" si="0"/>
        <v>30000</v>
      </c>
      <c r="J43" s="3404"/>
      <c r="K43" s="3404"/>
      <c r="L43" s="3402"/>
      <c r="M43" s="3402"/>
      <c r="N43" s="3402"/>
    </row>
    <row r="44" spans="1:14">
      <c r="A44" s="3399"/>
      <c r="B44" s="3071">
        <v>3</v>
      </c>
      <c r="C44" s="3072">
        <v>-202</v>
      </c>
      <c r="D44" s="3118" t="s">
        <v>3571</v>
      </c>
      <c r="E44" s="3119">
        <v>84.02</v>
      </c>
      <c r="F44" s="3119">
        <v>2520600</v>
      </c>
      <c r="G44" s="3070" t="s">
        <v>3503</v>
      </c>
      <c r="H44" s="3070" t="s">
        <v>3230</v>
      </c>
      <c r="I44" s="3070">
        <f t="shared" si="0"/>
        <v>30000</v>
      </c>
      <c r="J44" s="3404"/>
      <c r="K44" s="3404"/>
      <c r="L44" s="3402"/>
      <c r="M44" s="3402"/>
      <c r="N44" s="3402"/>
    </row>
    <row r="45" spans="1:14">
      <c r="A45" s="3399"/>
      <c r="B45" s="3071">
        <v>3</v>
      </c>
      <c r="C45" s="3071" t="s">
        <v>3572</v>
      </c>
      <c r="D45" s="3118" t="s">
        <v>3573</v>
      </c>
      <c r="E45" s="3071">
        <v>44.59</v>
      </c>
      <c r="F45" s="3071">
        <v>420000</v>
      </c>
      <c r="G45" s="3070" t="s">
        <v>3174</v>
      </c>
      <c r="H45" s="3070" t="s">
        <v>3174</v>
      </c>
      <c r="I45" s="3070">
        <f t="shared" si="0"/>
        <v>9419</v>
      </c>
      <c r="J45" s="3404"/>
      <c r="K45" s="3404"/>
      <c r="L45" s="3402"/>
      <c r="M45" s="3402"/>
      <c r="N45" s="3402"/>
    </row>
    <row r="46" spans="1:14">
      <c r="A46" s="3400"/>
      <c r="B46" s="3071">
        <v>3</v>
      </c>
      <c r="C46" s="3071" t="s">
        <v>3574</v>
      </c>
      <c r="D46" s="3118" t="s">
        <v>3575</v>
      </c>
      <c r="E46" s="3071">
        <v>44.59</v>
      </c>
      <c r="F46" s="3071">
        <v>420000</v>
      </c>
      <c r="G46" s="3070" t="s">
        <v>3174</v>
      </c>
      <c r="H46" s="3070" t="s">
        <v>3174</v>
      </c>
      <c r="I46" s="3070">
        <f t="shared" si="0"/>
        <v>9419</v>
      </c>
      <c r="J46" s="3404"/>
      <c r="K46" s="3404"/>
      <c r="L46" s="3402"/>
      <c r="M46" s="3402"/>
      <c r="N46" s="3402"/>
    </row>
    <row r="47" spans="1:14" ht="24">
      <c r="A47" s="3398">
        <v>10</v>
      </c>
      <c r="B47" s="3071">
        <v>3</v>
      </c>
      <c r="C47" s="3072" t="s">
        <v>3524</v>
      </c>
      <c r="D47" s="3118" t="s">
        <v>3576</v>
      </c>
      <c r="E47" s="3119">
        <v>133.31</v>
      </c>
      <c r="F47" s="3119">
        <v>7719582</v>
      </c>
      <c r="G47" s="3070" t="s">
        <v>3173</v>
      </c>
      <c r="H47" s="3070" t="s">
        <v>3058</v>
      </c>
      <c r="I47" s="3070">
        <f t="shared" si="0"/>
        <v>57907</v>
      </c>
      <c r="J47" s="3404"/>
      <c r="K47" s="3404"/>
      <c r="L47" s="3402"/>
      <c r="M47" s="3402"/>
      <c r="N47" s="3402"/>
    </row>
    <row r="48" spans="1:14" ht="24">
      <c r="A48" s="3399"/>
      <c r="B48" s="3071">
        <v>3</v>
      </c>
      <c r="C48" s="3072" t="s">
        <v>3526</v>
      </c>
      <c r="D48" s="3118" t="s">
        <v>3577</v>
      </c>
      <c r="E48" s="3119">
        <v>83.83</v>
      </c>
      <c r="F48" s="3119">
        <v>2514900</v>
      </c>
      <c r="G48" s="3070" t="s">
        <v>3501</v>
      </c>
      <c r="H48" s="3070" t="s">
        <v>3230</v>
      </c>
      <c r="I48" s="3070">
        <f t="shared" si="0"/>
        <v>30000</v>
      </c>
      <c r="J48" s="3404"/>
      <c r="K48" s="3404"/>
      <c r="L48" s="3402"/>
      <c r="M48" s="3402"/>
      <c r="N48" s="3402"/>
    </row>
    <row r="49" spans="1:14">
      <c r="A49" s="3399"/>
      <c r="B49" s="3071">
        <v>3</v>
      </c>
      <c r="C49" s="3072">
        <v>-203</v>
      </c>
      <c r="D49" s="3118" t="s">
        <v>3578</v>
      </c>
      <c r="E49" s="3119">
        <v>84.02</v>
      </c>
      <c r="F49" s="3119">
        <v>2520600</v>
      </c>
      <c r="G49" s="3070" t="s">
        <v>3503</v>
      </c>
      <c r="H49" s="3070" t="s">
        <v>3230</v>
      </c>
      <c r="I49" s="3070">
        <f t="shared" si="0"/>
        <v>30000</v>
      </c>
      <c r="J49" s="3404"/>
      <c r="K49" s="3404"/>
      <c r="L49" s="3402"/>
      <c r="M49" s="3402"/>
      <c r="N49" s="3402"/>
    </row>
    <row r="50" spans="1:14">
      <c r="A50" s="3399"/>
      <c r="B50" s="3071">
        <v>3</v>
      </c>
      <c r="C50" s="3071" t="s">
        <v>3579</v>
      </c>
      <c r="D50" s="3118" t="s">
        <v>3580</v>
      </c>
      <c r="E50" s="3071">
        <v>44.59</v>
      </c>
      <c r="F50" s="3071">
        <v>420000</v>
      </c>
      <c r="G50" s="3070" t="s">
        <v>3174</v>
      </c>
      <c r="H50" s="3070" t="s">
        <v>3174</v>
      </c>
      <c r="I50" s="3070">
        <f t="shared" si="0"/>
        <v>9419</v>
      </c>
      <c r="J50" s="3404"/>
      <c r="K50" s="3404"/>
      <c r="L50" s="3402"/>
      <c r="M50" s="3402"/>
      <c r="N50" s="3402"/>
    </row>
    <row r="51" spans="1:14">
      <c r="A51" s="3400"/>
      <c r="B51" s="3071">
        <v>3</v>
      </c>
      <c r="C51" s="3071" t="s">
        <v>3581</v>
      </c>
      <c r="D51" s="3118" t="s">
        <v>3582</v>
      </c>
      <c r="E51" s="3071">
        <v>44.59</v>
      </c>
      <c r="F51" s="3071">
        <v>420000</v>
      </c>
      <c r="G51" s="3070" t="s">
        <v>3174</v>
      </c>
      <c r="H51" s="3070" t="s">
        <v>3174</v>
      </c>
      <c r="I51" s="3070">
        <f t="shared" si="0"/>
        <v>9419</v>
      </c>
      <c r="J51" s="3404"/>
      <c r="K51" s="3404"/>
      <c r="L51" s="3402"/>
      <c r="M51" s="3402"/>
      <c r="N51" s="3402"/>
    </row>
    <row r="52" spans="1:14" ht="24">
      <c r="A52" s="3398">
        <v>11</v>
      </c>
      <c r="B52" s="3071">
        <v>3</v>
      </c>
      <c r="C52" s="3072" t="s">
        <v>3533</v>
      </c>
      <c r="D52" s="3118" t="s">
        <v>3583</v>
      </c>
      <c r="E52" s="3119">
        <v>133.5</v>
      </c>
      <c r="F52" s="3119">
        <v>7931635</v>
      </c>
      <c r="G52" s="3070" t="s">
        <v>3173</v>
      </c>
      <c r="H52" s="3070" t="s">
        <v>3058</v>
      </c>
      <c r="I52" s="3070">
        <f t="shared" si="0"/>
        <v>59413</v>
      </c>
      <c r="J52" s="3404"/>
      <c r="K52" s="3404"/>
      <c r="L52" s="3402"/>
      <c r="M52" s="3402"/>
      <c r="N52" s="3402"/>
    </row>
    <row r="53" spans="1:14" ht="24">
      <c r="A53" s="3399"/>
      <c r="B53" s="3071">
        <v>3</v>
      </c>
      <c r="C53" s="3072" t="s">
        <v>3535</v>
      </c>
      <c r="D53" s="3118" t="s">
        <v>3584</v>
      </c>
      <c r="E53" s="3119">
        <v>84.09</v>
      </c>
      <c r="F53" s="3119">
        <v>2522700</v>
      </c>
      <c r="G53" s="3070" t="s">
        <v>3501</v>
      </c>
      <c r="H53" s="3070" t="s">
        <v>3230</v>
      </c>
      <c r="I53" s="3070">
        <f t="shared" si="0"/>
        <v>30000</v>
      </c>
      <c r="J53" s="3404"/>
      <c r="K53" s="3404"/>
      <c r="L53" s="3402"/>
      <c r="M53" s="3402"/>
      <c r="N53" s="3402"/>
    </row>
    <row r="54" spans="1:14">
      <c r="A54" s="3399"/>
      <c r="B54" s="3071">
        <v>3</v>
      </c>
      <c r="C54" s="3072">
        <v>-204</v>
      </c>
      <c r="D54" s="3118" t="s">
        <v>3585</v>
      </c>
      <c r="E54" s="3119">
        <v>84.02</v>
      </c>
      <c r="F54" s="3119">
        <v>2520600</v>
      </c>
      <c r="G54" s="3070" t="s">
        <v>3503</v>
      </c>
      <c r="H54" s="3070" t="s">
        <v>3230</v>
      </c>
      <c r="I54" s="3070">
        <f t="shared" si="0"/>
        <v>30000</v>
      </c>
      <c r="J54" s="3404"/>
      <c r="K54" s="3404"/>
      <c r="L54" s="3402"/>
      <c r="M54" s="3402"/>
      <c r="N54" s="3402"/>
    </row>
    <row r="55" spans="1:14">
      <c r="A55" s="3399"/>
      <c r="B55" s="3071">
        <v>3</v>
      </c>
      <c r="C55" s="3071" t="s">
        <v>3586</v>
      </c>
      <c r="D55" s="3118" t="s">
        <v>3587</v>
      </c>
      <c r="E55" s="3071">
        <v>44.59</v>
      </c>
      <c r="F55" s="3071">
        <v>420000</v>
      </c>
      <c r="G55" s="3070" t="s">
        <v>3174</v>
      </c>
      <c r="H55" s="3070" t="s">
        <v>3174</v>
      </c>
      <c r="I55" s="3070">
        <f t="shared" si="0"/>
        <v>9419</v>
      </c>
      <c r="J55" s="3404"/>
      <c r="K55" s="3404"/>
      <c r="L55" s="3402"/>
      <c r="M55" s="3402"/>
      <c r="N55" s="3402"/>
    </row>
    <row r="56" spans="1:14">
      <c r="A56" s="3400"/>
      <c r="B56" s="3071">
        <v>3</v>
      </c>
      <c r="C56" s="3071" t="s">
        <v>3588</v>
      </c>
      <c r="D56" s="3118" t="s">
        <v>3589</v>
      </c>
      <c r="E56" s="3071">
        <v>44.59</v>
      </c>
      <c r="F56" s="3071">
        <v>420000</v>
      </c>
      <c r="G56" s="3070" t="s">
        <v>3174</v>
      </c>
      <c r="H56" s="3070" t="s">
        <v>3174</v>
      </c>
      <c r="I56" s="3070">
        <f t="shared" si="0"/>
        <v>9419</v>
      </c>
      <c r="J56" s="3404"/>
      <c r="K56" s="3404"/>
      <c r="L56" s="3402"/>
      <c r="M56" s="3402"/>
      <c r="N56" s="3402"/>
    </row>
    <row r="57" spans="1:14" ht="24">
      <c r="A57" s="3398">
        <v>12</v>
      </c>
      <c r="B57" s="3071">
        <v>3</v>
      </c>
      <c r="C57" s="3072" t="s">
        <v>3542</v>
      </c>
      <c r="D57" s="3118" t="s">
        <v>3590</v>
      </c>
      <c r="E57" s="3119">
        <v>133.31</v>
      </c>
      <c r="F57" s="3119">
        <v>8469584</v>
      </c>
      <c r="G57" s="3070" t="s">
        <v>3173</v>
      </c>
      <c r="H57" s="3070" t="s">
        <v>3058</v>
      </c>
      <c r="I57" s="3070">
        <f t="shared" si="0"/>
        <v>63533</v>
      </c>
      <c r="J57" s="3404"/>
      <c r="K57" s="3404"/>
      <c r="L57" s="3402"/>
      <c r="M57" s="3402"/>
      <c r="N57" s="3402"/>
    </row>
    <row r="58" spans="1:14" ht="24">
      <c r="A58" s="3399"/>
      <c r="B58" s="3071">
        <v>3</v>
      </c>
      <c r="C58" s="3072" t="s">
        <v>3544</v>
      </c>
      <c r="D58" s="3118" t="s">
        <v>3591</v>
      </c>
      <c r="E58" s="3119">
        <v>83.68</v>
      </c>
      <c r="F58" s="3119">
        <v>2510400</v>
      </c>
      <c r="G58" s="3070" t="s">
        <v>3501</v>
      </c>
      <c r="H58" s="3070" t="s">
        <v>3230</v>
      </c>
      <c r="I58" s="3070">
        <f t="shared" si="0"/>
        <v>30000</v>
      </c>
      <c r="J58" s="3404"/>
      <c r="K58" s="3404"/>
      <c r="L58" s="3402"/>
      <c r="M58" s="3402"/>
      <c r="N58" s="3402"/>
    </row>
    <row r="59" spans="1:14">
      <c r="A59" s="3399"/>
      <c r="B59" s="3071">
        <v>3</v>
      </c>
      <c r="C59" s="3072">
        <v>-205</v>
      </c>
      <c r="D59" s="3118" t="s">
        <v>3592</v>
      </c>
      <c r="E59" s="3119">
        <v>83.3</v>
      </c>
      <c r="F59" s="3119">
        <v>2499000</v>
      </c>
      <c r="G59" s="3070" t="s">
        <v>3503</v>
      </c>
      <c r="H59" s="3070" t="s">
        <v>3230</v>
      </c>
      <c r="I59" s="3070">
        <f t="shared" si="0"/>
        <v>30000</v>
      </c>
      <c r="J59" s="3404"/>
      <c r="K59" s="3404"/>
      <c r="L59" s="3402"/>
      <c r="M59" s="3402"/>
      <c r="N59" s="3402"/>
    </row>
    <row r="60" spans="1:14">
      <c r="A60" s="3399"/>
      <c r="B60" s="3071">
        <v>3</v>
      </c>
      <c r="C60" s="3071" t="s">
        <v>3593</v>
      </c>
      <c r="D60" s="3118" t="s">
        <v>3594</v>
      </c>
      <c r="E60" s="3071">
        <v>44.59</v>
      </c>
      <c r="F60" s="3071">
        <v>420000</v>
      </c>
      <c r="G60" s="3070" t="s">
        <v>3174</v>
      </c>
      <c r="H60" s="3070" t="s">
        <v>3174</v>
      </c>
      <c r="I60" s="3070">
        <f t="shared" si="0"/>
        <v>9419</v>
      </c>
      <c r="J60" s="3404"/>
      <c r="K60" s="3404"/>
      <c r="L60" s="3402"/>
      <c r="M60" s="3402"/>
      <c r="N60" s="3402"/>
    </row>
    <row r="61" spans="1:14">
      <c r="A61" s="3400"/>
      <c r="B61" s="3071">
        <v>3</v>
      </c>
      <c r="C61" s="3071" t="s">
        <v>3595</v>
      </c>
      <c r="D61" s="3118" t="s">
        <v>3596</v>
      </c>
      <c r="E61" s="3071">
        <v>44.59</v>
      </c>
      <c r="F61" s="3071">
        <v>420000</v>
      </c>
      <c r="G61" s="3070" t="s">
        <v>3174</v>
      </c>
      <c r="H61" s="3070" t="s">
        <v>3174</v>
      </c>
      <c r="I61" s="3070">
        <f t="shared" si="0"/>
        <v>9419</v>
      </c>
      <c r="J61" s="3404"/>
      <c r="K61" s="3404"/>
      <c r="L61" s="3402"/>
      <c r="M61" s="3402"/>
      <c r="N61" s="3402"/>
    </row>
    <row r="62" spans="1:14" ht="24">
      <c r="A62" s="3398">
        <v>13</v>
      </c>
      <c r="B62" s="3071">
        <v>3</v>
      </c>
      <c r="C62" s="3072" t="s">
        <v>3551</v>
      </c>
      <c r="D62" s="3118" t="s">
        <v>3597</v>
      </c>
      <c r="E62" s="3119">
        <v>133.31</v>
      </c>
      <c r="F62" s="3119">
        <v>7669590</v>
      </c>
      <c r="G62" s="3070" t="s">
        <v>3173</v>
      </c>
      <c r="H62" s="3070" t="s">
        <v>3058</v>
      </c>
      <c r="I62" s="3070">
        <f t="shared" si="0"/>
        <v>57532</v>
      </c>
      <c r="J62" s="3404"/>
      <c r="K62" s="3404"/>
      <c r="L62" s="3402"/>
      <c r="M62" s="3402"/>
      <c r="N62" s="3402"/>
    </row>
    <row r="63" spans="1:14" ht="24">
      <c r="A63" s="3399"/>
      <c r="B63" s="3071">
        <v>3</v>
      </c>
      <c r="C63" s="3072" t="s">
        <v>3553</v>
      </c>
      <c r="D63" s="3118" t="s">
        <v>3598</v>
      </c>
      <c r="E63" s="3119">
        <v>83.83</v>
      </c>
      <c r="F63" s="3119">
        <v>2514900</v>
      </c>
      <c r="G63" s="3070" t="s">
        <v>3501</v>
      </c>
      <c r="H63" s="3070" t="s">
        <v>3230</v>
      </c>
      <c r="I63" s="3070">
        <f t="shared" si="0"/>
        <v>30000</v>
      </c>
      <c r="J63" s="3404"/>
      <c r="K63" s="3404"/>
      <c r="L63" s="3402"/>
      <c r="M63" s="3402"/>
      <c r="N63" s="3402"/>
    </row>
    <row r="64" spans="1:14">
      <c r="A64" s="3399"/>
      <c r="B64" s="3071">
        <v>3</v>
      </c>
      <c r="C64" s="3072">
        <v>-206</v>
      </c>
      <c r="D64" s="3118" t="s">
        <v>3599</v>
      </c>
      <c r="E64" s="3119">
        <v>84.02</v>
      </c>
      <c r="F64" s="3119">
        <v>2520600</v>
      </c>
      <c r="G64" s="3070" t="s">
        <v>3503</v>
      </c>
      <c r="H64" s="3070" t="s">
        <v>3230</v>
      </c>
      <c r="I64" s="3070">
        <f t="shared" si="0"/>
        <v>30000</v>
      </c>
      <c r="J64" s="3404"/>
      <c r="K64" s="3404"/>
      <c r="L64" s="3402"/>
      <c r="M64" s="3402"/>
      <c r="N64" s="3402"/>
    </row>
    <row r="65" spans="1:14">
      <c r="A65" s="3399"/>
      <c r="B65" s="3071">
        <v>3</v>
      </c>
      <c r="C65" s="3071" t="s">
        <v>3600</v>
      </c>
      <c r="D65" s="3118" t="s">
        <v>3601</v>
      </c>
      <c r="E65" s="3071">
        <v>44.59</v>
      </c>
      <c r="F65" s="3071">
        <v>420000</v>
      </c>
      <c r="G65" s="3070" t="s">
        <v>3174</v>
      </c>
      <c r="H65" s="3070" t="s">
        <v>3174</v>
      </c>
      <c r="I65" s="3070">
        <f t="shared" si="0"/>
        <v>9419</v>
      </c>
      <c r="J65" s="3404"/>
      <c r="K65" s="3404"/>
      <c r="L65" s="3402"/>
      <c r="M65" s="3402"/>
      <c r="N65" s="3402"/>
    </row>
    <row r="66" spans="1:14">
      <c r="A66" s="3400"/>
      <c r="B66" s="3071">
        <v>3</v>
      </c>
      <c r="C66" s="3071" t="s">
        <v>3602</v>
      </c>
      <c r="D66" s="3118" t="s">
        <v>3603</v>
      </c>
      <c r="E66" s="3071">
        <v>44.59</v>
      </c>
      <c r="F66" s="3071">
        <v>420000</v>
      </c>
      <c r="G66" s="3070" t="s">
        <v>3174</v>
      </c>
      <c r="H66" s="3070" t="s">
        <v>3174</v>
      </c>
      <c r="I66" s="3070">
        <f t="shared" si="0"/>
        <v>9419</v>
      </c>
      <c r="J66" s="3404"/>
      <c r="K66" s="3404"/>
      <c r="L66" s="3402"/>
      <c r="M66" s="3402"/>
      <c r="N66" s="3402"/>
    </row>
    <row r="67" spans="1:14" ht="24">
      <c r="A67" s="3398">
        <v>14</v>
      </c>
      <c r="B67" s="3071">
        <v>3</v>
      </c>
      <c r="C67" s="3072" t="s">
        <v>3560</v>
      </c>
      <c r="D67" s="3118" t="s">
        <v>3604</v>
      </c>
      <c r="E67" s="3119">
        <v>133.31</v>
      </c>
      <c r="F67" s="3119">
        <v>7669590</v>
      </c>
      <c r="G67" s="3070" t="s">
        <v>3173</v>
      </c>
      <c r="H67" s="3070" t="s">
        <v>3058</v>
      </c>
      <c r="I67" s="3070">
        <f t="shared" ref="I67:I125" si="1">ROUND(F67/E67,0)</f>
        <v>57532</v>
      </c>
      <c r="J67" s="3404"/>
      <c r="K67" s="3404"/>
      <c r="L67" s="3402"/>
      <c r="M67" s="3402"/>
      <c r="N67" s="3402"/>
    </row>
    <row r="68" spans="1:14" ht="24">
      <c r="A68" s="3399"/>
      <c r="B68" s="3071">
        <v>3</v>
      </c>
      <c r="C68" s="3072" t="s">
        <v>3562</v>
      </c>
      <c r="D68" s="3118" t="s">
        <v>3605</v>
      </c>
      <c r="E68" s="3119">
        <v>83.83</v>
      </c>
      <c r="F68" s="3119">
        <v>2514900</v>
      </c>
      <c r="G68" s="3070" t="s">
        <v>3501</v>
      </c>
      <c r="H68" s="3070" t="s">
        <v>3230</v>
      </c>
      <c r="I68" s="3070">
        <f t="shared" si="1"/>
        <v>30000</v>
      </c>
      <c r="J68" s="3404"/>
      <c r="K68" s="3404"/>
      <c r="L68" s="3402"/>
      <c r="M68" s="3402"/>
      <c r="N68" s="3402"/>
    </row>
    <row r="69" spans="1:14">
      <c r="A69" s="3399"/>
      <c r="B69" s="3071">
        <v>3</v>
      </c>
      <c r="C69" s="3072">
        <v>-207</v>
      </c>
      <c r="D69" s="3118" t="s">
        <v>3606</v>
      </c>
      <c r="E69" s="3119">
        <v>84.02</v>
      </c>
      <c r="F69" s="3119">
        <v>2520600</v>
      </c>
      <c r="G69" s="3070" t="s">
        <v>3503</v>
      </c>
      <c r="H69" s="3070" t="s">
        <v>3230</v>
      </c>
      <c r="I69" s="3070">
        <f t="shared" si="1"/>
        <v>30000</v>
      </c>
      <c r="J69" s="3404"/>
      <c r="K69" s="3404"/>
      <c r="L69" s="3402"/>
      <c r="M69" s="3402"/>
      <c r="N69" s="3402"/>
    </row>
    <row r="70" spans="1:14">
      <c r="A70" s="3399"/>
      <c r="B70" s="3071">
        <v>3</v>
      </c>
      <c r="C70" s="3071" t="s">
        <v>3607</v>
      </c>
      <c r="D70" s="3118" t="s">
        <v>3608</v>
      </c>
      <c r="E70" s="3071">
        <v>44.59</v>
      </c>
      <c r="F70" s="3071">
        <v>420000</v>
      </c>
      <c r="G70" s="3070" t="s">
        <v>3174</v>
      </c>
      <c r="H70" s="3070" t="s">
        <v>3174</v>
      </c>
      <c r="I70" s="3070">
        <f t="shared" si="1"/>
        <v>9419</v>
      </c>
      <c r="J70" s="3404"/>
      <c r="K70" s="3404"/>
      <c r="L70" s="3402"/>
      <c r="M70" s="3402"/>
      <c r="N70" s="3402"/>
    </row>
    <row r="71" spans="1:14">
      <c r="A71" s="3400"/>
      <c r="B71" s="3071">
        <v>3</v>
      </c>
      <c r="C71" s="3071" t="s">
        <v>3609</v>
      </c>
      <c r="D71" s="3118" t="s">
        <v>3610</v>
      </c>
      <c r="E71" s="3071">
        <v>44.59</v>
      </c>
      <c r="F71" s="3071">
        <v>420000</v>
      </c>
      <c r="G71" s="3070" t="s">
        <v>3174</v>
      </c>
      <c r="H71" s="3070" t="s">
        <v>3174</v>
      </c>
      <c r="I71" s="3070">
        <f t="shared" si="1"/>
        <v>9419</v>
      </c>
      <c r="J71" s="3404"/>
      <c r="K71" s="3404"/>
      <c r="L71" s="3402"/>
      <c r="M71" s="3402"/>
      <c r="N71" s="3402"/>
    </row>
    <row r="72" spans="1:14" ht="24">
      <c r="A72" s="3398">
        <v>15</v>
      </c>
      <c r="B72" s="3071">
        <v>3</v>
      </c>
      <c r="C72" s="3072" t="s">
        <v>3611</v>
      </c>
      <c r="D72" s="3118" t="s">
        <v>3612</v>
      </c>
      <c r="E72" s="3119">
        <v>133.5</v>
      </c>
      <c r="F72" s="3119">
        <v>7781715</v>
      </c>
      <c r="G72" s="3070" t="s">
        <v>3173</v>
      </c>
      <c r="H72" s="3070" t="s">
        <v>3058</v>
      </c>
      <c r="I72" s="3070">
        <f t="shared" si="1"/>
        <v>58290</v>
      </c>
      <c r="J72" s="3404"/>
      <c r="K72" s="3404"/>
      <c r="L72" s="3402"/>
      <c r="M72" s="3402"/>
      <c r="N72" s="3402"/>
    </row>
    <row r="73" spans="1:14" ht="24">
      <c r="A73" s="3399"/>
      <c r="B73" s="3071">
        <v>3</v>
      </c>
      <c r="C73" s="3072" t="s">
        <v>3613</v>
      </c>
      <c r="D73" s="3118" t="s">
        <v>3614</v>
      </c>
      <c r="E73" s="3119">
        <v>84.09</v>
      </c>
      <c r="F73" s="3119">
        <v>2522700</v>
      </c>
      <c r="G73" s="3070" t="s">
        <v>3501</v>
      </c>
      <c r="H73" s="3070" t="s">
        <v>3230</v>
      </c>
      <c r="I73" s="3070">
        <f t="shared" si="1"/>
        <v>30000</v>
      </c>
      <c r="J73" s="3404"/>
      <c r="K73" s="3404"/>
      <c r="L73" s="3402"/>
      <c r="M73" s="3402"/>
      <c r="N73" s="3402"/>
    </row>
    <row r="74" spans="1:14">
      <c r="A74" s="3399"/>
      <c r="B74" s="3071">
        <v>3</v>
      </c>
      <c r="C74" s="3072">
        <v>-208</v>
      </c>
      <c r="D74" s="3118" t="s">
        <v>3615</v>
      </c>
      <c r="E74" s="3119">
        <v>84.02</v>
      </c>
      <c r="F74" s="3119">
        <v>2520600</v>
      </c>
      <c r="G74" s="3070" t="s">
        <v>3503</v>
      </c>
      <c r="H74" s="3070" t="s">
        <v>3230</v>
      </c>
      <c r="I74" s="3070">
        <f t="shared" si="1"/>
        <v>30000</v>
      </c>
      <c r="J74" s="3404"/>
      <c r="K74" s="3404"/>
      <c r="L74" s="3402"/>
      <c r="M74" s="3402"/>
      <c r="N74" s="3402"/>
    </row>
    <row r="75" spans="1:14">
      <c r="A75" s="3399"/>
      <c r="B75" s="3071">
        <v>3</v>
      </c>
      <c r="C75" s="3071" t="s">
        <v>3616</v>
      </c>
      <c r="D75" s="3118" t="s">
        <v>3617</v>
      </c>
      <c r="E75" s="3071">
        <v>44.59</v>
      </c>
      <c r="F75" s="3071">
        <v>420000</v>
      </c>
      <c r="G75" s="3070" t="s">
        <v>3174</v>
      </c>
      <c r="H75" s="3070" t="s">
        <v>3174</v>
      </c>
      <c r="I75" s="3070">
        <f t="shared" si="1"/>
        <v>9419</v>
      </c>
      <c r="J75" s="3404"/>
      <c r="K75" s="3404"/>
      <c r="L75" s="3402"/>
      <c r="M75" s="3402"/>
      <c r="N75" s="3402"/>
    </row>
    <row r="76" spans="1:14">
      <c r="A76" s="3400"/>
      <c r="B76" s="3071">
        <v>3</v>
      </c>
      <c r="C76" s="3071" t="s">
        <v>3618</v>
      </c>
      <c r="D76" s="3118" t="s">
        <v>3619</v>
      </c>
      <c r="E76" s="3071">
        <v>44.59</v>
      </c>
      <c r="F76" s="3071">
        <v>420000</v>
      </c>
      <c r="G76" s="3070" t="s">
        <v>3174</v>
      </c>
      <c r="H76" s="3070" t="s">
        <v>3174</v>
      </c>
      <c r="I76" s="3070">
        <f t="shared" si="1"/>
        <v>9419</v>
      </c>
      <c r="J76" s="3404"/>
      <c r="K76" s="3404"/>
      <c r="L76" s="3403"/>
      <c r="M76" s="3403"/>
      <c r="N76" s="3403"/>
    </row>
    <row r="77" spans="1:14" ht="24">
      <c r="A77" s="3398">
        <v>16</v>
      </c>
      <c r="B77" s="3071">
        <v>4</v>
      </c>
      <c r="C77" s="3072" t="s">
        <v>3508</v>
      </c>
      <c r="D77" s="3118" t="s">
        <v>3620</v>
      </c>
      <c r="E77" s="3119">
        <v>133.31</v>
      </c>
      <c r="F77" s="3119">
        <v>8469584</v>
      </c>
      <c r="G77" s="3070" t="s">
        <v>3173</v>
      </c>
      <c r="H77" s="3070" t="s">
        <v>3058</v>
      </c>
      <c r="I77" s="3070">
        <f t="shared" si="1"/>
        <v>63533</v>
      </c>
      <c r="J77" s="3401">
        <v>8</v>
      </c>
      <c r="K77" s="3401">
        <v>7</v>
      </c>
      <c r="L77" s="3401">
        <f>E77+E82+E87+E92+E97+E102+E107</f>
        <v>933.55</v>
      </c>
      <c r="M77" s="3401">
        <f>E78+E79+E83+E84+E88+E89+E93+E94+E98+E99+E103+E104+E108+E109</f>
        <v>1174.5999999999999</v>
      </c>
      <c r="N77" s="3401">
        <f>L77+M77</f>
        <v>2108.1499999999996</v>
      </c>
    </row>
    <row r="78" spans="1:14" ht="24">
      <c r="A78" s="3399"/>
      <c r="B78" s="3071">
        <v>4</v>
      </c>
      <c r="C78" s="3072" t="s">
        <v>3510</v>
      </c>
      <c r="D78" s="3118" t="s">
        <v>3621</v>
      </c>
      <c r="E78" s="3119">
        <v>83.68</v>
      </c>
      <c r="F78" s="3119">
        <v>2510400</v>
      </c>
      <c r="G78" s="3070" t="s">
        <v>3501</v>
      </c>
      <c r="H78" s="3070" t="s">
        <v>3230</v>
      </c>
      <c r="I78" s="3070">
        <f t="shared" si="1"/>
        <v>30000</v>
      </c>
      <c r="J78" s="3402"/>
      <c r="K78" s="3402"/>
      <c r="L78" s="3402"/>
      <c r="M78" s="3402"/>
      <c r="N78" s="3402"/>
    </row>
    <row r="79" spans="1:14">
      <c r="A79" s="3399"/>
      <c r="B79" s="3071">
        <v>4</v>
      </c>
      <c r="C79" s="3072">
        <v>-201</v>
      </c>
      <c r="D79" s="3118" t="s">
        <v>3622</v>
      </c>
      <c r="E79" s="3119">
        <v>83.3</v>
      </c>
      <c r="F79" s="3119">
        <v>2499000</v>
      </c>
      <c r="G79" s="3070" t="s">
        <v>3503</v>
      </c>
      <c r="H79" s="3070" t="s">
        <v>3230</v>
      </c>
      <c r="I79" s="3070">
        <f t="shared" si="1"/>
        <v>30000</v>
      </c>
      <c r="J79" s="3402"/>
      <c r="K79" s="3402"/>
      <c r="L79" s="3402"/>
      <c r="M79" s="3402"/>
      <c r="N79" s="3402"/>
    </row>
    <row r="80" spans="1:14">
      <c r="A80" s="3399"/>
      <c r="B80" s="3071">
        <v>4</v>
      </c>
      <c r="C80" s="3071" t="s">
        <v>3623</v>
      </c>
      <c r="D80" s="3118" t="s">
        <v>3624</v>
      </c>
      <c r="E80" s="3071">
        <v>44.59</v>
      </c>
      <c r="F80" s="3071">
        <v>420000</v>
      </c>
      <c r="G80" s="3070" t="s">
        <v>3174</v>
      </c>
      <c r="H80" s="3070" t="s">
        <v>3174</v>
      </c>
      <c r="I80" s="3070">
        <f t="shared" si="1"/>
        <v>9419</v>
      </c>
      <c r="J80" s="3402"/>
      <c r="K80" s="3402"/>
      <c r="L80" s="3402"/>
      <c r="M80" s="3402"/>
      <c r="N80" s="3402"/>
    </row>
    <row r="81" spans="1:14">
      <c r="A81" s="3400"/>
      <c r="B81" s="3071">
        <v>4</v>
      </c>
      <c r="C81" s="3071" t="s">
        <v>3625</v>
      </c>
      <c r="D81" s="3118" t="s">
        <v>3626</v>
      </c>
      <c r="E81" s="3071">
        <v>44.59</v>
      </c>
      <c r="F81" s="3071">
        <v>420000</v>
      </c>
      <c r="G81" s="3070" t="s">
        <v>3174</v>
      </c>
      <c r="H81" s="3070" t="s">
        <v>3174</v>
      </c>
      <c r="I81" s="3070">
        <f t="shared" si="1"/>
        <v>9419</v>
      </c>
      <c r="J81" s="3402"/>
      <c r="K81" s="3402"/>
      <c r="L81" s="3402"/>
      <c r="M81" s="3402"/>
      <c r="N81" s="3402"/>
    </row>
    <row r="82" spans="1:14" ht="24">
      <c r="A82" s="3398">
        <v>17</v>
      </c>
      <c r="B82" s="3071">
        <v>4</v>
      </c>
      <c r="C82" s="3072" t="s">
        <v>3497</v>
      </c>
      <c r="D82" s="3118" t="s">
        <v>3627</v>
      </c>
      <c r="E82" s="3119">
        <v>133.31</v>
      </c>
      <c r="F82" s="3119">
        <v>7569608</v>
      </c>
      <c r="G82" s="3070" t="s">
        <v>3173</v>
      </c>
      <c r="H82" s="3070" t="s">
        <v>3058</v>
      </c>
      <c r="I82" s="3070">
        <f t="shared" si="1"/>
        <v>56782</v>
      </c>
      <c r="J82" s="3402"/>
      <c r="K82" s="3402"/>
      <c r="L82" s="3402"/>
      <c r="M82" s="3402"/>
      <c r="N82" s="3402"/>
    </row>
    <row r="83" spans="1:14" ht="24">
      <c r="A83" s="3399"/>
      <c r="B83" s="3071">
        <v>4</v>
      </c>
      <c r="C83" s="3072" t="s">
        <v>3499</v>
      </c>
      <c r="D83" s="3118" t="s">
        <v>3628</v>
      </c>
      <c r="E83" s="3119">
        <v>83.83</v>
      </c>
      <c r="F83" s="3119">
        <v>2514900</v>
      </c>
      <c r="G83" s="3070" t="s">
        <v>3501</v>
      </c>
      <c r="H83" s="3070" t="s">
        <v>3230</v>
      </c>
      <c r="I83" s="3070">
        <f t="shared" si="1"/>
        <v>30000</v>
      </c>
      <c r="J83" s="3402"/>
      <c r="K83" s="3402"/>
      <c r="L83" s="3402"/>
      <c r="M83" s="3402"/>
      <c r="N83" s="3402"/>
    </row>
    <row r="84" spans="1:14">
      <c r="A84" s="3399"/>
      <c r="B84" s="3071">
        <v>4</v>
      </c>
      <c r="C84" s="3072">
        <v>-202</v>
      </c>
      <c r="D84" s="3118" t="s">
        <v>3629</v>
      </c>
      <c r="E84" s="3119">
        <v>84.02</v>
      </c>
      <c r="F84" s="3119">
        <v>2520600</v>
      </c>
      <c r="G84" s="3070" t="s">
        <v>3503</v>
      </c>
      <c r="H84" s="3070" t="s">
        <v>3230</v>
      </c>
      <c r="I84" s="3070">
        <f t="shared" si="1"/>
        <v>30000</v>
      </c>
      <c r="J84" s="3402"/>
      <c r="K84" s="3402"/>
      <c r="L84" s="3402"/>
      <c r="M84" s="3402"/>
      <c r="N84" s="3402"/>
    </row>
    <row r="85" spans="1:14">
      <c r="A85" s="3399"/>
      <c r="B85" s="3071">
        <v>4</v>
      </c>
      <c r="C85" s="3071" t="s">
        <v>3630</v>
      </c>
      <c r="D85" s="3118" t="s">
        <v>3631</v>
      </c>
      <c r="E85" s="3071">
        <v>44.59</v>
      </c>
      <c r="F85" s="3071">
        <v>420000</v>
      </c>
      <c r="G85" s="3070" t="s">
        <v>3174</v>
      </c>
      <c r="H85" s="3070" t="s">
        <v>3174</v>
      </c>
      <c r="I85" s="3070">
        <f t="shared" si="1"/>
        <v>9419</v>
      </c>
      <c r="J85" s="3402"/>
      <c r="K85" s="3402"/>
      <c r="L85" s="3402"/>
      <c r="M85" s="3402"/>
      <c r="N85" s="3402"/>
    </row>
    <row r="86" spans="1:14">
      <c r="A86" s="3400"/>
      <c r="B86" s="3071">
        <v>4</v>
      </c>
      <c r="C86" s="3071" t="s">
        <v>3632</v>
      </c>
      <c r="D86" s="3118" t="s">
        <v>3633</v>
      </c>
      <c r="E86" s="3071">
        <v>44.59</v>
      </c>
      <c r="F86" s="3071">
        <v>420000</v>
      </c>
      <c r="G86" s="3070" t="s">
        <v>3174</v>
      </c>
      <c r="H86" s="3070" t="s">
        <v>3174</v>
      </c>
      <c r="I86" s="3070">
        <f t="shared" si="1"/>
        <v>9419</v>
      </c>
      <c r="J86" s="3402"/>
      <c r="K86" s="3402"/>
      <c r="L86" s="3402"/>
      <c r="M86" s="3402"/>
      <c r="N86" s="3402"/>
    </row>
    <row r="87" spans="1:14" ht="24">
      <c r="A87" s="3398">
        <v>18</v>
      </c>
      <c r="B87" s="3071">
        <v>4</v>
      </c>
      <c r="C87" s="3072" t="s">
        <v>3524</v>
      </c>
      <c r="D87" s="3118" t="s">
        <v>3634</v>
      </c>
      <c r="E87" s="3119">
        <v>133.31</v>
      </c>
      <c r="F87" s="3119">
        <v>7569608</v>
      </c>
      <c r="G87" s="3070" t="s">
        <v>3173</v>
      </c>
      <c r="H87" s="3070" t="s">
        <v>3058</v>
      </c>
      <c r="I87" s="3070">
        <f t="shared" si="1"/>
        <v>56782</v>
      </c>
      <c r="J87" s="3402"/>
      <c r="K87" s="3402"/>
      <c r="L87" s="3402"/>
      <c r="M87" s="3402"/>
      <c r="N87" s="3402"/>
    </row>
    <row r="88" spans="1:14" ht="24">
      <c r="A88" s="3399"/>
      <c r="B88" s="3071">
        <v>4</v>
      </c>
      <c r="C88" s="3072" t="s">
        <v>3526</v>
      </c>
      <c r="D88" s="3118" t="s">
        <v>3635</v>
      </c>
      <c r="E88" s="3119">
        <v>83.83</v>
      </c>
      <c r="F88" s="3119">
        <v>2514900</v>
      </c>
      <c r="G88" s="3070" t="s">
        <v>3501</v>
      </c>
      <c r="H88" s="3070" t="s">
        <v>3230</v>
      </c>
      <c r="I88" s="3070">
        <f t="shared" si="1"/>
        <v>30000</v>
      </c>
      <c r="J88" s="3402"/>
      <c r="K88" s="3402"/>
      <c r="L88" s="3402"/>
      <c r="M88" s="3402"/>
      <c r="N88" s="3402"/>
    </row>
    <row r="89" spans="1:14">
      <c r="A89" s="3399"/>
      <c r="B89" s="3071">
        <v>4</v>
      </c>
      <c r="C89" s="3072">
        <v>-203</v>
      </c>
      <c r="D89" s="3118" t="s">
        <v>3636</v>
      </c>
      <c r="E89" s="3119">
        <v>84.02</v>
      </c>
      <c r="F89" s="3119">
        <v>2520600</v>
      </c>
      <c r="G89" s="3070" t="s">
        <v>3503</v>
      </c>
      <c r="H89" s="3070" t="s">
        <v>3230</v>
      </c>
      <c r="I89" s="3070">
        <f t="shared" si="1"/>
        <v>30000</v>
      </c>
      <c r="J89" s="3402"/>
      <c r="K89" s="3402"/>
      <c r="L89" s="3402"/>
      <c r="M89" s="3402"/>
      <c r="N89" s="3402"/>
    </row>
    <row r="90" spans="1:14">
      <c r="A90" s="3399"/>
      <c r="B90" s="3071">
        <v>4</v>
      </c>
      <c r="C90" s="3071" t="s">
        <v>3637</v>
      </c>
      <c r="D90" s="3118" t="s">
        <v>3638</v>
      </c>
      <c r="E90" s="3071">
        <v>44.59</v>
      </c>
      <c r="F90" s="3071">
        <v>420000</v>
      </c>
      <c r="G90" s="3070" t="s">
        <v>3174</v>
      </c>
      <c r="H90" s="3070" t="s">
        <v>3174</v>
      </c>
      <c r="I90" s="3070">
        <f t="shared" si="1"/>
        <v>9419</v>
      </c>
      <c r="J90" s="3402"/>
      <c r="K90" s="3402"/>
      <c r="L90" s="3402"/>
      <c r="M90" s="3402"/>
      <c r="N90" s="3402"/>
    </row>
    <row r="91" spans="1:14">
      <c r="A91" s="3400"/>
      <c r="B91" s="3071">
        <v>4</v>
      </c>
      <c r="C91" s="3071" t="s">
        <v>3639</v>
      </c>
      <c r="D91" s="3118" t="s">
        <v>3640</v>
      </c>
      <c r="E91" s="3071">
        <v>44.59</v>
      </c>
      <c r="F91" s="3071">
        <v>420000</v>
      </c>
      <c r="G91" s="3070" t="s">
        <v>3174</v>
      </c>
      <c r="H91" s="3070" t="s">
        <v>3174</v>
      </c>
      <c r="I91" s="3070">
        <f t="shared" si="1"/>
        <v>9419</v>
      </c>
      <c r="J91" s="3402"/>
      <c r="K91" s="3402"/>
      <c r="L91" s="3402"/>
      <c r="M91" s="3402"/>
      <c r="N91" s="3402"/>
    </row>
    <row r="92" spans="1:14" ht="24">
      <c r="A92" s="3398">
        <v>19</v>
      </c>
      <c r="B92" s="3071">
        <v>4</v>
      </c>
      <c r="C92" s="3072" t="s">
        <v>3533</v>
      </c>
      <c r="D92" s="3118" t="s">
        <v>3641</v>
      </c>
      <c r="E92" s="3119">
        <v>133.5</v>
      </c>
      <c r="F92" s="3119">
        <v>7681590</v>
      </c>
      <c r="G92" s="3070" t="s">
        <v>3173</v>
      </c>
      <c r="H92" s="3070" t="s">
        <v>3058</v>
      </c>
      <c r="I92" s="3070">
        <f t="shared" si="1"/>
        <v>57540</v>
      </c>
      <c r="J92" s="3402"/>
      <c r="K92" s="3402"/>
      <c r="L92" s="3402"/>
      <c r="M92" s="3402"/>
      <c r="N92" s="3402"/>
    </row>
    <row r="93" spans="1:14" ht="24">
      <c r="A93" s="3399"/>
      <c r="B93" s="3071">
        <v>4</v>
      </c>
      <c r="C93" s="3072" t="s">
        <v>3535</v>
      </c>
      <c r="D93" s="3118" t="s">
        <v>3642</v>
      </c>
      <c r="E93" s="3119">
        <v>84.09</v>
      </c>
      <c r="F93" s="3119">
        <v>2522700</v>
      </c>
      <c r="G93" s="3070" t="s">
        <v>3501</v>
      </c>
      <c r="H93" s="3070" t="s">
        <v>3230</v>
      </c>
      <c r="I93" s="3070">
        <f t="shared" si="1"/>
        <v>30000</v>
      </c>
      <c r="J93" s="3402"/>
      <c r="K93" s="3402"/>
      <c r="L93" s="3402"/>
      <c r="M93" s="3402"/>
      <c r="N93" s="3402"/>
    </row>
    <row r="94" spans="1:14">
      <c r="A94" s="3399"/>
      <c r="B94" s="3071">
        <v>4</v>
      </c>
      <c r="C94" s="3072">
        <v>-204</v>
      </c>
      <c r="D94" s="3118" t="s">
        <v>3643</v>
      </c>
      <c r="E94" s="3119">
        <v>84.02</v>
      </c>
      <c r="F94" s="3119">
        <v>2520600</v>
      </c>
      <c r="G94" s="3070" t="s">
        <v>3503</v>
      </c>
      <c r="H94" s="3070" t="s">
        <v>3230</v>
      </c>
      <c r="I94" s="3070">
        <f t="shared" si="1"/>
        <v>30000</v>
      </c>
      <c r="J94" s="3402"/>
      <c r="K94" s="3402"/>
      <c r="L94" s="3402"/>
      <c r="M94" s="3402"/>
      <c r="N94" s="3402"/>
    </row>
    <row r="95" spans="1:14">
      <c r="A95" s="3399"/>
      <c r="B95" s="3071">
        <v>4</v>
      </c>
      <c r="C95" s="3071" t="s">
        <v>3644</v>
      </c>
      <c r="D95" s="3118" t="s">
        <v>3645</v>
      </c>
      <c r="E95" s="3071">
        <v>44.59</v>
      </c>
      <c r="F95" s="3071">
        <v>420000</v>
      </c>
      <c r="G95" s="3070" t="s">
        <v>3174</v>
      </c>
      <c r="H95" s="3070" t="s">
        <v>3174</v>
      </c>
      <c r="I95" s="3070">
        <f t="shared" si="1"/>
        <v>9419</v>
      </c>
      <c r="J95" s="3402"/>
      <c r="K95" s="3402"/>
      <c r="L95" s="3402"/>
      <c r="M95" s="3402"/>
      <c r="N95" s="3402"/>
    </row>
    <row r="96" spans="1:14">
      <c r="A96" s="3400"/>
      <c r="B96" s="3071">
        <v>4</v>
      </c>
      <c r="C96" s="3071" t="s">
        <v>3646</v>
      </c>
      <c r="D96" s="3118" t="s">
        <v>3647</v>
      </c>
      <c r="E96" s="3071">
        <v>44.59</v>
      </c>
      <c r="F96" s="3071">
        <v>420000</v>
      </c>
      <c r="G96" s="3070" t="s">
        <v>3174</v>
      </c>
      <c r="H96" s="3070" t="s">
        <v>3174</v>
      </c>
      <c r="I96" s="3070">
        <f t="shared" si="1"/>
        <v>9419</v>
      </c>
      <c r="J96" s="3402"/>
      <c r="K96" s="3402"/>
      <c r="L96" s="3402"/>
      <c r="M96" s="3402"/>
      <c r="N96" s="3402"/>
    </row>
    <row r="97" spans="1:14" ht="24">
      <c r="A97" s="3398">
        <v>20</v>
      </c>
      <c r="B97" s="3071">
        <v>4</v>
      </c>
      <c r="C97" s="3072" t="s">
        <v>3551</v>
      </c>
      <c r="D97" s="3118" t="s">
        <v>3648</v>
      </c>
      <c r="E97" s="3119">
        <v>133.31</v>
      </c>
      <c r="F97" s="3119">
        <v>7669590</v>
      </c>
      <c r="G97" s="3070" t="s">
        <v>3173</v>
      </c>
      <c r="H97" s="3070" t="s">
        <v>3058</v>
      </c>
      <c r="I97" s="3070">
        <f t="shared" si="1"/>
        <v>57532</v>
      </c>
      <c r="J97" s="3402"/>
      <c r="K97" s="3402"/>
      <c r="L97" s="3402"/>
      <c r="M97" s="3402"/>
      <c r="N97" s="3402"/>
    </row>
    <row r="98" spans="1:14" ht="24">
      <c r="A98" s="3399"/>
      <c r="B98" s="3071">
        <v>4</v>
      </c>
      <c r="C98" s="3072" t="s">
        <v>3553</v>
      </c>
      <c r="D98" s="3118" t="s">
        <v>3649</v>
      </c>
      <c r="E98" s="3119">
        <v>83.83</v>
      </c>
      <c r="F98" s="3119">
        <v>2514900</v>
      </c>
      <c r="G98" s="3070" t="s">
        <v>3501</v>
      </c>
      <c r="H98" s="3070" t="s">
        <v>3230</v>
      </c>
      <c r="I98" s="3070">
        <f t="shared" si="1"/>
        <v>30000</v>
      </c>
      <c r="J98" s="3402"/>
      <c r="K98" s="3402"/>
      <c r="L98" s="3402"/>
      <c r="M98" s="3402"/>
      <c r="N98" s="3402"/>
    </row>
    <row r="99" spans="1:14">
      <c r="A99" s="3399"/>
      <c r="B99" s="3071">
        <v>4</v>
      </c>
      <c r="C99" s="3072">
        <v>-206</v>
      </c>
      <c r="D99" s="3118" t="s">
        <v>3650</v>
      </c>
      <c r="E99" s="3119">
        <v>84.02</v>
      </c>
      <c r="F99" s="3119">
        <v>2520600</v>
      </c>
      <c r="G99" s="3070" t="s">
        <v>3503</v>
      </c>
      <c r="H99" s="3070" t="s">
        <v>3230</v>
      </c>
      <c r="I99" s="3070">
        <f t="shared" si="1"/>
        <v>30000</v>
      </c>
      <c r="J99" s="3402"/>
      <c r="K99" s="3402"/>
      <c r="L99" s="3402"/>
      <c r="M99" s="3402"/>
      <c r="N99" s="3402"/>
    </row>
    <row r="100" spans="1:14">
      <c r="A100" s="3399"/>
      <c r="B100" s="3071">
        <v>4</v>
      </c>
      <c r="C100" s="3071" t="s">
        <v>3651</v>
      </c>
      <c r="D100" s="3118" t="s">
        <v>3652</v>
      </c>
      <c r="E100" s="3071">
        <v>44.59</v>
      </c>
      <c r="F100" s="3071">
        <v>420000</v>
      </c>
      <c r="G100" s="3070" t="s">
        <v>3174</v>
      </c>
      <c r="H100" s="3070" t="s">
        <v>3174</v>
      </c>
      <c r="I100" s="3070">
        <f t="shared" si="1"/>
        <v>9419</v>
      </c>
      <c r="J100" s="3402"/>
      <c r="K100" s="3402"/>
      <c r="L100" s="3402"/>
      <c r="M100" s="3402"/>
      <c r="N100" s="3402"/>
    </row>
    <row r="101" spans="1:14">
      <c r="A101" s="3400"/>
      <c r="B101" s="3071">
        <v>4</v>
      </c>
      <c r="C101" s="3071" t="s">
        <v>3653</v>
      </c>
      <c r="D101" s="3118" t="s">
        <v>3654</v>
      </c>
      <c r="E101" s="3071">
        <v>44.59</v>
      </c>
      <c r="F101" s="3071">
        <v>420000</v>
      </c>
      <c r="G101" s="3070" t="s">
        <v>3174</v>
      </c>
      <c r="H101" s="3070" t="s">
        <v>3174</v>
      </c>
      <c r="I101" s="3070">
        <f t="shared" si="1"/>
        <v>9419</v>
      </c>
      <c r="J101" s="3402"/>
      <c r="K101" s="3402"/>
      <c r="L101" s="3402"/>
      <c r="M101" s="3402"/>
      <c r="N101" s="3402"/>
    </row>
    <row r="102" spans="1:14" ht="24">
      <c r="A102" s="3398">
        <v>21</v>
      </c>
      <c r="B102" s="3071">
        <v>4</v>
      </c>
      <c r="C102" s="3072" t="s">
        <v>3560</v>
      </c>
      <c r="D102" s="3118" t="s">
        <v>3655</v>
      </c>
      <c r="E102" s="3119">
        <v>133.31</v>
      </c>
      <c r="F102" s="3119">
        <v>7669590</v>
      </c>
      <c r="G102" s="3070" t="s">
        <v>3173</v>
      </c>
      <c r="H102" s="3070" t="s">
        <v>3058</v>
      </c>
      <c r="I102" s="3070">
        <f t="shared" si="1"/>
        <v>57532</v>
      </c>
      <c r="J102" s="3402"/>
      <c r="K102" s="3402"/>
      <c r="L102" s="3402"/>
      <c r="M102" s="3402"/>
      <c r="N102" s="3402"/>
    </row>
    <row r="103" spans="1:14" ht="24">
      <c r="A103" s="3399"/>
      <c r="B103" s="3071">
        <v>4</v>
      </c>
      <c r="C103" s="3072" t="s">
        <v>3562</v>
      </c>
      <c r="D103" s="3118" t="s">
        <v>3656</v>
      </c>
      <c r="E103" s="3119">
        <v>83.83</v>
      </c>
      <c r="F103" s="3119">
        <v>2514900</v>
      </c>
      <c r="G103" s="3070" t="s">
        <v>3501</v>
      </c>
      <c r="H103" s="3070" t="s">
        <v>3230</v>
      </c>
      <c r="I103" s="3070">
        <f t="shared" si="1"/>
        <v>30000</v>
      </c>
      <c r="J103" s="3402"/>
      <c r="K103" s="3402"/>
      <c r="L103" s="3402"/>
      <c r="M103" s="3402"/>
      <c r="N103" s="3402"/>
    </row>
    <row r="104" spans="1:14">
      <c r="A104" s="3399"/>
      <c r="B104" s="3071">
        <v>4</v>
      </c>
      <c r="C104" s="3072">
        <v>-207</v>
      </c>
      <c r="D104" s="3118" t="s">
        <v>3657</v>
      </c>
      <c r="E104" s="3119">
        <v>84.02</v>
      </c>
      <c r="F104" s="3119">
        <v>2520600</v>
      </c>
      <c r="G104" s="3070" t="s">
        <v>3503</v>
      </c>
      <c r="H104" s="3070" t="s">
        <v>3230</v>
      </c>
      <c r="I104" s="3070">
        <f t="shared" si="1"/>
        <v>30000</v>
      </c>
      <c r="J104" s="3402"/>
      <c r="K104" s="3402"/>
      <c r="L104" s="3402"/>
      <c r="M104" s="3402"/>
      <c r="N104" s="3402"/>
    </row>
    <row r="105" spans="1:14">
      <c r="A105" s="3399"/>
      <c r="B105" s="3071">
        <v>4</v>
      </c>
      <c r="C105" s="3071" t="s">
        <v>3658</v>
      </c>
      <c r="D105" s="3118" t="s">
        <v>3659</v>
      </c>
      <c r="E105" s="3071">
        <v>44.59</v>
      </c>
      <c r="F105" s="3071">
        <v>420000</v>
      </c>
      <c r="G105" s="3070" t="s">
        <v>3174</v>
      </c>
      <c r="H105" s="3070" t="s">
        <v>3174</v>
      </c>
      <c r="I105" s="3070">
        <f t="shared" si="1"/>
        <v>9419</v>
      </c>
      <c r="J105" s="3402"/>
      <c r="K105" s="3402"/>
      <c r="L105" s="3402"/>
      <c r="M105" s="3402"/>
      <c r="N105" s="3402"/>
    </row>
    <row r="106" spans="1:14">
      <c r="A106" s="3400"/>
      <c r="B106" s="3071">
        <v>4</v>
      </c>
      <c r="C106" s="3071" t="s">
        <v>3660</v>
      </c>
      <c r="D106" s="3118" t="s">
        <v>3661</v>
      </c>
      <c r="E106" s="3071">
        <v>44.59</v>
      </c>
      <c r="F106" s="3071">
        <v>420000</v>
      </c>
      <c r="G106" s="3070" t="s">
        <v>3174</v>
      </c>
      <c r="H106" s="3070" t="s">
        <v>3174</v>
      </c>
      <c r="I106" s="3070">
        <f t="shared" si="1"/>
        <v>9419</v>
      </c>
      <c r="J106" s="3402"/>
      <c r="K106" s="3402"/>
      <c r="L106" s="3402"/>
      <c r="M106" s="3402"/>
      <c r="N106" s="3402"/>
    </row>
    <row r="107" spans="1:14" ht="24">
      <c r="A107" s="3398">
        <v>22</v>
      </c>
      <c r="B107" s="3071">
        <v>4</v>
      </c>
      <c r="C107" s="3072" t="s">
        <v>3611</v>
      </c>
      <c r="D107" s="3118" t="s">
        <v>3662</v>
      </c>
      <c r="E107" s="3119">
        <v>133.5</v>
      </c>
      <c r="F107" s="3119">
        <v>7981698</v>
      </c>
      <c r="G107" s="3070" t="s">
        <v>3173</v>
      </c>
      <c r="H107" s="3070" t="s">
        <v>3058</v>
      </c>
      <c r="I107" s="3070">
        <f t="shared" si="1"/>
        <v>59788</v>
      </c>
      <c r="J107" s="3402"/>
      <c r="K107" s="3402"/>
      <c r="L107" s="3402"/>
      <c r="M107" s="3402"/>
      <c r="N107" s="3402"/>
    </row>
    <row r="108" spans="1:14" ht="24">
      <c r="A108" s="3399"/>
      <c r="B108" s="3071">
        <v>4</v>
      </c>
      <c r="C108" s="3072" t="s">
        <v>3613</v>
      </c>
      <c r="D108" s="3118" t="s">
        <v>3663</v>
      </c>
      <c r="E108" s="3119">
        <v>84.09</v>
      </c>
      <c r="F108" s="3119">
        <v>2522700</v>
      </c>
      <c r="G108" s="3070" t="s">
        <v>3501</v>
      </c>
      <c r="H108" s="3070" t="s">
        <v>3230</v>
      </c>
      <c r="I108" s="3070">
        <f t="shared" si="1"/>
        <v>30000</v>
      </c>
      <c r="J108" s="3402"/>
      <c r="K108" s="3402"/>
      <c r="L108" s="3402"/>
      <c r="M108" s="3402"/>
      <c r="N108" s="3402"/>
    </row>
    <row r="109" spans="1:14">
      <c r="A109" s="3399"/>
      <c r="B109" s="3071">
        <v>4</v>
      </c>
      <c r="C109" s="3072">
        <v>-208</v>
      </c>
      <c r="D109" s="3118" t="s">
        <v>3664</v>
      </c>
      <c r="E109" s="3119">
        <v>84.02</v>
      </c>
      <c r="F109" s="3119">
        <v>2520600</v>
      </c>
      <c r="G109" s="3070" t="s">
        <v>3503</v>
      </c>
      <c r="H109" s="3070" t="s">
        <v>3230</v>
      </c>
      <c r="I109" s="3070">
        <f t="shared" si="1"/>
        <v>30000</v>
      </c>
      <c r="J109" s="3402"/>
      <c r="K109" s="3402"/>
      <c r="L109" s="3402"/>
      <c r="M109" s="3402"/>
      <c r="N109" s="3402"/>
    </row>
    <row r="110" spans="1:14">
      <c r="A110" s="3399"/>
      <c r="B110" s="3071">
        <v>4</v>
      </c>
      <c r="C110" s="3071" t="s">
        <v>3665</v>
      </c>
      <c r="D110" s="3118" t="s">
        <v>3666</v>
      </c>
      <c r="E110" s="3071">
        <v>44.59</v>
      </c>
      <c r="F110" s="3071">
        <v>420000</v>
      </c>
      <c r="G110" s="3070" t="s">
        <v>3174</v>
      </c>
      <c r="H110" s="3070" t="s">
        <v>3174</v>
      </c>
      <c r="I110" s="3070">
        <f t="shared" si="1"/>
        <v>9419</v>
      </c>
      <c r="J110" s="3402"/>
      <c r="K110" s="3402"/>
      <c r="L110" s="3402"/>
      <c r="M110" s="3402"/>
      <c r="N110" s="3402"/>
    </row>
    <row r="111" spans="1:14">
      <c r="A111" s="3400"/>
      <c r="B111" s="3071">
        <v>4</v>
      </c>
      <c r="C111" s="3071" t="s">
        <v>3667</v>
      </c>
      <c r="D111" s="3118" t="s">
        <v>3668</v>
      </c>
      <c r="E111" s="3071">
        <v>44.59</v>
      </c>
      <c r="F111" s="3071">
        <v>420000</v>
      </c>
      <c r="G111" s="3070" t="s">
        <v>3174</v>
      </c>
      <c r="H111" s="3070" t="s">
        <v>3174</v>
      </c>
      <c r="I111" s="3070">
        <f t="shared" si="1"/>
        <v>9419</v>
      </c>
      <c r="J111" s="3403"/>
      <c r="K111" s="3403"/>
      <c r="L111" s="3403"/>
      <c r="M111" s="3403"/>
      <c r="N111" s="3403"/>
    </row>
    <row r="112" spans="1:14" ht="24">
      <c r="A112" s="3398">
        <v>23</v>
      </c>
      <c r="B112" s="3071">
        <v>5</v>
      </c>
      <c r="C112" s="3072" t="s">
        <v>3497</v>
      </c>
      <c r="D112" s="3118" t="s">
        <v>3669</v>
      </c>
      <c r="E112" s="3119">
        <v>138.86000000000001</v>
      </c>
      <c r="F112" s="3119">
        <v>8822192</v>
      </c>
      <c r="G112" s="3070" t="s">
        <v>3173</v>
      </c>
      <c r="H112" s="3070" t="s">
        <v>3058</v>
      </c>
      <c r="I112" s="3070">
        <f t="shared" si="1"/>
        <v>63533</v>
      </c>
      <c r="J112" s="3401">
        <v>3</v>
      </c>
      <c r="K112" s="3401">
        <v>2</v>
      </c>
      <c r="L112" s="3401">
        <f>E112+E117</f>
        <v>277.93</v>
      </c>
      <c r="M112" s="3401">
        <f>E113+E114+E118+E119</f>
        <v>344.11</v>
      </c>
      <c r="N112" s="3401">
        <f>L112+M112</f>
        <v>622.04</v>
      </c>
    </row>
    <row r="113" spans="1:14" ht="24">
      <c r="A113" s="3399"/>
      <c r="B113" s="3071">
        <v>5</v>
      </c>
      <c r="C113" s="3072" t="s">
        <v>3499</v>
      </c>
      <c r="D113" s="3118" t="s">
        <v>3670</v>
      </c>
      <c r="E113" s="3119">
        <v>86.54</v>
      </c>
      <c r="F113" s="3119">
        <v>2596200</v>
      </c>
      <c r="G113" s="3070" t="s">
        <v>3501</v>
      </c>
      <c r="H113" s="3070" t="s">
        <v>3230</v>
      </c>
      <c r="I113" s="3070">
        <f t="shared" si="1"/>
        <v>30000</v>
      </c>
      <c r="J113" s="3402"/>
      <c r="K113" s="3402"/>
      <c r="L113" s="3402"/>
      <c r="M113" s="3402"/>
      <c r="N113" s="3402"/>
    </row>
    <row r="114" spans="1:14">
      <c r="A114" s="3399"/>
      <c r="B114" s="3071">
        <v>5</v>
      </c>
      <c r="C114" s="3072">
        <v>-202</v>
      </c>
      <c r="D114" s="3118" t="s">
        <v>3671</v>
      </c>
      <c r="E114" s="3119">
        <v>85.24</v>
      </c>
      <c r="F114" s="3119">
        <v>2557200</v>
      </c>
      <c r="G114" s="3070" t="s">
        <v>3503</v>
      </c>
      <c r="H114" s="3070" t="s">
        <v>3230</v>
      </c>
      <c r="I114" s="3070">
        <f t="shared" si="1"/>
        <v>30000</v>
      </c>
      <c r="J114" s="3402"/>
      <c r="K114" s="3402"/>
      <c r="L114" s="3402"/>
      <c r="M114" s="3402"/>
      <c r="N114" s="3402"/>
    </row>
    <row r="115" spans="1:14">
      <c r="A115" s="3399"/>
      <c r="B115" s="3071">
        <v>5</v>
      </c>
      <c r="C115" s="3071" t="s">
        <v>3672</v>
      </c>
      <c r="D115" s="3118" t="s">
        <v>3673</v>
      </c>
      <c r="E115" s="3071">
        <v>44.59</v>
      </c>
      <c r="F115" s="3071">
        <v>420000</v>
      </c>
      <c r="G115" s="3070" t="s">
        <v>3174</v>
      </c>
      <c r="H115" s="3070" t="s">
        <v>3174</v>
      </c>
      <c r="I115" s="3070">
        <f t="shared" si="1"/>
        <v>9419</v>
      </c>
      <c r="J115" s="3402"/>
      <c r="K115" s="3402"/>
      <c r="L115" s="3402"/>
      <c r="M115" s="3402"/>
      <c r="N115" s="3402"/>
    </row>
    <row r="116" spans="1:14">
      <c r="A116" s="3400"/>
      <c r="B116" s="3071">
        <v>5</v>
      </c>
      <c r="C116" s="3071" t="s">
        <v>3674</v>
      </c>
      <c r="D116" s="3118" t="s">
        <v>3675</v>
      </c>
      <c r="E116" s="3071">
        <v>44.59</v>
      </c>
      <c r="F116" s="3071">
        <v>420000</v>
      </c>
      <c r="G116" s="3070" t="s">
        <v>3174</v>
      </c>
      <c r="H116" s="3070" t="s">
        <v>3174</v>
      </c>
      <c r="I116" s="3070">
        <f t="shared" si="1"/>
        <v>9419</v>
      </c>
      <c r="J116" s="3402"/>
      <c r="K116" s="3402"/>
      <c r="L116" s="3402"/>
      <c r="M116" s="3402"/>
      <c r="N116" s="3402"/>
    </row>
    <row r="117" spans="1:14" ht="24">
      <c r="A117" s="3398">
        <v>24</v>
      </c>
      <c r="B117" s="3071">
        <v>5</v>
      </c>
      <c r="C117" s="3072" t="s">
        <v>3524</v>
      </c>
      <c r="D117" s="3118" t="s">
        <v>3676</v>
      </c>
      <c r="E117" s="3119">
        <v>139.07</v>
      </c>
      <c r="F117" s="3119">
        <v>8835534</v>
      </c>
      <c r="G117" s="3070" t="s">
        <v>3173</v>
      </c>
      <c r="H117" s="3070" t="s">
        <v>3058</v>
      </c>
      <c r="I117" s="3070">
        <f t="shared" si="1"/>
        <v>63533</v>
      </c>
      <c r="J117" s="3402"/>
      <c r="K117" s="3402"/>
      <c r="L117" s="3402"/>
      <c r="M117" s="3402"/>
      <c r="N117" s="3402"/>
    </row>
    <row r="118" spans="1:14" ht="24">
      <c r="A118" s="3399"/>
      <c r="B118" s="3071">
        <v>5</v>
      </c>
      <c r="C118" s="3072" t="s">
        <v>3526</v>
      </c>
      <c r="D118" s="3118" t="s">
        <v>3677</v>
      </c>
      <c r="E118" s="3119">
        <v>87.09</v>
      </c>
      <c r="F118" s="3119">
        <v>2612700</v>
      </c>
      <c r="G118" s="3070" t="s">
        <v>3501</v>
      </c>
      <c r="H118" s="3070" t="s">
        <v>3230</v>
      </c>
      <c r="I118" s="3070">
        <f t="shared" si="1"/>
        <v>30000</v>
      </c>
      <c r="J118" s="3402"/>
      <c r="K118" s="3402"/>
      <c r="L118" s="3402"/>
      <c r="M118" s="3402"/>
      <c r="N118" s="3402"/>
    </row>
    <row r="119" spans="1:14">
      <c r="A119" s="3399"/>
      <c r="B119" s="3071">
        <v>5</v>
      </c>
      <c r="C119" s="3072">
        <v>-203</v>
      </c>
      <c r="D119" s="3118" t="s">
        <v>3678</v>
      </c>
      <c r="E119" s="3119">
        <v>85.24</v>
      </c>
      <c r="F119" s="3119">
        <v>2557200</v>
      </c>
      <c r="G119" s="3070" t="s">
        <v>3503</v>
      </c>
      <c r="H119" s="3070" t="s">
        <v>3230</v>
      </c>
      <c r="I119" s="3070">
        <f t="shared" si="1"/>
        <v>30000</v>
      </c>
      <c r="J119" s="3402"/>
      <c r="K119" s="3402"/>
      <c r="L119" s="3402"/>
      <c r="M119" s="3402"/>
      <c r="N119" s="3402"/>
    </row>
    <row r="120" spans="1:14">
      <c r="A120" s="3399"/>
      <c r="B120" s="3071">
        <v>5</v>
      </c>
      <c r="C120" s="3071" t="s">
        <v>3679</v>
      </c>
      <c r="D120" s="3118" t="s">
        <v>3680</v>
      </c>
      <c r="E120" s="3071">
        <v>44.59</v>
      </c>
      <c r="F120" s="3071">
        <v>420000</v>
      </c>
      <c r="G120" s="3070" t="s">
        <v>3174</v>
      </c>
      <c r="H120" s="3070" t="s">
        <v>3174</v>
      </c>
      <c r="I120" s="3070">
        <f t="shared" si="1"/>
        <v>9419</v>
      </c>
      <c r="J120" s="3402"/>
      <c r="K120" s="3402"/>
      <c r="L120" s="3402"/>
      <c r="M120" s="3402"/>
      <c r="N120" s="3402"/>
    </row>
    <row r="121" spans="1:14">
      <c r="A121" s="3400"/>
      <c r="B121" s="3071">
        <v>5</v>
      </c>
      <c r="C121" s="3071" t="s">
        <v>3681</v>
      </c>
      <c r="D121" s="3118" t="s">
        <v>3682</v>
      </c>
      <c r="E121" s="3071">
        <v>44.59</v>
      </c>
      <c r="F121" s="3071">
        <v>420000</v>
      </c>
      <c r="G121" s="3070" t="s">
        <v>3174</v>
      </c>
      <c r="H121" s="3070" t="s">
        <v>3174</v>
      </c>
      <c r="I121" s="3070">
        <f t="shared" si="1"/>
        <v>9419</v>
      </c>
      <c r="J121" s="3403"/>
      <c r="K121" s="3403"/>
      <c r="L121" s="3403"/>
      <c r="M121" s="3403"/>
      <c r="N121" s="3403"/>
    </row>
    <row r="122" spans="1:14" ht="24">
      <c r="A122" s="3398">
        <v>25</v>
      </c>
      <c r="B122" s="3071">
        <v>6</v>
      </c>
      <c r="C122" s="3072" t="s">
        <v>3508</v>
      </c>
      <c r="D122" s="3118" t="s">
        <v>3683</v>
      </c>
      <c r="E122" s="3119">
        <v>138.61000000000001</v>
      </c>
      <c r="F122" s="3119">
        <v>8806309</v>
      </c>
      <c r="G122" s="3070" t="s">
        <v>3173</v>
      </c>
      <c r="H122" s="3070" t="s">
        <v>3058</v>
      </c>
      <c r="I122" s="3070">
        <f t="shared" si="1"/>
        <v>63533</v>
      </c>
      <c r="J122" s="3401">
        <v>4</v>
      </c>
      <c r="K122" s="3401">
        <v>2</v>
      </c>
      <c r="L122" s="3401">
        <f>E122+E127</f>
        <v>277.22000000000003</v>
      </c>
      <c r="M122" s="3401">
        <f>E123+E124+E128+E129</f>
        <v>342.61</v>
      </c>
      <c r="N122" s="3401">
        <f>L122+M122</f>
        <v>619.83000000000004</v>
      </c>
    </row>
    <row r="123" spans="1:14" ht="24">
      <c r="A123" s="3399"/>
      <c r="B123" s="3071">
        <v>6</v>
      </c>
      <c r="C123" s="3072" t="s">
        <v>3510</v>
      </c>
      <c r="D123" s="3118" t="s">
        <v>3684</v>
      </c>
      <c r="E123" s="3119">
        <v>86.48</v>
      </c>
      <c r="F123" s="3119">
        <v>2594400</v>
      </c>
      <c r="G123" s="3070" t="s">
        <v>3501</v>
      </c>
      <c r="H123" s="3070" t="s">
        <v>3230</v>
      </c>
      <c r="I123" s="3070">
        <f t="shared" si="1"/>
        <v>30000</v>
      </c>
      <c r="J123" s="3402"/>
      <c r="K123" s="3402"/>
      <c r="L123" s="3402"/>
      <c r="M123" s="3402"/>
      <c r="N123" s="3402"/>
    </row>
    <row r="124" spans="1:14">
      <c r="A124" s="3399"/>
      <c r="B124" s="3071">
        <v>6</v>
      </c>
      <c r="C124" s="3072">
        <v>-201</v>
      </c>
      <c r="D124" s="3118" t="s">
        <v>3685</v>
      </c>
      <c r="E124" s="3119">
        <v>84.38</v>
      </c>
      <c r="F124" s="3119">
        <v>2531400</v>
      </c>
      <c r="G124" s="3070" t="s">
        <v>3503</v>
      </c>
      <c r="H124" s="3070" t="s">
        <v>3230</v>
      </c>
      <c r="I124" s="3070">
        <f t="shared" si="1"/>
        <v>30000</v>
      </c>
      <c r="J124" s="3402"/>
      <c r="K124" s="3402"/>
      <c r="L124" s="3402"/>
      <c r="M124" s="3402"/>
      <c r="N124" s="3402"/>
    </row>
    <row r="125" spans="1:14">
      <c r="A125" s="3399"/>
      <c r="B125" s="3071">
        <v>6</v>
      </c>
      <c r="C125" s="3071" t="s">
        <v>3686</v>
      </c>
      <c r="D125" s="3118" t="s">
        <v>3687</v>
      </c>
      <c r="E125" s="3071">
        <v>44.59</v>
      </c>
      <c r="F125" s="3071">
        <v>420000</v>
      </c>
      <c r="G125" s="3070" t="s">
        <v>3174</v>
      </c>
      <c r="H125" s="3070" t="s">
        <v>3174</v>
      </c>
      <c r="I125" s="3070">
        <f t="shared" si="1"/>
        <v>9419</v>
      </c>
      <c r="J125" s="3402"/>
      <c r="K125" s="3402"/>
      <c r="L125" s="3402"/>
      <c r="M125" s="3402"/>
      <c r="N125" s="3402"/>
    </row>
    <row r="126" spans="1:14">
      <c r="A126" s="3400"/>
      <c r="B126" s="3071">
        <v>6</v>
      </c>
      <c r="C126" s="3071" t="s">
        <v>3688</v>
      </c>
      <c r="D126" s="3118" t="s">
        <v>3689</v>
      </c>
      <c r="E126" s="3071">
        <v>44.59</v>
      </c>
      <c r="F126" s="3071">
        <v>420000</v>
      </c>
      <c r="G126" s="3070" t="s">
        <v>3174</v>
      </c>
      <c r="H126" s="3070" t="s">
        <v>3174</v>
      </c>
      <c r="I126" s="3070">
        <f t="shared" ref="I126:I184" si="2">ROUND(F126/E126,0)</f>
        <v>9419</v>
      </c>
      <c r="J126" s="3402"/>
      <c r="K126" s="3402"/>
      <c r="L126" s="3402"/>
      <c r="M126" s="3402"/>
      <c r="N126" s="3402"/>
    </row>
    <row r="127" spans="1:14" ht="24">
      <c r="A127" s="3398">
        <v>26</v>
      </c>
      <c r="B127" s="3071">
        <v>6</v>
      </c>
      <c r="C127" s="3072" t="s">
        <v>3497</v>
      </c>
      <c r="D127" s="3118" t="s">
        <v>3690</v>
      </c>
      <c r="E127" s="3119">
        <v>138.61000000000001</v>
      </c>
      <c r="F127" s="3119">
        <v>8806309</v>
      </c>
      <c r="G127" s="3070" t="s">
        <v>3173</v>
      </c>
      <c r="H127" s="3070" t="s">
        <v>3058</v>
      </c>
      <c r="I127" s="3070">
        <f t="shared" si="2"/>
        <v>63533</v>
      </c>
      <c r="J127" s="3402"/>
      <c r="K127" s="3402"/>
      <c r="L127" s="3402"/>
      <c r="M127" s="3402"/>
      <c r="N127" s="3402"/>
    </row>
    <row r="128" spans="1:14" ht="24">
      <c r="A128" s="3399"/>
      <c r="B128" s="3071">
        <v>6</v>
      </c>
      <c r="C128" s="3072" t="s">
        <v>3499</v>
      </c>
      <c r="D128" s="3118" t="s">
        <v>3691</v>
      </c>
      <c r="E128" s="3119">
        <v>86.64</v>
      </c>
      <c r="F128" s="3119">
        <v>2599200</v>
      </c>
      <c r="G128" s="3070" t="s">
        <v>3501</v>
      </c>
      <c r="H128" s="3070" t="s">
        <v>3230</v>
      </c>
      <c r="I128" s="3070">
        <f t="shared" si="2"/>
        <v>30000</v>
      </c>
      <c r="J128" s="3402"/>
      <c r="K128" s="3402"/>
      <c r="L128" s="3402"/>
      <c r="M128" s="3402"/>
      <c r="N128" s="3402"/>
    </row>
    <row r="129" spans="1:14">
      <c r="A129" s="3399"/>
      <c r="B129" s="3071">
        <v>6</v>
      </c>
      <c r="C129" s="3072">
        <v>-202</v>
      </c>
      <c r="D129" s="3118" t="s">
        <v>3692</v>
      </c>
      <c r="E129" s="3119">
        <v>85.11</v>
      </c>
      <c r="F129" s="3119">
        <v>2553300</v>
      </c>
      <c r="G129" s="3070" t="s">
        <v>3503</v>
      </c>
      <c r="H129" s="3070" t="s">
        <v>3230</v>
      </c>
      <c r="I129" s="3070">
        <f t="shared" si="2"/>
        <v>30000</v>
      </c>
      <c r="J129" s="3402"/>
      <c r="K129" s="3402"/>
      <c r="L129" s="3402"/>
      <c r="M129" s="3402"/>
      <c r="N129" s="3402"/>
    </row>
    <row r="130" spans="1:14">
      <c r="A130" s="3399"/>
      <c r="B130" s="3071">
        <v>6</v>
      </c>
      <c r="C130" s="3071" t="s">
        <v>3693</v>
      </c>
      <c r="D130" s="3118" t="s">
        <v>3694</v>
      </c>
      <c r="E130" s="3071">
        <v>44.59</v>
      </c>
      <c r="F130" s="3071">
        <v>420000</v>
      </c>
      <c r="G130" s="3070" t="s">
        <v>3174</v>
      </c>
      <c r="H130" s="3070" t="s">
        <v>3174</v>
      </c>
      <c r="I130" s="3070">
        <f t="shared" si="2"/>
        <v>9419</v>
      </c>
      <c r="J130" s="3402"/>
      <c r="K130" s="3402"/>
      <c r="L130" s="3402"/>
      <c r="M130" s="3402"/>
      <c r="N130" s="3402"/>
    </row>
    <row r="131" spans="1:14">
      <c r="A131" s="3400"/>
      <c r="B131" s="3071">
        <v>6</v>
      </c>
      <c r="C131" s="3071" t="s">
        <v>3695</v>
      </c>
      <c r="D131" s="3118" t="s">
        <v>3696</v>
      </c>
      <c r="E131" s="3071">
        <v>44.59</v>
      </c>
      <c r="F131" s="3071">
        <v>420000</v>
      </c>
      <c r="G131" s="3070" t="s">
        <v>3174</v>
      </c>
      <c r="H131" s="3070" t="s">
        <v>3174</v>
      </c>
      <c r="I131" s="3070">
        <f t="shared" si="2"/>
        <v>9419</v>
      </c>
      <c r="J131" s="3403"/>
      <c r="K131" s="3403"/>
      <c r="L131" s="3403"/>
      <c r="M131" s="3403"/>
      <c r="N131" s="3403"/>
    </row>
    <row r="132" spans="1:14" ht="24">
      <c r="A132" s="3398">
        <v>27</v>
      </c>
      <c r="B132" s="3071">
        <v>7</v>
      </c>
      <c r="C132" s="3072" t="s">
        <v>3508</v>
      </c>
      <c r="D132" s="3118" t="s">
        <v>3697</v>
      </c>
      <c r="E132" s="3119">
        <v>133.36000000000001</v>
      </c>
      <c r="F132" s="3119">
        <v>8472760</v>
      </c>
      <c r="G132" s="3070" t="s">
        <v>3173</v>
      </c>
      <c r="H132" s="3070" t="s">
        <v>3058</v>
      </c>
      <c r="I132" s="3070">
        <f t="shared" si="2"/>
        <v>63533</v>
      </c>
      <c r="J132" s="3401">
        <v>8</v>
      </c>
      <c r="K132" s="3401">
        <v>4</v>
      </c>
      <c r="L132" s="3401">
        <f>E132+E137+E142+E147</f>
        <v>533.63000000000011</v>
      </c>
      <c r="M132" s="3401">
        <f>E133+E134+E138+E139+E143+E144+E148+E149</f>
        <v>670.94999999999993</v>
      </c>
      <c r="N132" s="3401">
        <f>L132+M132</f>
        <v>1204.58</v>
      </c>
    </row>
    <row r="133" spans="1:14" ht="24">
      <c r="A133" s="3399"/>
      <c r="B133" s="3071">
        <v>7</v>
      </c>
      <c r="C133" s="3072" t="s">
        <v>3510</v>
      </c>
      <c r="D133" s="3118" t="s">
        <v>3698</v>
      </c>
      <c r="E133" s="3119">
        <v>83.71</v>
      </c>
      <c r="F133" s="3119">
        <v>2511300</v>
      </c>
      <c r="G133" s="3070" t="s">
        <v>3501</v>
      </c>
      <c r="H133" s="3070" t="s">
        <v>3230</v>
      </c>
      <c r="I133" s="3070">
        <f t="shared" si="2"/>
        <v>30000</v>
      </c>
      <c r="J133" s="3402"/>
      <c r="K133" s="3402"/>
      <c r="L133" s="3402"/>
      <c r="M133" s="3402"/>
      <c r="N133" s="3402"/>
    </row>
    <row r="134" spans="1:14">
      <c r="A134" s="3399"/>
      <c r="B134" s="3071">
        <v>7</v>
      </c>
      <c r="C134" s="3072">
        <v>-201</v>
      </c>
      <c r="D134" s="3118" t="s">
        <v>3699</v>
      </c>
      <c r="E134" s="3119">
        <v>83.31</v>
      </c>
      <c r="F134" s="3119">
        <v>2499300</v>
      </c>
      <c r="G134" s="3070" t="s">
        <v>3503</v>
      </c>
      <c r="H134" s="3070" t="s">
        <v>3230</v>
      </c>
      <c r="I134" s="3070">
        <f t="shared" si="2"/>
        <v>30000</v>
      </c>
      <c r="J134" s="3402"/>
      <c r="K134" s="3402"/>
      <c r="L134" s="3402"/>
      <c r="M134" s="3402"/>
      <c r="N134" s="3402"/>
    </row>
    <row r="135" spans="1:14">
      <c r="A135" s="3399"/>
      <c r="B135" s="3071">
        <v>7</v>
      </c>
      <c r="C135" s="3071" t="s">
        <v>3700</v>
      </c>
      <c r="D135" s="3118" t="s">
        <v>3701</v>
      </c>
      <c r="E135" s="3071">
        <v>44.59</v>
      </c>
      <c r="F135" s="3071">
        <v>420000</v>
      </c>
      <c r="G135" s="3070" t="s">
        <v>3174</v>
      </c>
      <c r="H135" s="3070" t="s">
        <v>3174</v>
      </c>
      <c r="I135" s="3070">
        <f t="shared" si="2"/>
        <v>9419</v>
      </c>
      <c r="J135" s="3402"/>
      <c r="K135" s="3402"/>
      <c r="L135" s="3402"/>
      <c r="M135" s="3402"/>
      <c r="N135" s="3402"/>
    </row>
    <row r="136" spans="1:14">
      <c r="A136" s="3400"/>
      <c r="B136" s="3071">
        <v>7</v>
      </c>
      <c r="C136" s="3071" t="s">
        <v>3702</v>
      </c>
      <c r="D136" s="3118" t="s">
        <v>3703</v>
      </c>
      <c r="E136" s="3071">
        <v>44.59</v>
      </c>
      <c r="F136" s="3071">
        <v>420000</v>
      </c>
      <c r="G136" s="3070" t="s">
        <v>3174</v>
      </c>
      <c r="H136" s="3070" t="s">
        <v>3174</v>
      </c>
      <c r="I136" s="3070">
        <f t="shared" si="2"/>
        <v>9419</v>
      </c>
      <c r="J136" s="3402"/>
      <c r="K136" s="3402"/>
      <c r="L136" s="3402"/>
      <c r="M136" s="3402"/>
      <c r="N136" s="3402"/>
    </row>
    <row r="137" spans="1:14" ht="24">
      <c r="A137" s="3398">
        <v>28</v>
      </c>
      <c r="B137" s="3071">
        <v>7</v>
      </c>
      <c r="C137" s="3072" t="s">
        <v>3533</v>
      </c>
      <c r="D137" s="3118" t="s">
        <v>3704</v>
      </c>
      <c r="E137" s="3119">
        <v>133.55000000000001</v>
      </c>
      <c r="F137" s="3119">
        <v>7684867</v>
      </c>
      <c r="G137" s="3070" t="s">
        <v>3173</v>
      </c>
      <c r="H137" s="3070" t="s">
        <v>3058</v>
      </c>
      <c r="I137" s="3070">
        <f t="shared" si="2"/>
        <v>57543</v>
      </c>
      <c r="J137" s="3402"/>
      <c r="K137" s="3402"/>
      <c r="L137" s="3402"/>
      <c r="M137" s="3402"/>
      <c r="N137" s="3402"/>
    </row>
    <row r="138" spans="1:14" ht="24">
      <c r="A138" s="3399"/>
      <c r="B138" s="3071">
        <v>7</v>
      </c>
      <c r="C138" s="3072" t="s">
        <v>3535</v>
      </c>
      <c r="D138" s="3118" t="s">
        <v>3705</v>
      </c>
      <c r="E138" s="3119">
        <v>84.12</v>
      </c>
      <c r="F138" s="3119">
        <v>2523600</v>
      </c>
      <c r="G138" s="3070" t="s">
        <v>3501</v>
      </c>
      <c r="H138" s="3070" t="s">
        <v>3230</v>
      </c>
      <c r="I138" s="3070">
        <f t="shared" si="2"/>
        <v>30000</v>
      </c>
      <c r="J138" s="3402"/>
      <c r="K138" s="3402"/>
      <c r="L138" s="3402"/>
      <c r="M138" s="3402"/>
      <c r="N138" s="3402"/>
    </row>
    <row r="139" spans="1:14">
      <c r="A139" s="3399"/>
      <c r="B139" s="3071">
        <v>7</v>
      </c>
      <c r="C139" s="3072">
        <v>-204</v>
      </c>
      <c r="D139" s="3118" t="s">
        <v>3706</v>
      </c>
      <c r="E139" s="3119">
        <v>84.03</v>
      </c>
      <c r="F139" s="3119">
        <v>2520900</v>
      </c>
      <c r="G139" s="3070" t="s">
        <v>3503</v>
      </c>
      <c r="H139" s="3070" t="s">
        <v>3230</v>
      </c>
      <c r="I139" s="3070">
        <f t="shared" si="2"/>
        <v>30000</v>
      </c>
      <c r="J139" s="3402"/>
      <c r="K139" s="3402"/>
      <c r="L139" s="3402"/>
      <c r="M139" s="3402"/>
      <c r="N139" s="3402"/>
    </row>
    <row r="140" spans="1:14">
      <c r="A140" s="3399"/>
      <c r="B140" s="3071">
        <v>7</v>
      </c>
      <c r="C140" s="3071" t="s">
        <v>3707</v>
      </c>
      <c r="D140" s="3118" t="s">
        <v>3708</v>
      </c>
      <c r="E140" s="3071">
        <v>44.59</v>
      </c>
      <c r="F140" s="3071">
        <v>420000</v>
      </c>
      <c r="G140" s="3070" t="s">
        <v>3174</v>
      </c>
      <c r="H140" s="3070" t="s">
        <v>3174</v>
      </c>
      <c r="I140" s="3070">
        <f t="shared" si="2"/>
        <v>9419</v>
      </c>
      <c r="J140" s="3402"/>
      <c r="K140" s="3402"/>
      <c r="L140" s="3402"/>
      <c r="M140" s="3402"/>
      <c r="N140" s="3402"/>
    </row>
    <row r="141" spans="1:14">
      <c r="A141" s="3400"/>
      <c r="B141" s="3071">
        <v>7</v>
      </c>
      <c r="C141" s="3071" t="s">
        <v>3709</v>
      </c>
      <c r="D141" s="3118" t="s">
        <v>3710</v>
      </c>
      <c r="E141" s="3071">
        <v>44.59</v>
      </c>
      <c r="F141" s="3071">
        <v>420000</v>
      </c>
      <c r="G141" s="3070" t="s">
        <v>3174</v>
      </c>
      <c r="H141" s="3070" t="s">
        <v>3174</v>
      </c>
      <c r="I141" s="3070">
        <f t="shared" si="2"/>
        <v>9419</v>
      </c>
      <c r="J141" s="3402"/>
      <c r="K141" s="3402"/>
      <c r="L141" s="3402"/>
      <c r="M141" s="3402"/>
      <c r="N141" s="3402"/>
    </row>
    <row r="142" spans="1:14" ht="24">
      <c r="A142" s="3398">
        <v>29</v>
      </c>
      <c r="B142" s="3071">
        <v>7</v>
      </c>
      <c r="C142" s="3072" t="s">
        <v>3551</v>
      </c>
      <c r="D142" s="3118" t="s">
        <v>3711</v>
      </c>
      <c r="E142" s="3119">
        <v>133.36000000000001</v>
      </c>
      <c r="F142" s="3119">
        <v>7672734</v>
      </c>
      <c r="G142" s="3070" t="s">
        <v>3173</v>
      </c>
      <c r="H142" s="3070" t="s">
        <v>3058</v>
      </c>
      <c r="I142" s="3070">
        <f t="shared" si="2"/>
        <v>57534</v>
      </c>
      <c r="J142" s="3402"/>
      <c r="K142" s="3402"/>
      <c r="L142" s="3402"/>
      <c r="M142" s="3402"/>
      <c r="N142" s="3402"/>
    </row>
    <row r="143" spans="1:14" ht="24">
      <c r="A143" s="3399"/>
      <c r="B143" s="3071">
        <v>7</v>
      </c>
      <c r="C143" s="3072" t="s">
        <v>3553</v>
      </c>
      <c r="D143" s="3118" t="s">
        <v>3712</v>
      </c>
      <c r="E143" s="3119">
        <v>83.86</v>
      </c>
      <c r="F143" s="3119">
        <v>2515800</v>
      </c>
      <c r="G143" s="3070" t="s">
        <v>3501</v>
      </c>
      <c r="H143" s="3070" t="s">
        <v>3230</v>
      </c>
      <c r="I143" s="3070">
        <f t="shared" si="2"/>
        <v>30000</v>
      </c>
      <c r="J143" s="3402"/>
      <c r="K143" s="3402"/>
      <c r="L143" s="3402"/>
      <c r="M143" s="3402"/>
      <c r="N143" s="3402"/>
    </row>
    <row r="144" spans="1:14">
      <c r="A144" s="3399"/>
      <c r="B144" s="3071">
        <v>7</v>
      </c>
      <c r="C144" s="3072">
        <v>-206</v>
      </c>
      <c r="D144" s="3118" t="s">
        <v>3713</v>
      </c>
      <c r="E144" s="3119">
        <v>84.03</v>
      </c>
      <c r="F144" s="3119">
        <v>2520900</v>
      </c>
      <c r="G144" s="3070" t="s">
        <v>3503</v>
      </c>
      <c r="H144" s="3070" t="s">
        <v>3230</v>
      </c>
      <c r="I144" s="3070">
        <f t="shared" si="2"/>
        <v>30000</v>
      </c>
      <c r="J144" s="3402"/>
      <c r="K144" s="3402"/>
      <c r="L144" s="3402"/>
      <c r="M144" s="3402"/>
      <c r="N144" s="3402"/>
    </row>
    <row r="145" spans="1:14">
      <c r="A145" s="3399"/>
      <c r="B145" s="3071">
        <v>7</v>
      </c>
      <c r="C145" s="3071" t="s">
        <v>3714</v>
      </c>
      <c r="D145" s="3118" t="s">
        <v>3715</v>
      </c>
      <c r="E145" s="3071">
        <v>44.59</v>
      </c>
      <c r="F145" s="3071">
        <v>420000</v>
      </c>
      <c r="G145" s="3070" t="s">
        <v>3174</v>
      </c>
      <c r="H145" s="3070" t="s">
        <v>3174</v>
      </c>
      <c r="I145" s="3070">
        <f t="shared" si="2"/>
        <v>9419</v>
      </c>
      <c r="J145" s="3402"/>
      <c r="K145" s="3402"/>
      <c r="L145" s="3402"/>
      <c r="M145" s="3402"/>
      <c r="N145" s="3402"/>
    </row>
    <row r="146" spans="1:14">
      <c r="A146" s="3400"/>
      <c r="B146" s="3071">
        <v>7</v>
      </c>
      <c r="C146" s="3071" t="s">
        <v>3716</v>
      </c>
      <c r="D146" s="3118" t="s">
        <v>3717</v>
      </c>
      <c r="E146" s="3071">
        <v>44.59</v>
      </c>
      <c r="F146" s="3071">
        <v>420000</v>
      </c>
      <c r="G146" s="3070" t="s">
        <v>3174</v>
      </c>
      <c r="H146" s="3070" t="s">
        <v>3174</v>
      </c>
      <c r="I146" s="3070">
        <f t="shared" si="2"/>
        <v>9419</v>
      </c>
      <c r="J146" s="3402"/>
      <c r="K146" s="3402"/>
      <c r="L146" s="3402"/>
      <c r="M146" s="3402"/>
      <c r="N146" s="3402"/>
    </row>
    <row r="147" spans="1:14" ht="24">
      <c r="A147" s="3398">
        <v>30</v>
      </c>
      <c r="B147" s="3071">
        <v>7</v>
      </c>
      <c r="C147" s="3072" t="s">
        <v>3560</v>
      </c>
      <c r="D147" s="3118" t="s">
        <v>3718</v>
      </c>
      <c r="E147" s="3119">
        <v>133.36000000000001</v>
      </c>
      <c r="F147" s="3119">
        <v>7672734</v>
      </c>
      <c r="G147" s="3070" t="s">
        <v>3173</v>
      </c>
      <c r="H147" s="3070" t="s">
        <v>3058</v>
      </c>
      <c r="I147" s="3070">
        <f t="shared" si="2"/>
        <v>57534</v>
      </c>
      <c r="J147" s="3402"/>
      <c r="K147" s="3402"/>
      <c r="L147" s="3402"/>
      <c r="M147" s="3402"/>
      <c r="N147" s="3402"/>
    </row>
    <row r="148" spans="1:14" ht="24">
      <c r="A148" s="3399"/>
      <c r="B148" s="3071">
        <v>7</v>
      </c>
      <c r="C148" s="3072" t="s">
        <v>3562</v>
      </c>
      <c r="D148" s="3118" t="s">
        <v>3719</v>
      </c>
      <c r="E148" s="3119">
        <v>83.86</v>
      </c>
      <c r="F148" s="3119">
        <v>2515800</v>
      </c>
      <c r="G148" s="3070" t="s">
        <v>3501</v>
      </c>
      <c r="H148" s="3070" t="s">
        <v>3230</v>
      </c>
      <c r="I148" s="3070">
        <f t="shared" si="2"/>
        <v>30000</v>
      </c>
      <c r="J148" s="3402"/>
      <c r="K148" s="3402"/>
      <c r="L148" s="3402"/>
      <c r="M148" s="3402"/>
      <c r="N148" s="3402"/>
    </row>
    <row r="149" spans="1:14">
      <c r="A149" s="3399"/>
      <c r="B149" s="3071">
        <v>7</v>
      </c>
      <c r="C149" s="3072">
        <v>-207</v>
      </c>
      <c r="D149" s="3118" t="s">
        <v>3720</v>
      </c>
      <c r="E149" s="3119">
        <v>84.03</v>
      </c>
      <c r="F149" s="3119">
        <v>2520900</v>
      </c>
      <c r="G149" s="3070" t="s">
        <v>3503</v>
      </c>
      <c r="H149" s="3070" t="s">
        <v>3230</v>
      </c>
      <c r="I149" s="3070">
        <f t="shared" si="2"/>
        <v>30000</v>
      </c>
      <c r="J149" s="3402"/>
      <c r="K149" s="3402"/>
      <c r="L149" s="3402"/>
      <c r="M149" s="3402"/>
      <c r="N149" s="3402"/>
    </row>
    <row r="150" spans="1:14">
      <c r="A150" s="3399"/>
      <c r="B150" s="3071">
        <v>7</v>
      </c>
      <c r="C150" s="3071" t="s">
        <v>3721</v>
      </c>
      <c r="D150" s="3118" t="s">
        <v>3722</v>
      </c>
      <c r="E150" s="3071">
        <v>44.59</v>
      </c>
      <c r="F150" s="3071">
        <v>420000</v>
      </c>
      <c r="G150" s="3070" t="s">
        <v>3174</v>
      </c>
      <c r="H150" s="3070" t="s">
        <v>3174</v>
      </c>
      <c r="I150" s="3070">
        <f t="shared" si="2"/>
        <v>9419</v>
      </c>
      <c r="J150" s="3402"/>
      <c r="K150" s="3402"/>
      <c r="L150" s="3402"/>
      <c r="M150" s="3402"/>
      <c r="N150" s="3402"/>
    </row>
    <row r="151" spans="1:14">
      <c r="A151" s="3400"/>
      <c r="B151" s="3071">
        <v>7</v>
      </c>
      <c r="C151" s="3071" t="s">
        <v>3723</v>
      </c>
      <c r="D151" s="3118" t="s">
        <v>3724</v>
      </c>
      <c r="E151" s="3071">
        <v>44.59</v>
      </c>
      <c r="F151" s="3071">
        <v>420000</v>
      </c>
      <c r="G151" s="3070" t="s">
        <v>3174</v>
      </c>
      <c r="H151" s="3070" t="s">
        <v>3174</v>
      </c>
      <c r="I151" s="3070">
        <f t="shared" si="2"/>
        <v>9419</v>
      </c>
      <c r="J151" s="3403"/>
      <c r="K151" s="3403"/>
      <c r="L151" s="3403"/>
      <c r="M151" s="3403"/>
      <c r="N151" s="3403"/>
    </row>
    <row r="152" spans="1:14" ht="24">
      <c r="A152" s="3398">
        <v>31</v>
      </c>
      <c r="B152" s="3071">
        <v>8</v>
      </c>
      <c r="C152" s="3072" t="s">
        <v>3524</v>
      </c>
      <c r="D152" s="3118" t="s">
        <v>3725</v>
      </c>
      <c r="E152" s="3119">
        <v>133.31</v>
      </c>
      <c r="F152" s="3119">
        <v>7569608</v>
      </c>
      <c r="G152" s="3070" t="s">
        <v>3173</v>
      </c>
      <c r="H152" s="3070" t="s">
        <v>3058</v>
      </c>
      <c r="I152" s="3070">
        <f t="shared" si="2"/>
        <v>56782</v>
      </c>
      <c r="J152" s="3401">
        <v>8</v>
      </c>
      <c r="K152" s="3401">
        <v>3</v>
      </c>
      <c r="L152" s="3401">
        <f>E152+E157+E162</f>
        <v>400.12</v>
      </c>
      <c r="M152" s="3401">
        <f>E153+E154+E158+E159+E163+E164</f>
        <v>503.80999999999995</v>
      </c>
      <c r="N152" s="3401">
        <f>L152+M152</f>
        <v>903.93</v>
      </c>
    </row>
    <row r="153" spans="1:14" ht="24">
      <c r="A153" s="3399"/>
      <c r="B153" s="3071">
        <v>8</v>
      </c>
      <c r="C153" s="3072" t="s">
        <v>3526</v>
      </c>
      <c r="D153" s="3118" t="s">
        <v>3726</v>
      </c>
      <c r="E153" s="3119">
        <v>83.83</v>
      </c>
      <c r="F153" s="3119">
        <v>2514900</v>
      </c>
      <c r="G153" s="3070" t="s">
        <v>3501</v>
      </c>
      <c r="H153" s="3070" t="s">
        <v>3230</v>
      </c>
      <c r="I153" s="3070">
        <f t="shared" si="2"/>
        <v>30000</v>
      </c>
      <c r="J153" s="3402"/>
      <c r="K153" s="3402"/>
      <c r="L153" s="3402"/>
      <c r="M153" s="3402"/>
      <c r="N153" s="3402"/>
    </row>
    <row r="154" spans="1:14">
      <c r="A154" s="3399"/>
      <c r="B154" s="3071">
        <v>8</v>
      </c>
      <c r="C154" s="3072">
        <v>-203</v>
      </c>
      <c r="D154" s="3118" t="s">
        <v>3727</v>
      </c>
      <c r="E154" s="3119">
        <v>84.02</v>
      </c>
      <c r="F154" s="3119">
        <v>2520600</v>
      </c>
      <c r="G154" s="3070" t="s">
        <v>3503</v>
      </c>
      <c r="H154" s="3070" t="s">
        <v>3230</v>
      </c>
      <c r="I154" s="3070">
        <f t="shared" si="2"/>
        <v>30000</v>
      </c>
      <c r="J154" s="3402"/>
      <c r="K154" s="3402"/>
      <c r="L154" s="3402"/>
      <c r="M154" s="3402"/>
      <c r="N154" s="3402"/>
    </row>
    <row r="155" spans="1:14">
      <c r="A155" s="3399"/>
      <c r="B155" s="3071">
        <v>8</v>
      </c>
      <c r="C155" s="3071" t="s">
        <v>3728</v>
      </c>
      <c r="D155" s="3118" t="s">
        <v>3729</v>
      </c>
      <c r="E155" s="3071">
        <v>44.59</v>
      </c>
      <c r="F155" s="3071">
        <v>420000</v>
      </c>
      <c r="G155" s="3070" t="s">
        <v>3174</v>
      </c>
      <c r="H155" s="3070" t="s">
        <v>3174</v>
      </c>
      <c r="I155" s="3070">
        <f t="shared" si="2"/>
        <v>9419</v>
      </c>
      <c r="J155" s="3402"/>
      <c r="K155" s="3402"/>
      <c r="L155" s="3402"/>
      <c r="M155" s="3402"/>
      <c r="N155" s="3402"/>
    </row>
    <row r="156" spans="1:14">
      <c r="A156" s="3400"/>
      <c r="B156" s="3071">
        <v>8</v>
      </c>
      <c r="C156" s="3071" t="s">
        <v>3730</v>
      </c>
      <c r="D156" s="3118" t="s">
        <v>3731</v>
      </c>
      <c r="E156" s="3071">
        <v>44.59</v>
      </c>
      <c r="F156" s="3071">
        <v>420000</v>
      </c>
      <c r="G156" s="3070" t="s">
        <v>3174</v>
      </c>
      <c r="H156" s="3070" t="s">
        <v>3174</v>
      </c>
      <c r="I156" s="3070">
        <f t="shared" si="2"/>
        <v>9419</v>
      </c>
      <c r="J156" s="3402"/>
      <c r="K156" s="3402"/>
      <c r="L156" s="3402"/>
      <c r="M156" s="3402"/>
      <c r="N156" s="3402"/>
    </row>
    <row r="157" spans="1:14" ht="24">
      <c r="A157" s="3398">
        <v>32</v>
      </c>
      <c r="B157" s="3071">
        <v>8</v>
      </c>
      <c r="C157" s="3072" t="s">
        <v>3533</v>
      </c>
      <c r="D157" s="3118" t="s">
        <v>3732</v>
      </c>
      <c r="E157" s="3119">
        <v>133.5</v>
      </c>
      <c r="F157" s="3119">
        <v>7681590</v>
      </c>
      <c r="G157" s="3070" t="s">
        <v>3173</v>
      </c>
      <c r="H157" s="3070" t="s">
        <v>3058</v>
      </c>
      <c r="I157" s="3070">
        <f t="shared" si="2"/>
        <v>57540</v>
      </c>
      <c r="J157" s="3402"/>
      <c r="K157" s="3402"/>
      <c r="L157" s="3402"/>
      <c r="M157" s="3402"/>
      <c r="N157" s="3402"/>
    </row>
    <row r="158" spans="1:14" ht="24">
      <c r="A158" s="3399"/>
      <c r="B158" s="3071">
        <v>8</v>
      </c>
      <c r="C158" s="3072" t="s">
        <v>3535</v>
      </c>
      <c r="D158" s="3118" t="s">
        <v>3733</v>
      </c>
      <c r="E158" s="3119">
        <v>84.09</v>
      </c>
      <c r="F158" s="3119">
        <v>2522700</v>
      </c>
      <c r="G158" s="3070" t="s">
        <v>3501</v>
      </c>
      <c r="H158" s="3070" t="s">
        <v>3230</v>
      </c>
      <c r="I158" s="3070">
        <f t="shared" si="2"/>
        <v>30000</v>
      </c>
      <c r="J158" s="3402"/>
      <c r="K158" s="3402"/>
      <c r="L158" s="3402"/>
      <c r="M158" s="3402"/>
      <c r="N158" s="3402"/>
    </row>
    <row r="159" spans="1:14">
      <c r="A159" s="3399"/>
      <c r="B159" s="3071">
        <v>8</v>
      </c>
      <c r="C159" s="3072">
        <v>-204</v>
      </c>
      <c r="D159" s="3118" t="s">
        <v>3734</v>
      </c>
      <c r="E159" s="3119">
        <v>84.02</v>
      </c>
      <c r="F159" s="3119">
        <v>2520600</v>
      </c>
      <c r="G159" s="3070" t="s">
        <v>3503</v>
      </c>
      <c r="H159" s="3070" t="s">
        <v>3230</v>
      </c>
      <c r="I159" s="3070">
        <f t="shared" si="2"/>
        <v>30000</v>
      </c>
      <c r="J159" s="3402"/>
      <c r="K159" s="3402"/>
      <c r="L159" s="3402"/>
      <c r="M159" s="3402"/>
      <c r="N159" s="3402"/>
    </row>
    <row r="160" spans="1:14">
      <c r="A160" s="3399"/>
      <c r="B160" s="3071">
        <v>8</v>
      </c>
      <c r="C160" s="3071" t="s">
        <v>3735</v>
      </c>
      <c r="D160" s="3118" t="s">
        <v>3736</v>
      </c>
      <c r="E160" s="3071">
        <v>44.59</v>
      </c>
      <c r="F160" s="3071">
        <v>420000</v>
      </c>
      <c r="G160" s="3070" t="s">
        <v>3174</v>
      </c>
      <c r="H160" s="3070" t="s">
        <v>3174</v>
      </c>
      <c r="I160" s="3070">
        <f t="shared" si="2"/>
        <v>9419</v>
      </c>
      <c r="J160" s="3402"/>
      <c r="K160" s="3402"/>
      <c r="L160" s="3402"/>
      <c r="M160" s="3402"/>
      <c r="N160" s="3402"/>
    </row>
    <row r="161" spans="1:14">
      <c r="A161" s="3400"/>
      <c r="B161" s="3071">
        <v>8</v>
      </c>
      <c r="C161" s="3071" t="s">
        <v>3737</v>
      </c>
      <c r="D161" s="3118" t="s">
        <v>3738</v>
      </c>
      <c r="E161" s="3071">
        <v>44.59</v>
      </c>
      <c r="F161" s="3071">
        <v>420000</v>
      </c>
      <c r="G161" s="3070" t="s">
        <v>3174</v>
      </c>
      <c r="H161" s="3070" t="s">
        <v>3174</v>
      </c>
      <c r="I161" s="3070">
        <f t="shared" si="2"/>
        <v>9419</v>
      </c>
      <c r="J161" s="3402"/>
      <c r="K161" s="3402"/>
      <c r="L161" s="3402"/>
      <c r="M161" s="3402"/>
      <c r="N161" s="3402"/>
    </row>
    <row r="162" spans="1:14" ht="24">
      <c r="A162" s="3398">
        <v>33</v>
      </c>
      <c r="B162" s="3071">
        <v>8</v>
      </c>
      <c r="C162" s="3072" t="s">
        <v>3551</v>
      </c>
      <c r="D162" s="3118" t="s">
        <v>3739</v>
      </c>
      <c r="E162" s="3119">
        <v>133.31</v>
      </c>
      <c r="F162" s="3119">
        <v>7669590</v>
      </c>
      <c r="G162" s="3070" t="s">
        <v>3173</v>
      </c>
      <c r="H162" s="3070" t="s">
        <v>3058</v>
      </c>
      <c r="I162" s="3070">
        <f t="shared" si="2"/>
        <v>57532</v>
      </c>
      <c r="J162" s="3402"/>
      <c r="K162" s="3402"/>
      <c r="L162" s="3402"/>
      <c r="M162" s="3402"/>
      <c r="N162" s="3402"/>
    </row>
    <row r="163" spans="1:14" ht="24">
      <c r="A163" s="3399"/>
      <c r="B163" s="3071">
        <v>8</v>
      </c>
      <c r="C163" s="3072" t="s">
        <v>3553</v>
      </c>
      <c r="D163" s="3118" t="s">
        <v>3740</v>
      </c>
      <c r="E163" s="3119">
        <v>83.83</v>
      </c>
      <c r="F163" s="3119">
        <v>2514900</v>
      </c>
      <c r="G163" s="3070" t="s">
        <v>3501</v>
      </c>
      <c r="H163" s="3070" t="s">
        <v>3230</v>
      </c>
      <c r="I163" s="3070">
        <f t="shared" si="2"/>
        <v>30000</v>
      </c>
      <c r="J163" s="3402"/>
      <c r="K163" s="3402"/>
      <c r="L163" s="3402"/>
      <c r="M163" s="3402"/>
      <c r="N163" s="3402"/>
    </row>
    <row r="164" spans="1:14">
      <c r="A164" s="3399"/>
      <c r="B164" s="3071">
        <v>8</v>
      </c>
      <c r="C164" s="3072">
        <v>-206</v>
      </c>
      <c r="D164" s="3118" t="s">
        <v>3741</v>
      </c>
      <c r="E164" s="3119">
        <v>84.02</v>
      </c>
      <c r="F164" s="3119">
        <v>2520600</v>
      </c>
      <c r="G164" s="3070" t="s">
        <v>3503</v>
      </c>
      <c r="H164" s="3070" t="s">
        <v>3230</v>
      </c>
      <c r="I164" s="3070">
        <f t="shared" si="2"/>
        <v>30000</v>
      </c>
      <c r="J164" s="3402"/>
      <c r="K164" s="3402"/>
      <c r="L164" s="3402"/>
      <c r="M164" s="3402"/>
      <c r="N164" s="3402"/>
    </row>
    <row r="165" spans="1:14">
      <c r="A165" s="3399"/>
      <c r="B165" s="3071">
        <v>8</v>
      </c>
      <c r="C165" s="3071" t="s">
        <v>3742</v>
      </c>
      <c r="D165" s="3118" t="s">
        <v>3743</v>
      </c>
      <c r="E165" s="3071">
        <v>44.59</v>
      </c>
      <c r="F165" s="3071">
        <v>420000</v>
      </c>
      <c r="G165" s="3070" t="s">
        <v>3174</v>
      </c>
      <c r="H165" s="3070" t="s">
        <v>3174</v>
      </c>
      <c r="I165" s="3070">
        <f t="shared" si="2"/>
        <v>9419</v>
      </c>
      <c r="J165" s="3402"/>
      <c r="K165" s="3402"/>
      <c r="L165" s="3402"/>
      <c r="M165" s="3402"/>
      <c r="N165" s="3402"/>
    </row>
    <row r="166" spans="1:14">
      <c r="A166" s="3400"/>
      <c r="B166" s="3071">
        <v>8</v>
      </c>
      <c r="C166" s="3071" t="s">
        <v>3744</v>
      </c>
      <c r="D166" s="3118" t="s">
        <v>3745</v>
      </c>
      <c r="E166" s="3071">
        <v>44.59</v>
      </c>
      <c r="F166" s="3071">
        <v>420000</v>
      </c>
      <c r="G166" s="3070" t="s">
        <v>3174</v>
      </c>
      <c r="H166" s="3070" t="s">
        <v>3174</v>
      </c>
      <c r="I166" s="3070">
        <f t="shared" si="2"/>
        <v>9419</v>
      </c>
      <c r="J166" s="3403"/>
      <c r="K166" s="3403"/>
      <c r="L166" s="3403"/>
      <c r="M166" s="3403"/>
      <c r="N166" s="3403"/>
    </row>
    <row r="167" spans="1:14" ht="24">
      <c r="A167" s="3398">
        <v>34</v>
      </c>
      <c r="B167" s="3071">
        <v>9</v>
      </c>
      <c r="C167" s="3072" t="s">
        <v>3497</v>
      </c>
      <c r="D167" s="3118" t="s">
        <v>3746</v>
      </c>
      <c r="E167" s="3119">
        <v>133.36000000000001</v>
      </c>
      <c r="F167" s="3119">
        <v>7572714</v>
      </c>
      <c r="G167" s="3070" t="s">
        <v>3173</v>
      </c>
      <c r="H167" s="3070" t="s">
        <v>3058</v>
      </c>
      <c r="I167" s="3070">
        <f t="shared" si="2"/>
        <v>56784</v>
      </c>
      <c r="J167" s="3401">
        <v>8</v>
      </c>
      <c r="K167" s="3401">
        <v>3</v>
      </c>
      <c r="L167" s="3401">
        <f>E167+E172+E177</f>
        <v>400.08000000000004</v>
      </c>
      <c r="M167" s="3401">
        <f>E168+E169+E173+E174+E178+E179</f>
        <v>502.79999999999995</v>
      </c>
      <c r="N167" s="3401">
        <f>L167+M167</f>
        <v>902.88</v>
      </c>
    </row>
    <row r="168" spans="1:14" ht="24">
      <c r="A168" s="3399"/>
      <c r="B168" s="3071">
        <v>9</v>
      </c>
      <c r="C168" s="3072" t="s">
        <v>3499</v>
      </c>
      <c r="D168" s="3118" t="s">
        <v>3747</v>
      </c>
      <c r="E168" s="3119">
        <v>83.86</v>
      </c>
      <c r="F168" s="3119">
        <v>2515800</v>
      </c>
      <c r="G168" s="3070" t="s">
        <v>3501</v>
      </c>
      <c r="H168" s="3070" t="s">
        <v>3230</v>
      </c>
      <c r="I168" s="3070">
        <f t="shared" si="2"/>
        <v>30000</v>
      </c>
      <c r="J168" s="3402"/>
      <c r="K168" s="3402"/>
      <c r="L168" s="3402"/>
      <c r="M168" s="3402"/>
      <c r="N168" s="3402"/>
    </row>
    <row r="169" spans="1:14">
      <c r="A169" s="3399"/>
      <c r="B169" s="3071">
        <v>9</v>
      </c>
      <c r="C169" s="3072">
        <v>-202</v>
      </c>
      <c r="D169" s="3118" t="s">
        <v>3748</v>
      </c>
      <c r="E169" s="3119">
        <v>84.03</v>
      </c>
      <c r="F169" s="3119">
        <v>2520900</v>
      </c>
      <c r="G169" s="3070" t="s">
        <v>3503</v>
      </c>
      <c r="H169" s="3070" t="s">
        <v>3230</v>
      </c>
      <c r="I169" s="3070">
        <f t="shared" si="2"/>
        <v>30000</v>
      </c>
      <c r="J169" s="3402"/>
      <c r="K169" s="3402"/>
      <c r="L169" s="3402"/>
      <c r="M169" s="3402"/>
      <c r="N169" s="3402"/>
    </row>
    <row r="170" spans="1:14">
      <c r="A170" s="3399"/>
      <c r="B170" s="3071">
        <v>9</v>
      </c>
      <c r="C170" s="3071" t="s">
        <v>3749</v>
      </c>
      <c r="D170" s="3118" t="s">
        <v>3750</v>
      </c>
      <c r="E170" s="3071">
        <v>44.59</v>
      </c>
      <c r="F170" s="3071">
        <v>420000</v>
      </c>
      <c r="G170" s="3070" t="s">
        <v>3174</v>
      </c>
      <c r="H170" s="3070" t="s">
        <v>3174</v>
      </c>
      <c r="I170" s="3070">
        <f t="shared" si="2"/>
        <v>9419</v>
      </c>
      <c r="J170" s="3402"/>
      <c r="K170" s="3402"/>
      <c r="L170" s="3402"/>
      <c r="M170" s="3402"/>
      <c r="N170" s="3402"/>
    </row>
    <row r="171" spans="1:14">
      <c r="A171" s="3400"/>
      <c r="B171" s="3071">
        <v>9</v>
      </c>
      <c r="C171" s="3071" t="s">
        <v>3751</v>
      </c>
      <c r="D171" s="3118" t="s">
        <v>3752</v>
      </c>
      <c r="E171" s="3071">
        <v>44.59</v>
      </c>
      <c r="F171" s="3071">
        <v>420000</v>
      </c>
      <c r="G171" s="3070" t="s">
        <v>3174</v>
      </c>
      <c r="H171" s="3070" t="s">
        <v>3174</v>
      </c>
      <c r="I171" s="3070">
        <f t="shared" si="2"/>
        <v>9419</v>
      </c>
      <c r="J171" s="3402"/>
      <c r="K171" s="3402"/>
      <c r="L171" s="3402"/>
      <c r="M171" s="3402"/>
      <c r="N171" s="3402"/>
    </row>
    <row r="172" spans="1:14" ht="24">
      <c r="A172" s="3398">
        <v>35</v>
      </c>
      <c r="B172" s="3071">
        <v>9</v>
      </c>
      <c r="C172" s="3072" t="s">
        <v>3542</v>
      </c>
      <c r="D172" s="3118" t="s">
        <v>3753</v>
      </c>
      <c r="E172" s="3119">
        <v>133.36000000000001</v>
      </c>
      <c r="F172" s="3119">
        <v>8472760</v>
      </c>
      <c r="G172" s="3070" t="s">
        <v>3173</v>
      </c>
      <c r="H172" s="3070" t="s">
        <v>3058</v>
      </c>
      <c r="I172" s="3070">
        <f t="shared" si="2"/>
        <v>63533</v>
      </c>
      <c r="J172" s="3402"/>
      <c r="K172" s="3402"/>
      <c r="L172" s="3402"/>
      <c r="M172" s="3402"/>
      <c r="N172" s="3402"/>
    </row>
    <row r="173" spans="1:14" ht="24">
      <c r="A173" s="3399"/>
      <c r="B173" s="3071">
        <v>9</v>
      </c>
      <c r="C173" s="3072" t="s">
        <v>3544</v>
      </c>
      <c r="D173" s="3118" t="s">
        <v>3754</v>
      </c>
      <c r="E173" s="3119">
        <v>83.71</v>
      </c>
      <c r="F173" s="3119">
        <v>2511300</v>
      </c>
      <c r="G173" s="3070" t="s">
        <v>3501</v>
      </c>
      <c r="H173" s="3070" t="s">
        <v>3230</v>
      </c>
      <c r="I173" s="3070">
        <f t="shared" si="2"/>
        <v>30000</v>
      </c>
      <c r="J173" s="3402"/>
      <c r="K173" s="3402"/>
      <c r="L173" s="3402"/>
      <c r="M173" s="3402"/>
      <c r="N173" s="3402"/>
    </row>
    <row r="174" spans="1:14">
      <c r="A174" s="3399"/>
      <c r="B174" s="3071">
        <v>9</v>
      </c>
      <c r="C174" s="3072">
        <v>-205</v>
      </c>
      <c r="D174" s="3118" t="s">
        <v>3755</v>
      </c>
      <c r="E174" s="3119">
        <v>83.31</v>
      </c>
      <c r="F174" s="3119">
        <v>2499300</v>
      </c>
      <c r="G174" s="3070" t="s">
        <v>3503</v>
      </c>
      <c r="H174" s="3070" t="s">
        <v>3230</v>
      </c>
      <c r="I174" s="3070">
        <f t="shared" si="2"/>
        <v>30000</v>
      </c>
      <c r="J174" s="3402"/>
      <c r="K174" s="3402"/>
      <c r="L174" s="3402"/>
      <c r="M174" s="3402"/>
      <c r="N174" s="3402"/>
    </row>
    <row r="175" spans="1:14">
      <c r="A175" s="3399"/>
      <c r="B175" s="3071">
        <v>9</v>
      </c>
      <c r="C175" s="3071" t="s">
        <v>3756</v>
      </c>
      <c r="D175" s="3118" t="s">
        <v>3757</v>
      </c>
      <c r="E175" s="3071">
        <v>44.59</v>
      </c>
      <c r="F175" s="3071">
        <v>420000</v>
      </c>
      <c r="G175" s="3070" t="s">
        <v>3174</v>
      </c>
      <c r="H175" s="3070" t="s">
        <v>3174</v>
      </c>
      <c r="I175" s="3070">
        <f t="shared" si="2"/>
        <v>9419</v>
      </c>
      <c r="J175" s="3402"/>
      <c r="K175" s="3402"/>
      <c r="L175" s="3402"/>
      <c r="M175" s="3402"/>
      <c r="N175" s="3402"/>
    </row>
    <row r="176" spans="1:14">
      <c r="A176" s="3400"/>
      <c r="B176" s="3071">
        <v>9</v>
      </c>
      <c r="C176" s="3071" t="s">
        <v>3758</v>
      </c>
      <c r="D176" s="3118" t="s">
        <v>3759</v>
      </c>
      <c r="E176" s="3071">
        <v>44.59</v>
      </c>
      <c r="F176" s="3071">
        <v>420000</v>
      </c>
      <c r="G176" s="3070" t="s">
        <v>3174</v>
      </c>
      <c r="H176" s="3070" t="s">
        <v>3174</v>
      </c>
      <c r="I176" s="3070">
        <f t="shared" si="2"/>
        <v>9419</v>
      </c>
      <c r="J176" s="3402"/>
      <c r="K176" s="3402"/>
      <c r="L176" s="3402"/>
      <c r="M176" s="3402"/>
      <c r="N176" s="3402"/>
    </row>
    <row r="177" spans="1:14" ht="24">
      <c r="A177" s="3398">
        <v>36</v>
      </c>
      <c r="B177" s="3071">
        <v>9</v>
      </c>
      <c r="C177" s="3072" t="s">
        <v>3560</v>
      </c>
      <c r="D177" s="3118" t="s">
        <v>3760</v>
      </c>
      <c r="E177" s="3119">
        <v>133.36000000000001</v>
      </c>
      <c r="F177" s="3119">
        <v>7672734</v>
      </c>
      <c r="G177" s="3070" t="s">
        <v>3173</v>
      </c>
      <c r="H177" s="3070" t="s">
        <v>3058</v>
      </c>
      <c r="I177" s="3070">
        <f t="shared" si="2"/>
        <v>57534</v>
      </c>
      <c r="J177" s="3402"/>
      <c r="K177" s="3402"/>
      <c r="L177" s="3402"/>
      <c r="M177" s="3402"/>
      <c r="N177" s="3402"/>
    </row>
    <row r="178" spans="1:14" ht="24">
      <c r="A178" s="3399"/>
      <c r="B178" s="3071">
        <v>9</v>
      </c>
      <c r="C178" s="3072" t="s">
        <v>3562</v>
      </c>
      <c r="D178" s="3118" t="s">
        <v>3761</v>
      </c>
      <c r="E178" s="3119">
        <v>83.86</v>
      </c>
      <c r="F178" s="3119">
        <v>2515800</v>
      </c>
      <c r="G178" s="3070" t="s">
        <v>3501</v>
      </c>
      <c r="H178" s="3070" t="s">
        <v>3230</v>
      </c>
      <c r="I178" s="3070">
        <f t="shared" si="2"/>
        <v>30000</v>
      </c>
      <c r="J178" s="3402"/>
      <c r="K178" s="3402"/>
      <c r="L178" s="3402"/>
      <c r="M178" s="3402"/>
      <c r="N178" s="3402"/>
    </row>
    <row r="179" spans="1:14">
      <c r="A179" s="3399"/>
      <c r="B179" s="3071">
        <v>9</v>
      </c>
      <c r="C179" s="3072">
        <v>-207</v>
      </c>
      <c r="D179" s="3118" t="s">
        <v>3762</v>
      </c>
      <c r="E179" s="3119">
        <v>84.03</v>
      </c>
      <c r="F179" s="3119">
        <v>2520900</v>
      </c>
      <c r="G179" s="3070" t="s">
        <v>3503</v>
      </c>
      <c r="H179" s="3070" t="s">
        <v>3230</v>
      </c>
      <c r="I179" s="3070">
        <f t="shared" si="2"/>
        <v>30000</v>
      </c>
      <c r="J179" s="3402"/>
      <c r="K179" s="3402"/>
      <c r="L179" s="3402"/>
      <c r="M179" s="3402"/>
      <c r="N179" s="3402"/>
    </row>
    <row r="180" spans="1:14">
      <c r="A180" s="3399"/>
      <c r="B180" s="3071">
        <v>9</v>
      </c>
      <c r="C180" s="3071" t="s">
        <v>3763</v>
      </c>
      <c r="D180" s="3118" t="s">
        <v>3764</v>
      </c>
      <c r="E180" s="3071">
        <v>44.59</v>
      </c>
      <c r="F180" s="3071">
        <v>420000</v>
      </c>
      <c r="G180" s="3070" t="s">
        <v>3174</v>
      </c>
      <c r="H180" s="3070" t="s">
        <v>3174</v>
      </c>
      <c r="I180" s="3070">
        <f t="shared" si="2"/>
        <v>9419</v>
      </c>
      <c r="J180" s="3402"/>
      <c r="K180" s="3402"/>
      <c r="L180" s="3402"/>
      <c r="M180" s="3402"/>
      <c r="N180" s="3402"/>
    </row>
    <row r="181" spans="1:14">
      <c r="A181" s="3400"/>
      <c r="B181" s="3071">
        <v>9</v>
      </c>
      <c r="C181" s="3071" t="s">
        <v>3765</v>
      </c>
      <c r="D181" s="3118" t="s">
        <v>3766</v>
      </c>
      <c r="E181" s="3071">
        <v>44.59</v>
      </c>
      <c r="F181" s="3071">
        <v>420000</v>
      </c>
      <c r="G181" s="3070" t="s">
        <v>3174</v>
      </c>
      <c r="H181" s="3070" t="s">
        <v>3174</v>
      </c>
      <c r="I181" s="3070">
        <f t="shared" si="2"/>
        <v>9419</v>
      </c>
      <c r="J181" s="3403"/>
      <c r="K181" s="3403"/>
      <c r="L181" s="3403"/>
      <c r="M181" s="3403"/>
      <c r="N181" s="3403"/>
    </row>
    <row r="182" spans="1:14" ht="24">
      <c r="A182" s="3398">
        <v>37</v>
      </c>
      <c r="B182" s="3071">
        <v>10</v>
      </c>
      <c r="C182" s="3072" t="s">
        <v>3508</v>
      </c>
      <c r="D182" s="3118" t="s">
        <v>3767</v>
      </c>
      <c r="E182" s="3119">
        <v>133.31</v>
      </c>
      <c r="F182" s="3119">
        <v>8469584</v>
      </c>
      <c r="G182" s="3070" t="s">
        <v>3173</v>
      </c>
      <c r="H182" s="3070" t="s">
        <v>3058</v>
      </c>
      <c r="I182" s="3070">
        <f t="shared" si="2"/>
        <v>63533</v>
      </c>
      <c r="J182" s="3401">
        <v>8</v>
      </c>
      <c r="K182" s="3401">
        <v>6</v>
      </c>
      <c r="L182" s="3401">
        <f>E182+E187+E192+E197+E202+E207</f>
        <v>799.8599999999999</v>
      </c>
      <c r="M182" s="3401">
        <f>E183+E184+E188+E189+E193+E194+E198+E199+E203+E204+E208+E209</f>
        <v>1005.3599999999999</v>
      </c>
      <c r="N182" s="3401">
        <f>L182+M182</f>
        <v>1805.2199999999998</v>
      </c>
    </row>
    <row r="183" spans="1:14" ht="24">
      <c r="A183" s="3399"/>
      <c r="B183" s="3071">
        <v>10</v>
      </c>
      <c r="C183" s="3072" t="s">
        <v>3510</v>
      </c>
      <c r="D183" s="3118" t="s">
        <v>3768</v>
      </c>
      <c r="E183" s="3119">
        <v>83.68</v>
      </c>
      <c r="F183" s="3119">
        <v>2510400</v>
      </c>
      <c r="G183" s="3070" t="s">
        <v>3501</v>
      </c>
      <c r="H183" s="3070" t="s">
        <v>3230</v>
      </c>
      <c r="I183" s="3070">
        <f t="shared" si="2"/>
        <v>30000</v>
      </c>
      <c r="J183" s="3402"/>
      <c r="K183" s="3402"/>
      <c r="L183" s="3402"/>
      <c r="M183" s="3402"/>
      <c r="N183" s="3402"/>
    </row>
    <row r="184" spans="1:14">
      <c r="A184" s="3399"/>
      <c r="B184" s="3071">
        <v>10</v>
      </c>
      <c r="C184" s="3072">
        <v>-201</v>
      </c>
      <c r="D184" s="3118" t="s">
        <v>3769</v>
      </c>
      <c r="E184" s="3119">
        <v>83.3</v>
      </c>
      <c r="F184" s="3119">
        <v>2499000</v>
      </c>
      <c r="G184" s="3070" t="s">
        <v>3503</v>
      </c>
      <c r="H184" s="3070" t="s">
        <v>3230</v>
      </c>
      <c r="I184" s="3070">
        <f t="shared" si="2"/>
        <v>30000</v>
      </c>
      <c r="J184" s="3402"/>
      <c r="K184" s="3402"/>
      <c r="L184" s="3402"/>
      <c r="M184" s="3402"/>
      <c r="N184" s="3402"/>
    </row>
    <row r="185" spans="1:14">
      <c r="A185" s="3399"/>
      <c r="B185" s="3071">
        <v>10</v>
      </c>
      <c r="C185" s="3071" t="s">
        <v>3770</v>
      </c>
      <c r="D185" s="3118" t="s">
        <v>3771</v>
      </c>
      <c r="E185" s="3071">
        <v>44.59</v>
      </c>
      <c r="F185" s="3071">
        <v>420000</v>
      </c>
      <c r="G185" s="3070" t="s">
        <v>3174</v>
      </c>
      <c r="H185" s="3070" t="s">
        <v>3174</v>
      </c>
      <c r="I185" s="3070">
        <f t="shared" ref="I185:I243" si="3">ROUND(F185/E185,0)</f>
        <v>9419</v>
      </c>
      <c r="J185" s="3402"/>
      <c r="K185" s="3402"/>
      <c r="L185" s="3402"/>
      <c r="M185" s="3402"/>
      <c r="N185" s="3402"/>
    </row>
    <row r="186" spans="1:14">
      <c r="A186" s="3400"/>
      <c r="B186" s="3071">
        <v>10</v>
      </c>
      <c r="C186" s="3071" t="s">
        <v>3772</v>
      </c>
      <c r="D186" s="3118" t="s">
        <v>3773</v>
      </c>
      <c r="E186" s="3071">
        <v>44.59</v>
      </c>
      <c r="F186" s="3071">
        <v>420000</v>
      </c>
      <c r="G186" s="3070" t="s">
        <v>3174</v>
      </c>
      <c r="H186" s="3070" t="s">
        <v>3174</v>
      </c>
      <c r="I186" s="3070">
        <f t="shared" si="3"/>
        <v>9419</v>
      </c>
      <c r="J186" s="3402"/>
      <c r="K186" s="3402"/>
      <c r="L186" s="3402"/>
      <c r="M186" s="3402"/>
      <c r="N186" s="3402"/>
    </row>
    <row r="187" spans="1:14" ht="24">
      <c r="A187" s="3398">
        <v>38</v>
      </c>
      <c r="B187" s="3071">
        <v>10</v>
      </c>
      <c r="C187" s="3072" t="s">
        <v>3497</v>
      </c>
      <c r="D187" s="3118" t="s">
        <v>3774</v>
      </c>
      <c r="E187" s="3119">
        <v>133.31</v>
      </c>
      <c r="F187" s="3119">
        <v>7569608</v>
      </c>
      <c r="G187" s="3070" t="s">
        <v>3173</v>
      </c>
      <c r="H187" s="3070" t="s">
        <v>3058</v>
      </c>
      <c r="I187" s="3070">
        <f t="shared" si="3"/>
        <v>56782</v>
      </c>
      <c r="J187" s="3402"/>
      <c r="K187" s="3402"/>
      <c r="L187" s="3402"/>
      <c r="M187" s="3402"/>
      <c r="N187" s="3402"/>
    </row>
    <row r="188" spans="1:14" ht="24">
      <c r="A188" s="3399"/>
      <c r="B188" s="3071">
        <v>10</v>
      </c>
      <c r="C188" s="3072" t="s">
        <v>3499</v>
      </c>
      <c r="D188" s="3118" t="s">
        <v>3775</v>
      </c>
      <c r="E188" s="3119">
        <v>83.83</v>
      </c>
      <c r="F188" s="3119">
        <v>2514900</v>
      </c>
      <c r="G188" s="3070" t="s">
        <v>3501</v>
      </c>
      <c r="H188" s="3070" t="s">
        <v>3230</v>
      </c>
      <c r="I188" s="3070">
        <f t="shared" si="3"/>
        <v>30000</v>
      </c>
      <c r="J188" s="3402"/>
      <c r="K188" s="3402"/>
      <c r="L188" s="3402"/>
      <c r="M188" s="3402"/>
      <c r="N188" s="3402"/>
    </row>
    <row r="189" spans="1:14">
      <c r="A189" s="3399"/>
      <c r="B189" s="3071">
        <v>10</v>
      </c>
      <c r="C189" s="3072">
        <v>-202</v>
      </c>
      <c r="D189" s="3118" t="s">
        <v>3776</v>
      </c>
      <c r="E189" s="3119">
        <v>84.02</v>
      </c>
      <c r="F189" s="3119">
        <v>2520600</v>
      </c>
      <c r="G189" s="3070" t="s">
        <v>3503</v>
      </c>
      <c r="H189" s="3070" t="s">
        <v>3230</v>
      </c>
      <c r="I189" s="3070">
        <f t="shared" si="3"/>
        <v>30000</v>
      </c>
      <c r="J189" s="3402"/>
      <c r="K189" s="3402"/>
      <c r="L189" s="3402"/>
      <c r="M189" s="3402"/>
      <c r="N189" s="3402"/>
    </row>
    <row r="190" spans="1:14">
      <c r="A190" s="3399"/>
      <c r="B190" s="3071">
        <v>10</v>
      </c>
      <c r="C190" s="3071" t="s">
        <v>3777</v>
      </c>
      <c r="D190" s="3118" t="s">
        <v>3778</v>
      </c>
      <c r="E190" s="3071">
        <v>44.59</v>
      </c>
      <c r="F190" s="3071">
        <v>420000</v>
      </c>
      <c r="G190" s="3070" t="s">
        <v>3174</v>
      </c>
      <c r="H190" s="3070" t="s">
        <v>3174</v>
      </c>
      <c r="I190" s="3070">
        <f t="shared" si="3"/>
        <v>9419</v>
      </c>
      <c r="J190" s="3402"/>
      <c r="K190" s="3402"/>
      <c r="L190" s="3402"/>
      <c r="M190" s="3402"/>
      <c r="N190" s="3402"/>
    </row>
    <row r="191" spans="1:14">
      <c r="A191" s="3400"/>
      <c r="B191" s="3071">
        <v>10</v>
      </c>
      <c r="C191" s="3071" t="s">
        <v>3779</v>
      </c>
      <c r="D191" s="3118" t="s">
        <v>3780</v>
      </c>
      <c r="E191" s="3071">
        <v>44.59</v>
      </c>
      <c r="F191" s="3071">
        <v>420000</v>
      </c>
      <c r="G191" s="3070" t="s">
        <v>3174</v>
      </c>
      <c r="H191" s="3070" t="s">
        <v>3174</v>
      </c>
      <c r="I191" s="3070">
        <f t="shared" si="3"/>
        <v>9419</v>
      </c>
      <c r="J191" s="3402"/>
      <c r="K191" s="3402"/>
      <c r="L191" s="3402"/>
      <c r="M191" s="3402"/>
      <c r="N191" s="3402"/>
    </row>
    <row r="192" spans="1:14" ht="24">
      <c r="A192" s="3398">
        <v>39</v>
      </c>
      <c r="B192" s="3071">
        <v>10</v>
      </c>
      <c r="C192" s="3072" t="s">
        <v>3524</v>
      </c>
      <c r="D192" s="3118" t="s">
        <v>3781</v>
      </c>
      <c r="E192" s="3119">
        <v>133.31</v>
      </c>
      <c r="F192" s="3119">
        <v>7569608</v>
      </c>
      <c r="G192" s="3070" t="s">
        <v>3173</v>
      </c>
      <c r="H192" s="3070" t="s">
        <v>3058</v>
      </c>
      <c r="I192" s="3070">
        <f t="shared" si="3"/>
        <v>56782</v>
      </c>
      <c r="J192" s="3402"/>
      <c r="K192" s="3402"/>
      <c r="L192" s="3402"/>
      <c r="M192" s="3402"/>
      <c r="N192" s="3402"/>
    </row>
    <row r="193" spans="1:14" ht="24">
      <c r="A193" s="3399"/>
      <c r="B193" s="3071">
        <v>10</v>
      </c>
      <c r="C193" s="3072" t="s">
        <v>3526</v>
      </c>
      <c r="D193" s="3118" t="s">
        <v>3782</v>
      </c>
      <c r="E193" s="3119">
        <v>83.83</v>
      </c>
      <c r="F193" s="3119">
        <v>2514900</v>
      </c>
      <c r="G193" s="3070" t="s">
        <v>3501</v>
      </c>
      <c r="H193" s="3070" t="s">
        <v>3230</v>
      </c>
      <c r="I193" s="3070">
        <f t="shared" si="3"/>
        <v>30000</v>
      </c>
      <c r="J193" s="3402"/>
      <c r="K193" s="3402"/>
      <c r="L193" s="3402"/>
      <c r="M193" s="3402"/>
      <c r="N193" s="3402"/>
    </row>
    <row r="194" spans="1:14">
      <c r="A194" s="3399"/>
      <c r="B194" s="3071">
        <v>10</v>
      </c>
      <c r="C194" s="3072">
        <v>-203</v>
      </c>
      <c r="D194" s="3118" t="s">
        <v>3783</v>
      </c>
      <c r="E194" s="3119">
        <v>84.02</v>
      </c>
      <c r="F194" s="3119">
        <v>2520600</v>
      </c>
      <c r="G194" s="3070" t="s">
        <v>3503</v>
      </c>
      <c r="H194" s="3070" t="s">
        <v>3230</v>
      </c>
      <c r="I194" s="3070">
        <f t="shared" si="3"/>
        <v>30000</v>
      </c>
      <c r="J194" s="3402"/>
      <c r="K194" s="3402"/>
      <c r="L194" s="3402"/>
      <c r="M194" s="3402"/>
      <c r="N194" s="3402"/>
    </row>
    <row r="195" spans="1:14">
      <c r="A195" s="3399"/>
      <c r="B195" s="3071">
        <v>10</v>
      </c>
      <c r="C195" s="3071" t="s">
        <v>3784</v>
      </c>
      <c r="D195" s="3118" t="s">
        <v>3785</v>
      </c>
      <c r="E195" s="3071">
        <v>44.59</v>
      </c>
      <c r="F195" s="3071">
        <v>420000</v>
      </c>
      <c r="G195" s="3070" t="s">
        <v>3174</v>
      </c>
      <c r="H195" s="3070" t="s">
        <v>3174</v>
      </c>
      <c r="I195" s="3070">
        <f t="shared" si="3"/>
        <v>9419</v>
      </c>
      <c r="J195" s="3402"/>
      <c r="K195" s="3402"/>
      <c r="L195" s="3402"/>
      <c r="M195" s="3402"/>
      <c r="N195" s="3402"/>
    </row>
    <row r="196" spans="1:14">
      <c r="A196" s="3400"/>
      <c r="B196" s="3071">
        <v>10</v>
      </c>
      <c r="C196" s="3071" t="s">
        <v>3786</v>
      </c>
      <c r="D196" s="3118" t="s">
        <v>3787</v>
      </c>
      <c r="E196" s="3071">
        <v>44.59</v>
      </c>
      <c r="F196" s="3071">
        <v>420000</v>
      </c>
      <c r="G196" s="3070" t="s">
        <v>3174</v>
      </c>
      <c r="H196" s="3070" t="s">
        <v>3174</v>
      </c>
      <c r="I196" s="3070">
        <f t="shared" si="3"/>
        <v>9419</v>
      </c>
      <c r="J196" s="3402"/>
      <c r="K196" s="3402"/>
      <c r="L196" s="3402"/>
      <c r="M196" s="3402"/>
      <c r="N196" s="3402"/>
    </row>
    <row r="197" spans="1:14" ht="24">
      <c r="A197" s="3398">
        <v>40</v>
      </c>
      <c r="B197" s="3071">
        <v>10</v>
      </c>
      <c r="C197" s="3072" t="s">
        <v>3542</v>
      </c>
      <c r="D197" s="3118" t="s">
        <v>3788</v>
      </c>
      <c r="E197" s="3119">
        <v>133.31</v>
      </c>
      <c r="F197" s="3119">
        <v>8469584</v>
      </c>
      <c r="G197" s="3070" t="s">
        <v>3173</v>
      </c>
      <c r="H197" s="3070" t="s">
        <v>3058</v>
      </c>
      <c r="I197" s="3070">
        <f t="shared" si="3"/>
        <v>63533</v>
      </c>
      <c r="J197" s="3402"/>
      <c r="K197" s="3402"/>
      <c r="L197" s="3402"/>
      <c r="M197" s="3402"/>
      <c r="N197" s="3402"/>
    </row>
    <row r="198" spans="1:14" ht="24">
      <c r="A198" s="3399"/>
      <c r="B198" s="3071">
        <v>10</v>
      </c>
      <c r="C198" s="3072" t="s">
        <v>3544</v>
      </c>
      <c r="D198" s="3118" t="s">
        <v>3789</v>
      </c>
      <c r="E198" s="3119">
        <v>83.68</v>
      </c>
      <c r="F198" s="3119">
        <v>2510400</v>
      </c>
      <c r="G198" s="3070" t="s">
        <v>3501</v>
      </c>
      <c r="H198" s="3070" t="s">
        <v>3230</v>
      </c>
      <c r="I198" s="3070">
        <f t="shared" si="3"/>
        <v>30000</v>
      </c>
      <c r="J198" s="3402"/>
      <c r="K198" s="3402"/>
      <c r="L198" s="3402"/>
      <c r="M198" s="3402"/>
      <c r="N198" s="3402"/>
    </row>
    <row r="199" spans="1:14">
      <c r="A199" s="3399"/>
      <c r="B199" s="3071">
        <v>10</v>
      </c>
      <c r="C199" s="3072">
        <v>-205</v>
      </c>
      <c r="D199" s="3118" t="s">
        <v>3790</v>
      </c>
      <c r="E199" s="3119">
        <v>83.3</v>
      </c>
      <c r="F199" s="3119">
        <v>2499000</v>
      </c>
      <c r="G199" s="3070" t="s">
        <v>3503</v>
      </c>
      <c r="H199" s="3070" t="s">
        <v>3230</v>
      </c>
      <c r="I199" s="3070">
        <f t="shared" si="3"/>
        <v>30000</v>
      </c>
      <c r="J199" s="3402"/>
      <c r="K199" s="3402"/>
      <c r="L199" s="3402"/>
      <c r="M199" s="3402"/>
      <c r="N199" s="3402"/>
    </row>
    <row r="200" spans="1:14">
      <c r="A200" s="3399"/>
      <c r="B200" s="3071">
        <v>10</v>
      </c>
      <c r="C200" s="3071" t="s">
        <v>3791</v>
      </c>
      <c r="D200" s="3118" t="s">
        <v>3792</v>
      </c>
      <c r="E200" s="3071">
        <v>44.59</v>
      </c>
      <c r="F200" s="3071">
        <v>420000</v>
      </c>
      <c r="G200" s="3070" t="s">
        <v>3174</v>
      </c>
      <c r="H200" s="3070" t="s">
        <v>3174</v>
      </c>
      <c r="I200" s="3070">
        <f t="shared" si="3"/>
        <v>9419</v>
      </c>
      <c r="J200" s="3402"/>
      <c r="K200" s="3402"/>
      <c r="L200" s="3402"/>
      <c r="M200" s="3402"/>
      <c r="N200" s="3402"/>
    </row>
    <row r="201" spans="1:14">
      <c r="A201" s="3400"/>
      <c r="B201" s="3071">
        <v>10</v>
      </c>
      <c r="C201" s="3071" t="s">
        <v>3793</v>
      </c>
      <c r="D201" s="3118" t="s">
        <v>3794</v>
      </c>
      <c r="E201" s="3071">
        <v>44.59</v>
      </c>
      <c r="F201" s="3071">
        <v>420000</v>
      </c>
      <c r="G201" s="3070" t="s">
        <v>3174</v>
      </c>
      <c r="H201" s="3070" t="s">
        <v>3174</v>
      </c>
      <c r="I201" s="3070">
        <f t="shared" si="3"/>
        <v>9419</v>
      </c>
      <c r="J201" s="3402"/>
      <c r="K201" s="3402"/>
      <c r="L201" s="3402"/>
      <c r="M201" s="3402"/>
      <c r="N201" s="3402"/>
    </row>
    <row r="202" spans="1:14" ht="24">
      <c r="A202" s="3398">
        <v>41</v>
      </c>
      <c r="B202" s="3071">
        <v>10</v>
      </c>
      <c r="C202" s="3072" t="s">
        <v>3551</v>
      </c>
      <c r="D202" s="3118" t="s">
        <v>3795</v>
      </c>
      <c r="E202" s="3119">
        <v>133.31</v>
      </c>
      <c r="F202" s="3119">
        <v>7819564</v>
      </c>
      <c r="G202" s="3070" t="s">
        <v>3173</v>
      </c>
      <c r="H202" s="3070" t="s">
        <v>3058</v>
      </c>
      <c r="I202" s="3070">
        <f t="shared" si="3"/>
        <v>58657</v>
      </c>
      <c r="J202" s="3402"/>
      <c r="K202" s="3402"/>
      <c r="L202" s="3402"/>
      <c r="M202" s="3402"/>
      <c r="N202" s="3402"/>
    </row>
    <row r="203" spans="1:14" ht="24">
      <c r="A203" s="3399"/>
      <c r="B203" s="3071">
        <v>10</v>
      </c>
      <c r="C203" s="3072" t="s">
        <v>3553</v>
      </c>
      <c r="D203" s="3118" t="s">
        <v>3796</v>
      </c>
      <c r="E203" s="3119">
        <v>83.83</v>
      </c>
      <c r="F203" s="3119">
        <v>2514900</v>
      </c>
      <c r="G203" s="3070" t="s">
        <v>3501</v>
      </c>
      <c r="H203" s="3070" t="s">
        <v>3230</v>
      </c>
      <c r="I203" s="3070">
        <f t="shared" si="3"/>
        <v>30000</v>
      </c>
      <c r="J203" s="3402"/>
      <c r="K203" s="3402"/>
      <c r="L203" s="3402"/>
      <c r="M203" s="3402"/>
      <c r="N203" s="3402"/>
    </row>
    <row r="204" spans="1:14">
      <c r="A204" s="3399"/>
      <c r="B204" s="3071">
        <v>10</v>
      </c>
      <c r="C204" s="3072">
        <v>-206</v>
      </c>
      <c r="D204" s="3118" t="s">
        <v>3797</v>
      </c>
      <c r="E204" s="3119">
        <v>84.02</v>
      </c>
      <c r="F204" s="3119">
        <v>2520600</v>
      </c>
      <c r="G204" s="3070" t="s">
        <v>3503</v>
      </c>
      <c r="H204" s="3070" t="s">
        <v>3230</v>
      </c>
      <c r="I204" s="3070">
        <f t="shared" si="3"/>
        <v>30000</v>
      </c>
      <c r="J204" s="3402"/>
      <c r="K204" s="3402"/>
      <c r="L204" s="3402"/>
      <c r="M204" s="3402"/>
      <c r="N204" s="3402"/>
    </row>
    <row r="205" spans="1:14">
      <c r="A205" s="3399"/>
      <c r="B205" s="3071">
        <v>10</v>
      </c>
      <c r="C205" s="3071" t="s">
        <v>3798</v>
      </c>
      <c r="D205" s="3118" t="s">
        <v>3799</v>
      </c>
      <c r="E205" s="3071">
        <v>44.59</v>
      </c>
      <c r="F205" s="3071">
        <v>420000</v>
      </c>
      <c r="G205" s="3070" t="s">
        <v>3174</v>
      </c>
      <c r="H205" s="3070" t="s">
        <v>3174</v>
      </c>
      <c r="I205" s="3070">
        <f t="shared" si="3"/>
        <v>9419</v>
      </c>
      <c r="J205" s="3402"/>
      <c r="K205" s="3402"/>
      <c r="L205" s="3402"/>
      <c r="M205" s="3402"/>
      <c r="N205" s="3402"/>
    </row>
    <row r="206" spans="1:14">
      <c r="A206" s="3400"/>
      <c r="B206" s="3071">
        <v>10</v>
      </c>
      <c r="C206" s="3071" t="s">
        <v>3800</v>
      </c>
      <c r="D206" s="3118" t="s">
        <v>3801</v>
      </c>
      <c r="E206" s="3071">
        <v>44.59</v>
      </c>
      <c r="F206" s="3071">
        <v>420000</v>
      </c>
      <c r="G206" s="3070" t="s">
        <v>3174</v>
      </c>
      <c r="H206" s="3070" t="s">
        <v>3174</v>
      </c>
      <c r="I206" s="3070">
        <f t="shared" si="3"/>
        <v>9419</v>
      </c>
      <c r="J206" s="3402"/>
      <c r="K206" s="3402"/>
      <c r="L206" s="3402"/>
      <c r="M206" s="3402"/>
      <c r="N206" s="3402"/>
    </row>
    <row r="207" spans="1:14" ht="24">
      <c r="A207" s="3398">
        <v>42</v>
      </c>
      <c r="B207" s="3071">
        <v>10</v>
      </c>
      <c r="C207" s="3072" t="s">
        <v>3560</v>
      </c>
      <c r="D207" s="3118" t="s">
        <v>3802</v>
      </c>
      <c r="E207" s="3119">
        <v>133.31</v>
      </c>
      <c r="F207" s="3119">
        <v>7819564</v>
      </c>
      <c r="G207" s="3070" t="s">
        <v>3173</v>
      </c>
      <c r="H207" s="3070" t="s">
        <v>3058</v>
      </c>
      <c r="I207" s="3070">
        <f t="shared" si="3"/>
        <v>58657</v>
      </c>
      <c r="J207" s="3402"/>
      <c r="K207" s="3402"/>
      <c r="L207" s="3402"/>
      <c r="M207" s="3402"/>
      <c r="N207" s="3402"/>
    </row>
    <row r="208" spans="1:14" ht="24">
      <c r="A208" s="3399"/>
      <c r="B208" s="3071">
        <v>10</v>
      </c>
      <c r="C208" s="3072" t="s">
        <v>3562</v>
      </c>
      <c r="D208" s="3118" t="s">
        <v>3803</v>
      </c>
      <c r="E208" s="3119">
        <v>83.83</v>
      </c>
      <c r="F208" s="3119">
        <v>2514900</v>
      </c>
      <c r="G208" s="3070" t="s">
        <v>3501</v>
      </c>
      <c r="H208" s="3070" t="s">
        <v>3230</v>
      </c>
      <c r="I208" s="3070">
        <f t="shared" si="3"/>
        <v>30000</v>
      </c>
      <c r="J208" s="3402"/>
      <c r="K208" s="3402"/>
      <c r="L208" s="3402"/>
      <c r="M208" s="3402"/>
      <c r="N208" s="3402"/>
    </row>
    <row r="209" spans="1:14">
      <c r="A209" s="3399"/>
      <c r="B209" s="3071">
        <v>10</v>
      </c>
      <c r="C209" s="3072">
        <v>-207</v>
      </c>
      <c r="D209" s="3118" t="s">
        <v>3804</v>
      </c>
      <c r="E209" s="3119">
        <v>84.02</v>
      </c>
      <c r="F209" s="3119">
        <v>2520600</v>
      </c>
      <c r="G209" s="3070" t="s">
        <v>3503</v>
      </c>
      <c r="H209" s="3070" t="s">
        <v>3230</v>
      </c>
      <c r="I209" s="3070">
        <f t="shared" si="3"/>
        <v>30000</v>
      </c>
      <c r="J209" s="3402"/>
      <c r="K209" s="3402"/>
      <c r="L209" s="3402"/>
      <c r="M209" s="3402"/>
      <c r="N209" s="3402"/>
    </row>
    <row r="210" spans="1:14">
      <c r="A210" s="3399"/>
      <c r="B210" s="3071">
        <v>10</v>
      </c>
      <c r="C210" s="3071" t="s">
        <v>3805</v>
      </c>
      <c r="D210" s="3118" t="s">
        <v>3806</v>
      </c>
      <c r="E210" s="3071">
        <v>44.59</v>
      </c>
      <c r="F210" s="3071">
        <v>420000</v>
      </c>
      <c r="G210" s="3070" t="s">
        <v>3174</v>
      </c>
      <c r="H210" s="3070" t="s">
        <v>3174</v>
      </c>
      <c r="I210" s="3070">
        <f t="shared" si="3"/>
        <v>9419</v>
      </c>
      <c r="J210" s="3402"/>
      <c r="K210" s="3402"/>
      <c r="L210" s="3402"/>
      <c r="M210" s="3402"/>
      <c r="N210" s="3402"/>
    </row>
    <row r="211" spans="1:14">
      <c r="A211" s="3400"/>
      <c r="B211" s="3071">
        <v>10</v>
      </c>
      <c r="C211" s="3071" t="s">
        <v>3807</v>
      </c>
      <c r="D211" s="3118" t="s">
        <v>3808</v>
      </c>
      <c r="E211" s="3071">
        <v>44.59</v>
      </c>
      <c r="F211" s="3071">
        <v>420000</v>
      </c>
      <c r="G211" s="3070" t="s">
        <v>3174</v>
      </c>
      <c r="H211" s="3070" t="s">
        <v>3174</v>
      </c>
      <c r="I211" s="3070">
        <f t="shared" si="3"/>
        <v>9419</v>
      </c>
      <c r="J211" s="3403"/>
      <c r="K211" s="3403"/>
      <c r="L211" s="3403"/>
      <c r="M211" s="3403"/>
      <c r="N211" s="3403"/>
    </row>
    <row r="212" spans="1:14" ht="24">
      <c r="A212" s="3398">
        <v>43</v>
      </c>
      <c r="B212" s="3071">
        <v>11</v>
      </c>
      <c r="C212" s="3072" t="s">
        <v>3508</v>
      </c>
      <c r="D212" s="3118" t="s">
        <v>3809</v>
      </c>
      <c r="E212" s="3119">
        <v>180.7</v>
      </c>
      <c r="F212" s="3119">
        <v>11480413</v>
      </c>
      <c r="G212" s="3070" t="s">
        <v>3173</v>
      </c>
      <c r="H212" s="3070" t="s">
        <v>3058</v>
      </c>
      <c r="I212" s="3070">
        <f t="shared" si="3"/>
        <v>63533</v>
      </c>
      <c r="J212" s="3401">
        <v>4</v>
      </c>
      <c r="K212" s="3401">
        <v>4</v>
      </c>
      <c r="L212" s="3401">
        <f>E212+E217+E222+E227</f>
        <v>723.03</v>
      </c>
      <c r="M212" s="3401">
        <f>E213+E214+E218+E219+E223+E224+E228+E229</f>
        <v>909.93</v>
      </c>
      <c r="N212" s="3401">
        <f>L212+M212</f>
        <v>1632.96</v>
      </c>
    </row>
    <row r="213" spans="1:14" ht="24">
      <c r="A213" s="3399"/>
      <c r="B213" s="3071">
        <v>11</v>
      </c>
      <c r="C213" s="3072" t="s">
        <v>3510</v>
      </c>
      <c r="D213" s="3118" t="s">
        <v>3810</v>
      </c>
      <c r="E213" s="3119">
        <v>116.11</v>
      </c>
      <c r="F213" s="3119">
        <v>3483300</v>
      </c>
      <c r="G213" s="3070" t="s">
        <v>3501</v>
      </c>
      <c r="H213" s="3070" t="s">
        <v>3230</v>
      </c>
      <c r="I213" s="3070">
        <f t="shared" si="3"/>
        <v>30000</v>
      </c>
      <c r="J213" s="3402"/>
      <c r="K213" s="3402"/>
      <c r="L213" s="3402"/>
      <c r="M213" s="3402"/>
      <c r="N213" s="3402"/>
    </row>
    <row r="214" spans="1:14">
      <c r="A214" s="3399"/>
      <c r="B214" s="3071">
        <v>11</v>
      </c>
      <c r="C214" s="3072">
        <v>-201</v>
      </c>
      <c r="D214" s="3118" t="s">
        <v>3811</v>
      </c>
      <c r="E214" s="3119">
        <v>111.11</v>
      </c>
      <c r="F214" s="3119">
        <v>3333300</v>
      </c>
      <c r="G214" s="3070" t="s">
        <v>3503</v>
      </c>
      <c r="H214" s="3070" t="s">
        <v>3230</v>
      </c>
      <c r="I214" s="3070">
        <f t="shared" si="3"/>
        <v>30000</v>
      </c>
      <c r="J214" s="3402"/>
      <c r="K214" s="3402"/>
      <c r="L214" s="3402"/>
      <c r="M214" s="3402"/>
      <c r="N214" s="3402"/>
    </row>
    <row r="215" spans="1:14">
      <c r="A215" s="3399"/>
      <c r="B215" s="3071">
        <v>11</v>
      </c>
      <c r="C215" s="3071" t="s">
        <v>3812</v>
      </c>
      <c r="D215" s="3118" t="s">
        <v>3813</v>
      </c>
      <c r="E215" s="3071">
        <v>44.59</v>
      </c>
      <c r="F215" s="3071">
        <v>420000</v>
      </c>
      <c r="G215" s="3070" t="s">
        <v>3174</v>
      </c>
      <c r="H215" s="3070" t="s">
        <v>3174</v>
      </c>
      <c r="I215" s="3070">
        <f t="shared" si="3"/>
        <v>9419</v>
      </c>
      <c r="J215" s="3402"/>
      <c r="K215" s="3402"/>
      <c r="L215" s="3402"/>
      <c r="M215" s="3402"/>
      <c r="N215" s="3402"/>
    </row>
    <row r="216" spans="1:14">
      <c r="A216" s="3400"/>
      <c r="B216" s="3071">
        <v>11</v>
      </c>
      <c r="C216" s="3071" t="s">
        <v>3814</v>
      </c>
      <c r="D216" s="3118" t="s">
        <v>3815</v>
      </c>
      <c r="E216" s="3071">
        <v>44.59</v>
      </c>
      <c r="F216" s="3071">
        <v>420000</v>
      </c>
      <c r="G216" s="3070" t="s">
        <v>3174</v>
      </c>
      <c r="H216" s="3070" t="s">
        <v>3174</v>
      </c>
      <c r="I216" s="3070">
        <f t="shared" si="3"/>
        <v>9419</v>
      </c>
      <c r="J216" s="3402"/>
      <c r="K216" s="3402"/>
      <c r="L216" s="3402"/>
      <c r="M216" s="3402"/>
      <c r="N216" s="3402"/>
    </row>
    <row r="217" spans="1:14" ht="24">
      <c r="A217" s="3398">
        <v>44</v>
      </c>
      <c r="B217" s="3071">
        <v>11</v>
      </c>
      <c r="C217" s="3072" t="s">
        <v>3497</v>
      </c>
      <c r="D217" s="3118" t="s">
        <v>3816</v>
      </c>
      <c r="E217" s="3119">
        <v>180.7</v>
      </c>
      <c r="F217" s="3119">
        <v>11480413</v>
      </c>
      <c r="G217" s="3070" t="s">
        <v>3173</v>
      </c>
      <c r="H217" s="3070" t="s">
        <v>3058</v>
      </c>
      <c r="I217" s="3070">
        <f t="shared" si="3"/>
        <v>63533</v>
      </c>
      <c r="J217" s="3402"/>
      <c r="K217" s="3402"/>
      <c r="L217" s="3402"/>
      <c r="M217" s="3402"/>
      <c r="N217" s="3402"/>
    </row>
    <row r="218" spans="1:14" ht="24">
      <c r="A218" s="3399"/>
      <c r="B218" s="3071">
        <v>11</v>
      </c>
      <c r="C218" s="3072" t="s">
        <v>3499</v>
      </c>
      <c r="D218" s="3118" t="s">
        <v>3817</v>
      </c>
      <c r="E218" s="3119">
        <v>116.11</v>
      </c>
      <c r="F218" s="3119">
        <v>3483300</v>
      </c>
      <c r="G218" s="3070" t="s">
        <v>3501</v>
      </c>
      <c r="H218" s="3070" t="s">
        <v>3230</v>
      </c>
      <c r="I218" s="3070">
        <f t="shared" si="3"/>
        <v>30000</v>
      </c>
      <c r="J218" s="3402"/>
      <c r="K218" s="3402"/>
      <c r="L218" s="3402"/>
      <c r="M218" s="3402"/>
      <c r="N218" s="3402"/>
    </row>
    <row r="219" spans="1:14">
      <c r="A219" s="3399"/>
      <c r="B219" s="3071">
        <v>11</v>
      </c>
      <c r="C219" s="3072">
        <v>-202</v>
      </c>
      <c r="D219" s="3118" t="s">
        <v>3818</v>
      </c>
      <c r="E219" s="3119">
        <v>111.11</v>
      </c>
      <c r="F219" s="3119">
        <v>3333300</v>
      </c>
      <c r="G219" s="3070" t="s">
        <v>3503</v>
      </c>
      <c r="H219" s="3070" t="s">
        <v>3230</v>
      </c>
      <c r="I219" s="3070">
        <f t="shared" si="3"/>
        <v>30000</v>
      </c>
      <c r="J219" s="3402"/>
      <c r="K219" s="3402"/>
      <c r="L219" s="3402"/>
      <c r="M219" s="3402"/>
      <c r="N219" s="3402"/>
    </row>
    <row r="220" spans="1:14">
      <c r="A220" s="3399"/>
      <c r="B220" s="3071">
        <v>11</v>
      </c>
      <c r="C220" s="3071" t="s">
        <v>3819</v>
      </c>
      <c r="D220" s="3118" t="s">
        <v>3820</v>
      </c>
      <c r="E220" s="3071">
        <v>44.59</v>
      </c>
      <c r="F220" s="3071">
        <v>420000</v>
      </c>
      <c r="G220" s="3070" t="s">
        <v>3174</v>
      </c>
      <c r="H220" s="3070" t="s">
        <v>3174</v>
      </c>
      <c r="I220" s="3070">
        <f t="shared" si="3"/>
        <v>9419</v>
      </c>
      <c r="J220" s="3402"/>
      <c r="K220" s="3402"/>
      <c r="L220" s="3402"/>
      <c r="M220" s="3402"/>
      <c r="N220" s="3402"/>
    </row>
    <row r="221" spans="1:14">
      <c r="A221" s="3400"/>
      <c r="B221" s="3071">
        <v>11</v>
      </c>
      <c r="C221" s="3071" t="s">
        <v>3821</v>
      </c>
      <c r="D221" s="3118" t="s">
        <v>3822</v>
      </c>
      <c r="E221" s="3071">
        <v>44.59</v>
      </c>
      <c r="F221" s="3071">
        <v>420000</v>
      </c>
      <c r="G221" s="3070" t="s">
        <v>3174</v>
      </c>
      <c r="H221" s="3070" t="s">
        <v>3174</v>
      </c>
      <c r="I221" s="3070">
        <f t="shared" si="3"/>
        <v>9419</v>
      </c>
      <c r="J221" s="3402"/>
      <c r="K221" s="3402"/>
      <c r="L221" s="3402"/>
      <c r="M221" s="3402"/>
      <c r="N221" s="3402"/>
    </row>
    <row r="222" spans="1:14" ht="24">
      <c r="A222" s="3398">
        <v>45</v>
      </c>
      <c r="B222" s="3071">
        <v>11</v>
      </c>
      <c r="C222" s="3072" t="s">
        <v>3524</v>
      </c>
      <c r="D222" s="3118" t="s">
        <v>3823</v>
      </c>
      <c r="E222" s="3119">
        <v>180.7</v>
      </c>
      <c r="F222" s="3119">
        <v>11480413</v>
      </c>
      <c r="G222" s="3070" t="s">
        <v>3173</v>
      </c>
      <c r="H222" s="3070" t="s">
        <v>3058</v>
      </c>
      <c r="I222" s="3070">
        <f t="shared" si="3"/>
        <v>63533</v>
      </c>
      <c r="J222" s="3402"/>
      <c r="K222" s="3402"/>
      <c r="L222" s="3402"/>
      <c r="M222" s="3402"/>
      <c r="N222" s="3402"/>
    </row>
    <row r="223" spans="1:14" ht="24">
      <c r="A223" s="3399"/>
      <c r="B223" s="3071">
        <v>11</v>
      </c>
      <c r="C223" s="3072" t="s">
        <v>3526</v>
      </c>
      <c r="D223" s="3118" t="s">
        <v>3824</v>
      </c>
      <c r="E223" s="3119">
        <v>116.11</v>
      </c>
      <c r="F223" s="3119">
        <v>3483300</v>
      </c>
      <c r="G223" s="3070" t="s">
        <v>3501</v>
      </c>
      <c r="H223" s="3070" t="s">
        <v>3230</v>
      </c>
      <c r="I223" s="3070">
        <f t="shared" si="3"/>
        <v>30000</v>
      </c>
      <c r="J223" s="3402"/>
      <c r="K223" s="3402"/>
      <c r="L223" s="3402"/>
      <c r="M223" s="3402"/>
      <c r="N223" s="3402"/>
    </row>
    <row r="224" spans="1:14">
      <c r="A224" s="3399"/>
      <c r="B224" s="3071">
        <v>11</v>
      </c>
      <c r="C224" s="3072">
        <v>-203</v>
      </c>
      <c r="D224" s="3118" t="s">
        <v>3825</v>
      </c>
      <c r="E224" s="3119">
        <v>111.11</v>
      </c>
      <c r="F224" s="3119">
        <v>3333300</v>
      </c>
      <c r="G224" s="3070" t="s">
        <v>3503</v>
      </c>
      <c r="H224" s="3070" t="s">
        <v>3230</v>
      </c>
      <c r="I224" s="3070">
        <f t="shared" si="3"/>
        <v>30000</v>
      </c>
      <c r="J224" s="3402"/>
      <c r="K224" s="3402"/>
      <c r="L224" s="3402"/>
      <c r="M224" s="3402"/>
      <c r="N224" s="3402"/>
    </row>
    <row r="225" spans="1:14">
      <c r="A225" s="3399"/>
      <c r="B225" s="3071">
        <v>11</v>
      </c>
      <c r="C225" s="3071" t="s">
        <v>3826</v>
      </c>
      <c r="D225" s="3118" t="s">
        <v>3827</v>
      </c>
      <c r="E225" s="3071">
        <v>44.59</v>
      </c>
      <c r="F225" s="3071">
        <v>420000</v>
      </c>
      <c r="G225" s="3070" t="s">
        <v>3174</v>
      </c>
      <c r="H225" s="3070" t="s">
        <v>3174</v>
      </c>
      <c r="I225" s="3070">
        <f t="shared" si="3"/>
        <v>9419</v>
      </c>
      <c r="J225" s="3402"/>
      <c r="K225" s="3402"/>
      <c r="L225" s="3402"/>
      <c r="M225" s="3402"/>
      <c r="N225" s="3402"/>
    </row>
    <row r="226" spans="1:14">
      <c r="A226" s="3400"/>
      <c r="B226" s="3071">
        <v>11</v>
      </c>
      <c r="C226" s="3071" t="s">
        <v>3828</v>
      </c>
      <c r="D226" s="3118" t="s">
        <v>3829</v>
      </c>
      <c r="E226" s="3071">
        <v>44.59</v>
      </c>
      <c r="F226" s="3071">
        <v>420000</v>
      </c>
      <c r="G226" s="3070" t="s">
        <v>3174</v>
      </c>
      <c r="H226" s="3070" t="s">
        <v>3174</v>
      </c>
      <c r="I226" s="3070">
        <f t="shared" si="3"/>
        <v>9419</v>
      </c>
      <c r="J226" s="3402"/>
      <c r="K226" s="3402"/>
      <c r="L226" s="3402"/>
      <c r="M226" s="3402"/>
      <c r="N226" s="3402"/>
    </row>
    <row r="227" spans="1:14" ht="24">
      <c r="A227" s="3398">
        <v>46</v>
      </c>
      <c r="B227" s="3071">
        <v>11</v>
      </c>
      <c r="C227" s="3072" t="s">
        <v>3533</v>
      </c>
      <c r="D227" s="3118" t="s">
        <v>3830</v>
      </c>
      <c r="E227" s="3119">
        <v>180.93</v>
      </c>
      <c r="F227" s="3119">
        <v>11495025</v>
      </c>
      <c r="G227" s="3070" t="s">
        <v>3173</v>
      </c>
      <c r="H227" s="3070" t="s">
        <v>3058</v>
      </c>
      <c r="I227" s="3070">
        <f t="shared" si="3"/>
        <v>63533</v>
      </c>
      <c r="J227" s="3402"/>
      <c r="K227" s="3402"/>
      <c r="L227" s="3402"/>
      <c r="M227" s="3402"/>
      <c r="N227" s="3402"/>
    </row>
    <row r="228" spans="1:14" ht="24">
      <c r="A228" s="3399"/>
      <c r="B228" s="3071">
        <v>11</v>
      </c>
      <c r="C228" s="3072" t="s">
        <v>3535</v>
      </c>
      <c r="D228" s="3118" t="s">
        <v>3831</v>
      </c>
      <c r="E228" s="3119">
        <v>116.38</v>
      </c>
      <c r="F228" s="3119">
        <v>3491400</v>
      </c>
      <c r="G228" s="3070" t="s">
        <v>3501</v>
      </c>
      <c r="H228" s="3070" t="s">
        <v>3230</v>
      </c>
      <c r="I228" s="3070">
        <f t="shared" si="3"/>
        <v>30000</v>
      </c>
      <c r="J228" s="3402"/>
      <c r="K228" s="3402"/>
      <c r="L228" s="3402"/>
      <c r="M228" s="3402"/>
      <c r="N228" s="3402"/>
    </row>
    <row r="229" spans="1:14">
      <c r="A229" s="3399"/>
      <c r="B229" s="3071">
        <v>11</v>
      </c>
      <c r="C229" s="3072">
        <v>-204</v>
      </c>
      <c r="D229" s="3118" t="s">
        <v>3832</v>
      </c>
      <c r="E229" s="3119">
        <v>111.89</v>
      </c>
      <c r="F229" s="3119">
        <v>3356700</v>
      </c>
      <c r="G229" s="3070" t="s">
        <v>3503</v>
      </c>
      <c r="H229" s="3070" t="s">
        <v>3230</v>
      </c>
      <c r="I229" s="3070">
        <f t="shared" si="3"/>
        <v>30000</v>
      </c>
      <c r="J229" s="3402"/>
      <c r="K229" s="3402"/>
      <c r="L229" s="3402"/>
      <c r="M229" s="3402"/>
      <c r="N229" s="3402"/>
    </row>
    <row r="230" spans="1:14">
      <c r="A230" s="3399"/>
      <c r="B230" s="3071">
        <v>11</v>
      </c>
      <c r="C230" s="3071" t="s">
        <v>3833</v>
      </c>
      <c r="D230" s="3118" t="s">
        <v>3834</v>
      </c>
      <c r="E230" s="3071">
        <v>44.59</v>
      </c>
      <c r="F230" s="3071">
        <v>420000</v>
      </c>
      <c r="G230" s="3070" t="s">
        <v>3174</v>
      </c>
      <c r="H230" s="3070" t="s">
        <v>3174</v>
      </c>
      <c r="I230" s="3070">
        <f t="shared" si="3"/>
        <v>9419</v>
      </c>
      <c r="J230" s="3402"/>
      <c r="K230" s="3402"/>
      <c r="L230" s="3402"/>
      <c r="M230" s="3402"/>
      <c r="N230" s="3402"/>
    </row>
    <row r="231" spans="1:14">
      <c r="A231" s="3400"/>
      <c r="B231" s="3071">
        <v>11</v>
      </c>
      <c r="C231" s="3071" t="s">
        <v>3835</v>
      </c>
      <c r="D231" s="3118" t="s">
        <v>3836</v>
      </c>
      <c r="E231" s="3071">
        <v>44.59</v>
      </c>
      <c r="F231" s="3071">
        <v>420000</v>
      </c>
      <c r="G231" s="3070" t="s">
        <v>3174</v>
      </c>
      <c r="H231" s="3070" t="s">
        <v>3174</v>
      </c>
      <c r="I231" s="3070">
        <f t="shared" si="3"/>
        <v>9419</v>
      </c>
      <c r="J231" s="3403"/>
      <c r="K231" s="3403"/>
      <c r="L231" s="3403"/>
      <c r="M231" s="3403"/>
      <c r="N231" s="3403"/>
    </row>
    <row r="232" spans="1:14" ht="24">
      <c r="A232" s="3398">
        <v>47</v>
      </c>
      <c r="B232" s="3071">
        <v>12</v>
      </c>
      <c r="C232" s="3072" t="s">
        <v>3497</v>
      </c>
      <c r="D232" s="3118" t="s">
        <v>3837</v>
      </c>
      <c r="E232" s="3119">
        <v>180.65</v>
      </c>
      <c r="F232" s="3119">
        <v>11477236</v>
      </c>
      <c r="G232" s="3070" t="s">
        <v>3173</v>
      </c>
      <c r="H232" s="3070" t="s">
        <v>3058</v>
      </c>
      <c r="I232" s="3070">
        <f t="shared" si="3"/>
        <v>63533</v>
      </c>
      <c r="J232" s="3401">
        <v>4</v>
      </c>
      <c r="K232" s="3401">
        <v>3</v>
      </c>
      <c r="L232" s="3401">
        <f>+E232+E237+E242</f>
        <v>542.17000000000007</v>
      </c>
      <c r="M232" s="3401">
        <f>+E233+E234+E238+E239+E243+E244</f>
        <v>682.58</v>
      </c>
      <c r="N232" s="3401">
        <f>L232+M232</f>
        <v>1224.75</v>
      </c>
    </row>
    <row r="233" spans="1:14" ht="24">
      <c r="A233" s="3399"/>
      <c r="B233" s="3071">
        <v>12</v>
      </c>
      <c r="C233" s="3072" t="s">
        <v>3499</v>
      </c>
      <c r="D233" s="3118" t="s">
        <v>3838</v>
      </c>
      <c r="E233" s="3119">
        <v>116.07</v>
      </c>
      <c r="F233" s="3119">
        <v>3482100</v>
      </c>
      <c r="G233" s="3070" t="s">
        <v>3501</v>
      </c>
      <c r="H233" s="3070" t="s">
        <v>3230</v>
      </c>
      <c r="I233" s="3070">
        <f t="shared" si="3"/>
        <v>30000</v>
      </c>
      <c r="J233" s="3402"/>
      <c r="K233" s="3402"/>
      <c r="L233" s="3402"/>
      <c r="M233" s="3402"/>
      <c r="N233" s="3402"/>
    </row>
    <row r="234" spans="1:14">
      <c r="A234" s="3399"/>
      <c r="B234" s="3071">
        <v>12</v>
      </c>
      <c r="C234" s="3072">
        <v>-202</v>
      </c>
      <c r="D234" s="3118" t="s">
        <v>3839</v>
      </c>
      <c r="E234" s="3119">
        <v>111.1</v>
      </c>
      <c r="F234" s="3119">
        <v>3333000</v>
      </c>
      <c r="G234" s="3070" t="s">
        <v>3503</v>
      </c>
      <c r="H234" s="3070" t="s">
        <v>3230</v>
      </c>
      <c r="I234" s="3070">
        <f t="shared" si="3"/>
        <v>30000</v>
      </c>
      <c r="J234" s="3402"/>
      <c r="K234" s="3402"/>
      <c r="L234" s="3402"/>
      <c r="M234" s="3402"/>
      <c r="N234" s="3402"/>
    </row>
    <row r="235" spans="1:14">
      <c r="A235" s="3399"/>
      <c r="B235" s="3071">
        <v>12</v>
      </c>
      <c r="C235" s="3071" t="s">
        <v>3840</v>
      </c>
      <c r="D235" s="3118" t="s">
        <v>3841</v>
      </c>
      <c r="E235" s="3071">
        <v>44.59</v>
      </c>
      <c r="F235" s="3071">
        <v>420000</v>
      </c>
      <c r="G235" s="3070" t="s">
        <v>3174</v>
      </c>
      <c r="H235" s="3070" t="s">
        <v>3174</v>
      </c>
      <c r="I235" s="3070">
        <f t="shared" si="3"/>
        <v>9419</v>
      </c>
      <c r="J235" s="3402"/>
      <c r="K235" s="3402"/>
      <c r="L235" s="3402"/>
      <c r="M235" s="3402"/>
      <c r="N235" s="3402"/>
    </row>
    <row r="236" spans="1:14">
      <c r="A236" s="3400"/>
      <c r="B236" s="3071">
        <v>12</v>
      </c>
      <c r="C236" s="3071" t="s">
        <v>3842</v>
      </c>
      <c r="D236" s="3118" t="s">
        <v>3843</v>
      </c>
      <c r="E236" s="3071">
        <v>44.59</v>
      </c>
      <c r="F236" s="3071">
        <v>420000</v>
      </c>
      <c r="G236" s="3070" t="s">
        <v>3174</v>
      </c>
      <c r="H236" s="3070" t="s">
        <v>3174</v>
      </c>
      <c r="I236" s="3070">
        <f t="shared" si="3"/>
        <v>9419</v>
      </c>
      <c r="J236" s="3402"/>
      <c r="K236" s="3402"/>
      <c r="L236" s="3402"/>
      <c r="M236" s="3402"/>
      <c r="N236" s="3402"/>
    </row>
    <row r="237" spans="1:14" ht="24">
      <c r="A237" s="3398">
        <v>48</v>
      </c>
      <c r="B237" s="3071">
        <v>12</v>
      </c>
      <c r="C237" s="3072" t="s">
        <v>3524</v>
      </c>
      <c r="D237" s="3118" t="s">
        <v>3844</v>
      </c>
      <c r="E237" s="3119">
        <v>180.65</v>
      </c>
      <c r="F237" s="3119">
        <v>11477236</v>
      </c>
      <c r="G237" s="3070" t="s">
        <v>3173</v>
      </c>
      <c r="H237" s="3070" t="s">
        <v>3058</v>
      </c>
      <c r="I237" s="3070">
        <f t="shared" si="3"/>
        <v>63533</v>
      </c>
      <c r="J237" s="3402"/>
      <c r="K237" s="3402"/>
      <c r="L237" s="3402"/>
      <c r="M237" s="3402"/>
      <c r="N237" s="3402"/>
    </row>
    <row r="238" spans="1:14" ht="24">
      <c r="A238" s="3399"/>
      <c r="B238" s="3071">
        <v>12</v>
      </c>
      <c r="C238" s="3072" t="s">
        <v>3526</v>
      </c>
      <c r="D238" s="3118" t="s">
        <v>3845</v>
      </c>
      <c r="E238" s="3119">
        <v>116.07</v>
      </c>
      <c r="F238" s="3119">
        <v>3482100</v>
      </c>
      <c r="G238" s="3070" t="s">
        <v>3501</v>
      </c>
      <c r="H238" s="3070" t="s">
        <v>3230</v>
      </c>
      <c r="I238" s="3070">
        <f t="shared" si="3"/>
        <v>30000</v>
      </c>
      <c r="J238" s="3402"/>
      <c r="K238" s="3402"/>
      <c r="L238" s="3402"/>
      <c r="M238" s="3402"/>
      <c r="N238" s="3402"/>
    </row>
    <row r="239" spans="1:14">
      <c r="A239" s="3399"/>
      <c r="B239" s="3071">
        <v>12</v>
      </c>
      <c r="C239" s="3072">
        <v>-203</v>
      </c>
      <c r="D239" s="3118" t="s">
        <v>3846</v>
      </c>
      <c r="E239" s="3119">
        <v>111.1</v>
      </c>
      <c r="F239" s="3119">
        <v>3333000</v>
      </c>
      <c r="G239" s="3070" t="s">
        <v>3503</v>
      </c>
      <c r="H239" s="3070" t="s">
        <v>3230</v>
      </c>
      <c r="I239" s="3070">
        <f t="shared" si="3"/>
        <v>30000</v>
      </c>
      <c r="J239" s="3402"/>
      <c r="K239" s="3402"/>
      <c r="L239" s="3402"/>
      <c r="M239" s="3402"/>
      <c r="N239" s="3402"/>
    </row>
    <row r="240" spans="1:14">
      <c r="A240" s="3399"/>
      <c r="B240" s="3071">
        <v>12</v>
      </c>
      <c r="C240" s="3071" t="s">
        <v>3847</v>
      </c>
      <c r="D240" s="3118" t="s">
        <v>3848</v>
      </c>
      <c r="E240" s="3071">
        <v>44.59</v>
      </c>
      <c r="F240" s="3071">
        <v>420000</v>
      </c>
      <c r="G240" s="3070" t="s">
        <v>3174</v>
      </c>
      <c r="H240" s="3070" t="s">
        <v>3174</v>
      </c>
      <c r="I240" s="3070">
        <f t="shared" si="3"/>
        <v>9419</v>
      </c>
      <c r="J240" s="3402"/>
      <c r="K240" s="3402"/>
      <c r="L240" s="3402"/>
      <c r="M240" s="3402"/>
      <c r="N240" s="3402"/>
    </row>
    <row r="241" spans="1:14">
      <c r="A241" s="3400"/>
      <c r="B241" s="3071">
        <v>12</v>
      </c>
      <c r="C241" s="3071" t="s">
        <v>3849</v>
      </c>
      <c r="D241" s="3118" t="s">
        <v>3850</v>
      </c>
      <c r="E241" s="3071">
        <v>44.59</v>
      </c>
      <c r="F241" s="3071">
        <v>420000</v>
      </c>
      <c r="G241" s="3070" t="s">
        <v>3174</v>
      </c>
      <c r="H241" s="3070" t="s">
        <v>3174</v>
      </c>
      <c r="I241" s="3070">
        <f t="shared" si="3"/>
        <v>9419</v>
      </c>
      <c r="J241" s="3402"/>
      <c r="K241" s="3402"/>
      <c r="L241" s="3402"/>
      <c r="M241" s="3402"/>
      <c r="N241" s="3402"/>
    </row>
    <row r="242" spans="1:14" ht="24">
      <c r="A242" s="3398">
        <v>49</v>
      </c>
      <c r="B242" s="3071">
        <v>12</v>
      </c>
      <c r="C242" s="3072" t="s">
        <v>3533</v>
      </c>
      <c r="D242" s="3118" t="s">
        <v>3851</v>
      </c>
      <c r="E242" s="3119">
        <v>180.87</v>
      </c>
      <c r="F242" s="3119">
        <v>11491213</v>
      </c>
      <c r="G242" s="3070" t="s">
        <v>3173</v>
      </c>
      <c r="H242" s="3070" t="s">
        <v>3058</v>
      </c>
      <c r="I242" s="3070">
        <f t="shared" si="3"/>
        <v>63533</v>
      </c>
      <c r="J242" s="3402"/>
      <c r="K242" s="3402"/>
      <c r="L242" s="3402"/>
      <c r="M242" s="3402"/>
      <c r="N242" s="3402"/>
    </row>
    <row r="243" spans="1:14" ht="24">
      <c r="A243" s="3399"/>
      <c r="B243" s="3071">
        <v>12</v>
      </c>
      <c r="C243" s="3072" t="s">
        <v>3535</v>
      </c>
      <c r="D243" s="3118" t="s">
        <v>3852</v>
      </c>
      <c r="E243" s="3119">
        <v>116.36</v>
      </c>
      <c r="F243" s="3119">
        <v>3490800</v>
      </c>
      <c r="G243" s="3070" t="s">
        <v>3501</v>
      </c>
      <c r="H243" s="3070" t="s">
        <v>3230</v>
      </c>
      <c r="I243" s="3070">
        <f t="shared" si="3"/>
        <v>30000</v>
      </c>
      <c r="J243" s="3402"/>
      <c r="K243" s="3402"/>
      <c r="L243" s="3402"/>
      <c r="M243" s="3402"/>
      <c r="N243" s="3402"/>
    </row>
    <row r="244" spans="1:14">
      <c r="A244" s="3399"/>
      <c r="B244" s="3071">
        <v>12</v>
      </c>
      <c r="C244" s="3072">
        <v>-204</v>
      </c>
      <c r="D244" s="3118" t="s">
        <v>3853</v>
      </c>
      <c r="E244" s="3119">
        <v>111.88</v>
      </c>
      <c r="F244" s="3119">
        <v>3356400</v>
      </c>
      <c r="G244" s="3070" t="s">
        <v>3503</v>
      </c>
      <c r="H244" s="3070" t="s">
        <v>3230</v>
      </c>
      <c r="I244" s="3070">
        <f t="shared" ref="I244:I302" si="4">ROUND(F244/E244,0)</f>
        <v>30000</v>
      </c>
      <c r="J244" s="3402"/>
      <c r="K244" s="3402"/>
      <c r="L244" s="3402"/>
      <c r="M244" s="3402"/>
      <c r="N244" s="3402"/>
    </row>
    <row r="245" spans="1:14">
      <c r="A245" s="3399"/>
      <c r="B245" s="3071">
        <v>12</v>
      </c>
      <c r="C245" s="3071" t="s">
        <v>3854</v>
      </c>
      <c r="D245" s="3118" t="s">
        <v>3855</v>
      </c>
      <c r="E245" s="3071">
        <v>44.59</v>
      </c>
      <c r="F245" s="3071">
        <v>420000</v>
      </c>
      <c r="G245" s="3070" t="s">
        <v>3174</v>
      </c>
      <c r="H245" s="3070" t="s">
        <v>3174</v>
      </c>
      <c r="I245" s="3070">
        <f t="shared" si="4"/>
        <v>9419</v>
      </c>
      <c r="J245" s="3402"/>
      <c r="K245" s="3402"/>
      <c r="L245" s="3402"/>
      <c r="M245" s="3402"/>
      <c r="N245" s="3402"/>
    </row>
    <row r="246" spans="1:14">
      <c r="A246" s="3400"/>
      <c r="B246" s="3071">
        <v>12</v>
      </c>
      <c r="C246" s="3071" t="s">
        <v>3856</v>
      </c>
      <c r="D246" s="3118" t="s">
        <v>3857</v>
      </c>
      <c r="E246" s="3071">
        <v>44.59</v>
      </c>
      <c r="F246" s="3071">
        <v>420000</v>
      </c>
      <c r="G246" s="3070" t="s">
        <v>3174</v>
      </c>
      <c r="H246" s="3070" t="s">
        <v>3174</v>
      </c>
      <c r="I246" s="3070">
        <f t="shared" si="4"/>
        <v>9419</v>
      </c>
      <c r="J246" s="3403"/>
      <c r="K246" s="3403"/>
      <c r="L246" s="3403"/>
      <c r="M246" s="3403"/>
      <c r="N246" s="3403"/>
    </row>
    <row r="247" spans="1:14" ht="24">
      <c r="A247" s="3398">
        <v>50</v>
      </c>
      <c r="B247" s="3071">
        <v>13</v>
      </c>
      <c r="C247" s="3072" t="s">
        <v>3497</v>
      </c>
      <c r="D247" s="3118" t="s">
        <v>3858</v>
      </c>
      <c r="E247" s="3119">
        <v>133.16</v>
      </c>
      <c r="F247" s="3119">
        <v>7710097</v>
      </c>
      <c r="G247" s="3070" t="s">
        <v>3173</v>
      </c>
      <c r="H247" s="3070" t="s">
        <v>3058</v>
      </c>
      <c r="I247" s="3070">
        <f t="shared" si="4"/>
        <v>57901</v>
      </c>
      <c r="J247" s="3401">
        <v>8</v>
      </c>
      <c r="K247" s="3401">
        <v>7</v>
      </c>
      <c r="L247" s="3401">
        <f>+E247+E252+E257+E262+E267+E272+E277</f>
        <v>932.49999999999989</v>
      </c>
      <c r="M247" s="3401">
        <f>+E248+E249+E253+E254+E258+E259+E263+E264+E268+E269+E273+E274+E278+E279</f>
        <v>1172.8600000000001</v>
      </c>
      <c r="N247" s="3401">
        <f>L247+M247</f>
        <v>2105.36</v>
      </c>
    </row>
    <row r="248" spans="1:14" ht="24">
      <c r="A248" s="3399"/>
      <c r="B248" s="3071">
        <v>13</v>
      </c>
      <c r="C248" s="3072" t="s">
        <v>3499</v>
      </c>
      <c r="D248" s="3118" t="s">
        <v>3859</v>
      </c>
      <c r="E248" s="3119">
        <v>83.73</v>
      </c>
      <c r="F248" s="3119">
        <v>2511900</v>
      </c>
      <c r="G248" s="3070" t="s">
        <v>3501</v>
      </c>
      <c r="H248" s="3070" t="s">
        <v>3230</v>
      </c>
      <c r="I248" s="3070">
        <f t="shared" si="4"/>
        <v>30000</v>
      </c>
      <c r="J248" s="3402"/>
      <c r="K248" s="3402"/>
      <c r="L248" s="3402"/>
      <c r="M248" s="3402"/>
      <c r="N248" s="3402"/>
    </row>
    <row r="249" spans="1:14">
      <c r="A249" s="3399"/>
      <c r="B249" s="3071">
        <v>13</v>
      </c>
      <c r="C249" s="3072">
        <v>-202</v>
      </c>
      <c r="D249" s="3118" t="s">
        <v>3860</v>
      </c>
      <c r="E249" s="3119">
        <v>83.87</v>
      </c>
      <c r="F249" s="3119">
        <v>2516100</v>
      </c>
      <c r="G249" s="3070" t="s">
        <v>3503</v>
      </c>
      <c r="H249" s="3070" t="s">
        <v>3230</v>
      </c>
      <c r="I249" s="3070">
        <f t="shared" si="4"/>
        <v>30000</v>
      </c>
      <c r="J249" s="3402"/>
      <c r="K249" s="3402"/>
      <c r="L249" s="3402"/>
      <c r="M249" s="3402"/>
      <c r="N249" s="3402"/>
    </row>
    <row r="250" spans="1:14">
      <c r="A250" s="3399"/>
      <c r="B250" s="3071">
        <v>13</v>
      </c>
      <c r="C250" s="3071" t="s">
        <v>3861</v>
      </c>
      <c r="D250" s="3118" t="s">
        <v>3862</v>
      </c>
      <c r="E250" s="3071">
        <v>44.59</v>
      </c>
      <c r="F250" s="3071">
        <v>420000</v>
      </c>
      <c r="G250" s="3070" t="s">
        <v>3174</v>
      </c>
      <c r="H250" s="3070" t="s">
        <v>3174</v>
      </c>
      <c r="I250" s="3070">
        <f t="shared" si="4"/>
        <v>9419</v>
      </c>
      <c r="J250" s="3402"/>
      <c r="K250" s="3402"/>
      <c r="L250" s="3402"/>
      <c r="M250" s="3402"/>
      <c r="N250" s="3402"/>
    </row>
    <row r="251" spans="1:14">
      <c r="A251" s="3400"/>
      <c r="B251" s="3071">
        <v>13</v>
      </c>
      <c r="C251" s="3071" t="s">
        <v>3863</v>
      </c>
      <c r="D251" s="3118" t="s">
        <v>3864</v>
      </c>
      <c r="E251" s="3071">
        <v>44.59</v>
      </c>
      <c r="F251" s="3071">
        <v>420000</v>
      </c>
      <c r="G251" s="3070" t="s">
        <v>3174</v>
      </c>
      <c r="H251" s="3070" t="s">
        <v>3174</v>
      </c>
      <c r="I251" s="3070">
        <f t="shared" si="4"/>
        <v>9419</v>
      </c>
      <c r="J251" s="3402"/>
      <c r="K251" s="3402"/>
      <c r="L251" s="3402"/>
      <c r="M251" s="3402"/>
      <c r="N251" s="3402"/>
    </row>
    <row r="252" spans="1:14" ht="24">
      <c r="A252" s="3398">
        <v>51</v>
      </c>
      <c r="B252" s="3071">
        <v>13</v>
      </c>
      <c r="C252" s="3072" t="s">
        <v>3524</v>
      </c>
      <c r="D252" s="3118" t="s">
        <v>3865</v>
      </c>
      <c r="E252" s="3119">
        <v>133.16</v>
      </c>
      <c r="F252" s="3119">
        <v>7710097</v>
      </c>
      <c r="G252" s="3070" t="s">
        <v>3173</v>
      </c>
      <c r="H252" s="3070" t="s">
        <v>3058</v>
      </c>
      <c r="I252" s="3070">
        <f t="shared" si="4"/>
        <v>57901</v>
      </c>
      <c r="J252" s="3402"/>
      <c r="K252" s="3402"/>
      <c r="L252" s="3402"/>
      <c r="M252" s="3402"/>
      <c r="N252" s="3402"/>
    </row>
    <row r="253" spans="1:14" ht="24">
      <c r="A253" s="3399"/>
      <c r="B253" s="3071">
        <v>13</v>
      </c>
      <c r="C253" s="3072" t="s">
        <v>3526</v>
      </c>
      <c r="D253" s="3118" t="s">
        <v>3866</v>
      </c>
      <c r="E253" s="3119">
        <v>83.73</v>
      </c>
      <c r="F253" s="3119">
        <v>2511900</v>
      </c>
      <c r="G253" s="3070" t="s">
        <v>3501</v>
      </c>
      <c r="H253" s="3070" t="s">
        <v>3230</v>
      </c>
      <c r="I253" s="3070">
        <f t="shared" si="4"/>
        <v>30000</v>
      </c>
      <c r="J253" s="3402"/>
      <c r="K253" s="3402"/>
      <c r="L253" s="3402"/>
      <c r="M253" s="3402"/>
      <c r="N253" s="3402"/>
    </row>
    <row r="254" spans="1:14">
      <c r="A254" s="3399"/>
      <c r="B254" s="3071">
        <v>13</v>
      </c>
      <c r="C254" s="3072">
        <v>-203</v>
      </c>
      <c r="D254" s="3118" t="s">
        <v>3867</v>
      </c>
      <c r="E254" s="3119">
        <v>83.87</v>
      </c>
      <c r="F254" s="3119">
        <v>2516100</v>
      </c>
      <c r="G254" s="3070" t="s">
        <v>3503</v>
      </c>
      <c r="H254" s="3070" t="s">
        <v>3230</v>
      </c>
      <c r="I254" s="3070">
        <f t="shared" si="4"/>
        <v>30000</v>
      </c>
      <c r="J254" s="3402"/>
      <c r="K254" s="3402"/>
      <c r="L254" s="3402"/>
      <c r="M254" s="3402"/>
      <c r="N254" s="3402"/>
    </row>
    <row r="255" spans="1:14">
      <c r="A255" s="3399"/>
      <c r="B255" s="3071">
        <v>13</v>
      </c>
      <c r="C255" s="3071" t="s">
        <v>3868</v>
      </c>
      <c r="D255" s="3118" t="s">
        <v>3869</v>
      </c>
      <c r="E255" s="3071">
        <v>44.59</v>
      </c>
      <c r="F255" s="3071">
        <v>420000</v>
      </c>
      <c r="G255" s="3070" t="s">
        <v>3174</v>
      </c>
      <c r="H255" s="3070" t="s">
        <v>3174</v>
      </c>
      <c r="I255" s="3070">
        <f t="shared" si="4"/>
        <v>9419</v>
      </c>
      <c r="J255" s="3402"/>
      <c r="K255" s="3402"/>
      <c r="L255" s="3402"/>
      <c r="M255" s="3402"/>
      <c r="N255" s="3402"/>
    </row>
    <row r="256" spans="1:14">
      <c r="A256" s="3400"/>
      <c r="B256" s="3071">
        <v>13</v>
      </c>
      <c r="C256" s="3071" t="s">
        <v>3870</v>
      </c>
      <c r="D256" s="3118" t="s">
        <v>3871</v>
      </c>
      <c r="E256" s="3071">
        <v>44.59</v>
      </c>
      <c r="F256" s="3071">
        <v>420000</v>
      </c>
      <c r="G256" s="3070" t="s">
        <v>3174</v>
      </c>
      <c r="H256" s="3070" t="s">
        <v>3174</v>
      </c>
      <c r="I256" s="3070">
        <f t="shared" si="4"/>
        <v>9419</v>
      </c>
      <c r="J256" s="3402"/>
      <c r="K256" s="3402"/>
      <c r="L256" s="3402"/>
      <c r="M256" s="3402"/>
      <c r="N256" s="3402"/>
    </row>
    <row r="257" spans="1:14" ht="24">
      <c r="A257" s="3398">
        <v>52</v>
      </c>
      <c r="B257" s="3071">
        <v>13</v>
      </c>
      <c r="C257" s="3072" t="s">
        <v>3533</v>
      </c>
      <c r="D257" s="3118" t="s">
        <v>3872</v>
      </c>
      <c r="E257" s="3119">
        <v>133.35</v>
      </c>
      <c r="F257" s="3119">
        <v>7822177</v>
      </c>
      <c r="G257" s="3070" t="s">
        <v>3173</v>
      </c>
      <c r="H257" s="3070" t="s">
        <v>3058</v>
      </c>
      <c r="I257" s="3070">
        <f t="shared" si="4"/>
        <v>58659</v>
      </c>
      <c r="J257" s="3402"/>
      <c r="K257" s="3402"/>
      <c r="L257" s="3402"/>
      <c r="M257" s="3402"/>
      <c r="N257" s="3402"/>
    </row>
    <row r="258" spans="1:14" ht="24">
      <c r="A258" s="3399"/>
      <c r="B258" s="3071">
        <v>13</v>
      </c>
      <c r="C258" s="3072" t="s">
        <v>3535</v>
      </c>
      <c r="D258" s="3118" t="s">
        <v>3873</v>
      </c>
      <c r="E258" s="3119">
        <v>83.99</v>
      </c>
      <c r="F258" s="3119">
        <v>2519700</v>
      </c>
      <c r="G258" s="3070" t="s">
        <v>3501</v>
      </c>
      <c r="H258" s="3070" t="s">
        <v>3230</v>
      </c>
      <c r="I258" s="3070">
        <f t="shared" si="4"/>
        <v>30000</v>
      </c>
      <c r="J258" s="3402"/>
      <c r="K258" s="3402"/>
      <c r="L258" s="3402"/>
      <c r="M258" s="3402"/>
      <c r="N258" s="3402"/>
    </row>
    <row r="259" spans="1:14">
      <c r="A259" s="3399"/>
      <c r="B259" s="3071">
        <v>13</v>
      </c>
      <c r="C259" s="3072">
        <v>-204</v>
      </c>
      <c r="D259" s="3118" t="s">
        <v>3874</v>
      </c>
      <c r="E259" s="3119">
        <v>83.87</v>
      </c>
      <c r="F259" s="3119">
        <v>2516100</v>
      </c>
      <c r="G259" s="3070" t="s">
        <v>3503</v>
      </c>
      <c r="H259" s="3070" t="s">
        <v>3230</v>
      </c>
      <c r="I259" s="3070">
        <f t="shared" si="4"/>
        <v>30000</v>
      </c>
      <c r="J259" s="3402"/>
      <c r="K259" s="3402"/>
      <c r="L259" s="3402"/>
      <c r="M259" s="3402"/>
      <c r="N259" s="3402"/>
    </row>
    <row r="260" spans="1:14">
      <c r="A260" s="3399"/>
      <c r="B260" s="3071">
        <v>13</v>
      </c>
      <c r="C260" s="3071" t="s">
        <v>3875</v>
      </c>
      <c r="D260" s="3118" t="s">
        <v>3876</v>
      </c>
      <c r="E260" s="3071">
        <v>44.59</v>
      </c>
      <c r="F260" s="3071">
        <v>420000</v>
      </c>
      <c r="G260" s="3070" t="s">
        <v>3174</v>
      </c>
      <c r="H260" s="3070" t="s">
        <v>3174</v>
      </c>
      <c r="I260" s="3070">
        <f t="shared" si="4"/>
        <v>9419</v>
      </c>
      <c r="J260" s="3402"/>
      <c r="K260" s="3402"/>
      <c r="L260" s="3402"/>
      <c r="M260" s="3402"/>
      <c r="N260" s="3402"/>
    </row>
    <row r="261" spans="1:14">
      <c r="A261" s="3400"/>
      <c r="B261" s="3071">
        <v>13</v>
      </c>
      <c r="C261" s="3071" t="s">
        <v>3877</v>
      </c>
      <c r="D261" s="3118" t="s">
        <v>3878</v>
      </c>
      <c r="E261" s="3071">
        <v>44.59</v>
      </c>
      <c r="F261" s="3071">
        <v>420000</v>
      </c>
      <c r="G261" s="3070" t="s">
        <v>3174</v>
      </c>
      <c r="H261" s="3070" t="s">
        <v>3174</v>
      </c>
      <c r="I261" s="3070">
        <f t="shared" si="4"/>
        <v>9419</v>
      </c>
      <c r="J261" s="3402"/>
      <c r="K261" s="3402"/>
      <c r="L261" s="3402"/>
      <c r="M261" s="3402"/>
      <c r="N261" s="3402"/>
    </row>
    <row r="262" spans="1:14" ht="24">
      <c r="A262" s="3398">
        <v>53</v>
      </c>
      <c r="B262" s="3071">
        <v>13</v>
      </c>
      <c r="C262" s="3072" t="s">
        <v>3542</v>
      </c>
      <c r="D262" s="3118" t="s">
        <v>3879</v>
      </c>
      <c r="E262" s="3119">
        <v>133.16</v>
      </c>
      <c r="F262" s="3119">
        <v>8460054</v>
      </c>
      <c r="G262" s="3070" t="s">
        <v>3173</v>
      </c>
      <c r="H262" s="3070" t="s">
        <v>3058</v>
      </c>
      <c r="I262" s="3070">
        <f t="shared" si="4"/>
        <v>63533</v>
      </c>
      <c r="J262" s="3402"/>
      <c r="K262" s="3402"/>
      <c r="L262" s="3402"/>
      <c r="M262" s="3402"/>
      <c r="N262" s="3402"/>
    </row>
    <row r="263" spans="1:14" ht="24">
      <c r="A263" s="3399"/>
      <c r="B263" s="3071">
        <v>13</v>
      </c>
      <c r="C263" s="3072" t="s">
        <v>3544</v>
      </c>
      <c r="D263" s="3118" t="s">
        <v>3880</v>
      </c>
      <c r="E263" s="3119">
        <v>83.59</v>
      </c>
      <c r="F263" s="3119">
        <v>2507700</v>
      </c>
      <c r="G263" s="3070" t="s">
        <v>3501</v>
      </c>
      <c r="H263" s="3070" t="s">
        <v>3230</v>
      </c>
      <c r="I263" s="3070">
        <f t="shared" si="4"/>
        <v>30000</v>
      </c>
      <c r="J263" s="3402"/>
      <c r="K263" s="3402"/>
      <c r="L263" s="3402"/>
      <c r="M263" s="3402"/>
      <c r="N263" s="3402"/>
    </row>
    <row r="264" spans="1:14">
      <c r="A264" s="3399"/>
      <c r="B264" s="3071">
        <v>13</v>
      </c>
      <c r="C264" s="3072">
        <v>-205</v>
      </c>
      <c r="D264" s="3118" t="s">
        <v>3881</v>
      </c>
      <c r="E264" s="3119">
        <v>83.15</v>
      </c>
      <c r="F264" s="3119">
        <v>2494500</v>
      </c>
      <c r="G264" s="3070" t="s">
        <v>3503</v>
      </c>
      <c r="H264" s="3070" t="s">
        <v>3230</v>
      </c>
      <c r="I264" s="3070">
        <f t="shared" si="4"/>
        <v>30000</v>
      </c>
      <c r="J264" s="3402"/>
      <c r="K264" s="3402"/>
      <c r="L264" s="3402"/>
      <c r="M264" s="3402"/>
      <c r="N264" s="3402"/>
    </row>
    <row r="265" spans="1:14">
      <c r="A265" s="3399"/>
      <c r="B265" s="3071">
        <v>13</v>
      </c>
      <c r="C265" s="3071" t="s">
        <v>3882</v>
      </c>
      <c r="D265" s="3118" t="s">
        <v>3883</v>
      </c>
      <c r="E265" s="3071">
        <v>44.59</v>
      </c>
      <c r="F265" s="3071">
        <v>420000</v>
      </c>
      <c r="G265" s="3070" t="s">
        <v>3174</v>
      </c>
      <c r="H265" s="3070" t="s">
        <v>3174</v>
      </c>
      <c r="I265" s="3070">
        <f t="shared" si="4"/>
        <v>9419</v>
      </c>
      <c r="J265" s="3402"/>
      <c r="K265" s="3402"/>
      <c r="L265" s="3402"/>
      <c r="M265" s="3402"/>
      <c r="N265" s="3402"/>
    </row>
    <row r="266" spans="1:14">
      <c r="A266" s="3400"/>
      <c r="B266" s="3071">
        <v>13</v>
      </c>
      <c r="C266" s="3071" t="s">
        <v>3884</v>
      </c>
      <c r="D266" s="3118" t="s">
        <v>3885</v>
      </c>
      <c r="E266" s="3071">
        <v>44.59</v>
      </c>
      <c r="F266" s="3071">
        <v>420000</v>
      </c>
      <c r="G266" s="3070" t="s">
        <v>3174</v>
      </c>
      <c r="H266" s="3070" t="s">
        <v>3174</v>
      </c>
      <c r="I266" s="3070">
        <f t="shared" si="4"/>
        <v>9419</v>
      </c>
      <c r="J266" s="3402"/>
      <c r="K266" s="3402"/>
      <c r="L266" s="3402"/>
      <c r="M266" s="3402"/>
      <c r="N266" s="3402"/>
    </row>
    <row r="267" spans="1:14" ht="24">
      <c r="A267" s="3398">
        <v>54</v>
      </c>
      <c r="B267" s="3071">
        <v>13</v>
      </c>
      <c r="C267" s="3072" t="s">
        <v>3551</v>
      </c>
      <c r="D267" s="3118" t="s">
        <v>3886</v>
      </c>
      <c r="E267" s="3119">
        <v>133.16</v>
      </c>
      <c r="F267" s="3119">
        <v>7810100</v>
      </c>
      <c r="G267" s="3070" t="s">
        <v>3173</v>
      </c>
      <c r="H267" s="3070" t="s">
        <v>3058</v>
      </c>
      <c r="I267" s="3070">
        <f t="shared" si="4"/>
        <v>58652</v>
      </c>
      <c r="J267" s="3402"/>
      <c r="K267" s="3402"/>
      <c r="L267" s="3402"/>
      <c r="M267" s="3402"/>
      <c r="N267" s="3402"/>
    </row>
    <row r="268" spans="1:14" ht="24">
      <c r="A268" s="3399"/>
      <c r="B268" s="3071">
        <v>13</v>
      </c>
      <c r="C268" s="3072" t="s">
        <v>3553</v>
      </c>
      <c r="D268" s="3118" t="s">
        <v>3887</v>
      </c>
      <c r="E268" s="3119">
        <v>83.73</v>
      </c>
      <c r="F268" s="3119">
        <v>2511900</v>
      </c>
      <c r="G268" s="3070" t="s">
        <v>3501</v>
      </c>
      <c r="H268" s="3070" t="s">
        <v>3230</v>
      </c>
      <c r="I268" s="3070">
        <f t="shared" si="4"/>
        <v>30000</v>
      </c>
      <c r="J268" s="3402"/>
      <c r="K268" s="3402"/>
      <c r="L268" s="3402"/>
      <c r="M268" s="3402"/>
      <c r="N268" s="3402"/>
    </row>
    <row r="269" spans="1:14">
      <c r="A269" s="3399"/>
      <c r="B269" s="3071">
        <v>13</v>
      </c>
      <c r="C269" s="3072">
        <v>-206</v>
      </c>
      <c r="D269" s="3118" t="s">
        <v>3888</v>
      </c>
      <c r="E269" s="3119">
        <v>83.87</v>
      </c>
      <c r="F269" s="3119">
        <v>2516100</v>
      </c>
      <c r="G269" s="3070" t="s">
        <v>3503</v>
      </c>
      <c r="H269" s="3070" t="s">
        <v>3230</v>
      </c>
      <c r="I269" s="3070">
        <f t="shared" si="4"/>
        <v>30000</v>
      </c>
      <c r="J269" s="3402"/>
      <c r="K269" s="3402"/>
      <c r="L269" s="3402"/>
      <c r="M269" s="3402"/>
      <c r="N269" s="3402"/>
    </row>
    <row r="270" spans="1:14">
      <c r="A270" s="3399"/>
      <c r="B270" s="3071">
        <v>13</v>
      </c>
      <c r="C270" s="3071" t="s">
        <v>3889</v>
      </c>
      <c r="D270" s="3118" t="s">
        <v>3890</v>
      </c>
      <c r="E270" s="3071">
        <v>44.59</v>
      </c>
      <c r="F270" s="3071">
        <v>420000</v>
      </c>
      <c r="G270" s="3070" t="s">
        <v>3174</v>
      </c>
      <c r="H270" s="3070" t="s">
        <v>3174</v>
      </c>
      <c r="I270" s="3070">
        <f t="shared" si="4"/>
        <v>9419</v>
      </c>
      <c r="J270" s="3402"/>
      <c r="K270" s="3402"/>
      <c r="L270" s="3402"/>
      <c r="M270" s="3402"/>
      <c r="N270" s="3402"/>
    </row>
    <row r="271" spans="1:14">
      <c r="A271" s="3400"/>
      <c r="B271" s="3071">
        <v>13</v>
      </c>
      <c r="C271" s="3071" t="s">
        <v>3891</v>
      </c>
      <c r="D271" s="3118" t="s">
        <v>3892</v>
      </c>
      <c r="E271" s="3071">
        <v>44.59</v>
      </c>
      <c r="F271" s="3071">
        <v>420000</v>
      </c>
      <c r="G271" s="3070" t="s">
        <v>3174</v>
      </c>
      <c r="H271" s="3070" t="s">
        <v>3174</v>
      </c>
      <c r="I271" s="3070">
        <f t="shared" si="4"/>
        <v>9419</v>
      </c>
      <c r="J271" s="3402"/>
      <c r="K271" s="3402"/>
      <c r="L271" s="3402"/>
      <c r="M271" s="3402"/>
      <c r="N271" s="3402"/>
    </row>
    <row r="272" spans="1:14" ht="24">
      <c r="A272" s="3398">
        <v>55</v>
      </c>
      <c r="B272" s="3071">
        <v>13</v>
      </c>
      <c r="C272" s="3072" t="s">
        <v>3560</v>
      </c>
      <c r="D272" s="3118" t="s">
        <v>3893</v>
      </c>
      <c r="E272" s="3119">
        <v>133.16</v>
      </c>
      <c r="F272" s="3119">
        <v>7810100</v>
      </c>
      <c r="G272" s="3070" t="s">
        <v>3173</v>
      </c>
      <c r="H272" s="3070" t="s">
        <v>3058</v>
      </c>
      <c r="I272" s="3070">
        <f t="shared" si="4"/>
        <v>58652</v>
      </c>
      <c r="J272" s="3402"/>
      <c r="K272" s="3402"/>
      <c r="L272" s="3402"/>
      <c r="M272" s="3402"/>
      <c r="N272" s="3402"/>
    </row>
    <row r="273" spans="1:14" ht="24">
      <c r="A273" s="3399"/>
      <c r="B273" s="3071">
        <v>13</v>
      </c>
      <c r="C273" s="3072" t="s">
        <v>3562</v>
      </c>
      <c r="D273" s="3118" t="s">
        <v>3894</v>
      </c>
      <c r="E273" s="3119">
        <v>83.73</v>
      </c>
      <c r="F273" s="3119">
        <v>2511900</v>
      </c>
      <c r="G273" s="3070" t="s">
        <v>3501</v>
      </c>
      <c r="H273" s="3070" t="s">
        <v>3230</v>
      </c>
      <c r="I273" s="3070">
        <f t="shared" si="4"/>
        <v>30000</v>
      </c>
      <c r="J273" s="3402"/>
      <c r="K273" s="3402"/>
      <c r="L273" s="3402"/>
      <c r="M273" s="3402"/>
      <c r="N273" s="3402"/>
    </row>
    <row r="274" spans="1:14">
      <c r="A274" s="3399"/>
      <c r="B274" s="3071">
        <v>13</v>
      </c>
      <c r="C274" s="3072">
        <v>-207</v>
      </c>
      <c r="D274" s="3118" t="s">
        <v>3895</v>
      </c>
      <c r="E274" s="3119">
        <v>83.87</v>
      </c>
      <c r="F274" s="3119">
        <v>2516100</v>
      </c>
      <c r="G274" s="3070" t="s">
        <v>3503</v>
      </c>
      <c r="H274" s="3070" t="s">
        <v>3230</v>
      </c>
      <c r="I274" s="3070">
        <f t="shared" si="4"/>
        <v>30000</v>
      </c>
      <c r="J274" s="3402"/>
      <c r="K274" s="3402"/>
      <c r="L274" s="3402"/>
      <c r="M274" s="3402"/>
      <c r="N274" s="3402"/>
    </row>
    <row r="275" spans="1:14">
      <c r="A275" s="3399"/>
      <c r="B275" s="3071">
        <v>13</v>
      </c>
      <c r="C275" s="3071" t="s">
        <v>3896</v>
      </c>
      <c r="D275" s="3118" t="s">
        <v>3897</v>
      </c>
      <c r="E275" s="3071">
        <v>44.59</v>
      </c>
      <c r="F275" s="3071">
        <v>420000</v>
      </c>
      <c r="G275" s="3070" t="s">
        <v>3174</v>
      </c>
      <c r="H275" s="3070" t="s">
        <v>3174</v>
      </c>
      <c r="I275" s="3070">
        <f t="shared" si="4"/>
        <v>9419</v>
      </c>
      <c r="J275" s="3402"/>
      <c r="K275" s="3402"/>
      <c r="L275" s="3402"/>
      <c r="M275" s="3402"/>
      <c r="N275" s="3402"/>
    </row>
    <row r="276" spans="1:14">
      <c r="A276" s="3400"/>
      <c r="B276" s="3071">
        <v>13</v>
      </c>
      <c r="C276" s="3071" t="s">
        <v>3898</v>
      </c>
      <c r="D276" s="3118" t="s">
        <v>3899</v>
      </c>
      <c r="E276" s="3071">
        <v>44.59</v>
      </c>
      <c r="F276" s="3071">
        <v>420000</v>
      </c>
      <c r="G276" s="3070" t="s">
        <v>3174</v>
      </c>
      <c r="H276" s="3070" t="s">
        <v>3174</v>
      </c>
      <c r="I276" s="3070">
        <f t="shared" si="4"/>
        <v>9419</v>
      </c>
      <c r="J276" s="3402"/>
      <c r="K276" s="3402"/>
      <c r="L276" s="3402"/>
      <c r="M276" s="3402"/>
      <c r="N276" s="3402"/>
    </row>
    <row r="277" spans="1:14" ht="24">
      <c r="A277" s="3398">
        <v>56</v>
      </c>
      <c r="B277" s="3071">
        <v>13</v>
      </c>
      <c r="C277" s="3072" t="s">
        <v>3611</v>
      </c>
      <c r="D277" s="3118" t="s">
        <v>3900</v>
      </c>
      <c r="E277" s="3119">
        <v>133.35</v>
      </c>
      <c r="F277" s="3119">
        <v>7922190</v>
      </c>
      <c r="G277" s="3070" t="s">
        <v>3173</v>
      </c>
      <c r="H277" s="3070" t="s">
        <v>3058</v>
      </c>
      <c r="I277" s="3070">
        <f t="shared" si="4"/>
        <v>59409</v>
      </c>
      <c r="J277" s="3402"/>
      <c r="K277" s="3402"/>
      <c r="L277" s="3402"/>
      <c r="M277" s="3402"/>
      <c r="N277" s="3402"/>
    </row>
    <row r="278" spans="1:14" ht="24">
      <c r="A278" s="3399"/>
      <c r="B278" s="3071">
        <v>13</v>
      </c>
      <c r="C278" s="3072" t="s">
        <v>3613</v>
      </c>
      <c r="D278" s="3118" t="s">
        <v>3901</v>
      </c>
      <c r="E278" s="3119">
        <v>83.99</v>
      </c>
      <c r="F278" s="3119">
        <v>2519700</v>
      </c>
      <c r="G278" s="3070" t="s">
        <v>3501</v>
      </c>
      <c r="H278" s="3070" t="s">
        <v>3230</v>
      </c>
      <c r="I278" s="3070">
        <f t="shared" si="4"/>
        <v>30000</v>
      </c>
      <c r="J278" s="3402"/>
      <c r="K278" s="3402"/>
      <c r="L278" s="3402"/>
      <c r="M278" s="3402"/>
      <c r="N278" s="3402"/>
    </row>
    <row r="279" spans="1:14">
      <c r="A279" s="3399"/>
      <c r="B279" s="3071">
        <v>13</v>
      </c>
      <c r="C279" s="3072">
        <v>-208</v>
      </c>
      <c r="D279" s="3118" t="s">
        <v>3902</v>
      </c>
      <c r="E279" s="3119">
        <v>83.87</v>
      </c>
      <c r="F279" s="3119">
        <v>2516100</v>
      </c>
      <c r="G279" s="3070" t="s">
        <v>3503</v>
      </c>
      <c r="H279" s="3070" t="s">
        <v>3230</v>
      </c>
      <c r="I279" s="3070">
        <f t="shared" si="4"/>
        <v>30000</v>
      </c>
      <c r="J279" s="3402"/>
      <c r="K279" s="3402"/>
      <c r="L279" s="3402"/>
      <c r="M279" s="3402"/>
      <c r="N279" s="3402"/>
    </row>
    <row r="280" spans="1:14">
      <c r="A280" s="3399"/>
      <c r="B280" s="3071">
        <v>13</v>
      </c>
      <c r="C280" s="3071" t="s">
        <v>3903</v>
      </c>
      <c r="D280" s="3118" t="s">
        <v>3904</v>
      </c>
      <c r="E280" s="3071">
        <v>44.59</v>
      </c>
      <c r="F280" s="3071">
        <v>420000</v>
      </c>
      <c r="G280" s="3070" t="s">
        <v>3174</v>
      </c>
      <c r="H280" s="3070" t="s">
        <v>3174</v>
      </c>
      <c r="I280" s="3070">
        <f t="shared" si="4"/>
        <v>9419</v>
      </c>
      <c r="J280" s="3402"/>
      <c r="K280" s="3402"/>
      <c r="L280" s="3402"/>
      <c r="M280" s="3402"/>
      <c r="N280" s="3402"/>
    </row>
    <row r="281" spans="1:14">
      <c r="A281" s="3400"/>
      <c r="B281" s="3071">
        <v>13</v>
      </c>
      <c r="C281" s="3071" t="s">
        <v>3905</v>
      </c>
      <c r="D281" s="3118" t="s">
        <v>3906</v>
      </c>
      <c r="E281" s="3071">
        <v>44.59</v>
      </c>
      <c r="F281" s="3071">
        <v>420000</v>
      </c>
      <c r="G281" s="3070" t="s">
        <v>3174</v>
      </c>
      <c r="H281" s="3070" t="s">
        <v>3174</v>
      </c>
      <c r="I281" s="3070">
        <f t="shared" si="4"/>
        <v>9419</v>
      </c>
      <c r="J281" s="3403"/>
      <c r="K281" s="3403"/>
      <c r="L281" s="3403"/>
      <c r="M281" s="3403"/>
      <c r="N281" s="3403"/>
    </row>
    <row r="282" spans="1:14" ht="24">
      <c r="A282" s="3398">
        <v>57</v>
      </c>
      <c r="B282" s="3071">
        <v>14</v>
      </c>
      <c r="C282" s="3072" t="s">
        <v>3508</v>
      </c>
      <c r="D282" s="3118" t="s">
        <v>3907</v>
      </c>
      <c r="E282" s="3119">
        <v>138.74</v>
      </c>
      <c r="F282" s="3119">
        <v>8814568</v>
      </c>
      <c r="G282" s="3070" t="s">
        <v>3173</v>
      </c>
      <c r="H282" s="3070" t="s">
        <v>3058</v>
      </c>
      <c r="I282" s="3070">
        <f t="shared" si="4"/>
        <v>63533</v>
      </c>
      <c r="J282" s="3401">
        <v>2</v>
      </c>
      <c r="K282" s="3401">
        <v>2</v>
      </c>
      <c r="L282" s="3401">
        <f>E282+E287</f>
        <v>277.69</v>
      </c>
      <c r="M282" s="3401">
        <f>E283+E284+E288+E289</f>
        <v>406.15999999999997</v>
      </c>
      <c r="N282" s="3401">
        <f>L282+M282</f>
        <v>683.84999999999991</v>
      </c>
    </row>
    <row r="283" spans="1:14" ht="24">
      <c r="A283" s="3399"/>
      <c r="B283" s="3071">
        <v>14</v>
      </c>
      <c r="C283" s="3072" t="s">
        <v>3510</v>
      </c>
      <c r="D283" s="3118" t="s">
        <v>3908</v>
      </c>
      <c r="E283" s="3119">
        <v>86.58</v>
      </c>
      <c r="F283" s="3119">
        <v>2597400</v>
      </c>
      <c r="G283" s="3070" t="s">
        <v>3501</v>
      </c>
      <c r="H283" s="3070" t="s">
        <v>3230</v>
      </c>
      <c r="I283" s="3070">
        <f t="shared" si="4"/>
        <v>30000</v>
      </c>
      <c r="J283" s="3402"/>
      <c r="K283" s="3402"/>
      <c r="L283" s="3402"/>
      <c r="M283" s="3402"/>
      <c r="N283" s="3402"/>
    </row>
    <row r="284" spans="1:14">
      <c r="A284" s="3399"/>
      <c r="B284" s="3071">
        <v>14</v>
      </c>
      <c r="C284" s="3072">
        <v>-201</v>
      </c>
      <c r="D284" s="3118" t="s">
        <v>3909</v>
      </c>
      <c r="E284" s="3119">
        <v>115.79</v>
      </c>
      <c r="F284" s="3119">
        <v>3473700</v>
      </c>
      <c r="G284" s="3070" t="s">
        <v>3503</v>
      </c>
      <c r="H284" s="3070" t="s">
        <v>3230</v>
      </c>
      <c r="I284" s="3070">
        <f t="shared" si="4"/>
        <v>30000</v>
      </c>
      <c r="J284" s="3402"/>
      <c r="K284" s="3402"/>
      <c r="L284" s="3402"/>
      <c r="M284" s="3402"/>
      <c r="N284" s="3402"/>
    </row>
    <row r="285" spans="1:14">
      <c r="A285" s="3399"/>
      <c r="B285" s="3071">
        <v>14</v>
      </c>
      <c r="C285" s="3071" t="s">
        <v>3910</v>
      </c>
      <c r="D285" s="3118" t="s">
        <v>3911</v>
      </c>
      <c r="E285" s="3071"/>
      <c r="F285" s="3071"/>
      <c r="G285" s="3070" t="s">
        <v>3912</v>
      </c>
      <c r="H285" s="3070" t="s">
        <v>3174</v>
      </c>
      <c r="I285" s="3070" t="e">
        <f t="shared" si="4"/>
        <v>#DIV/0!</v>
      </c>
      <c r="J285" s="3402"/>
      <c r="K285" s="3402"/>
      <c r="L285" s="3402"/>
      <c r="M285" s="3402"/>
      <c r="N285" s="3402"/>
    </row>
    <row r="286" spans="1:14">
      <c r="A286" s="3400"/>
      <c r="B286" s="3071">
        <v>14</v>
      </c>
      <c r="C286" s="3071" t="s">
        <v>3910</v>
      </c>
      <c r="D286" s="3118" t="s">
        <v>3911</v>
      </c>
      <c r="E286" s="3071"/>
      <c r="F286" s="3071"/>
      <c r="G286" s="3070" t="s">
        <v>3912</v>
      </c>
      <c r="H286" s="3070" t="s">
        <v>3174</v>
      </c>
      <c r="I286" s="3070" t="e">
        <f t="shared" si="4"/>
        <v>#DIV/0!</v>
      </c>
      <c r="J286" s="3402"/>
      <c r="K286" s="3402"/>
      <c r="L286" s="3402"/>
      <c r="M286" s="3402"/>
      <c r="N286" s="3402"/>
    </row>
    <row r="287" spans="1:14" ht="24">
      <c r="A287" s="3398">
        <v>58</v>
      </c>
      <c r="B287" s="3071">
        <v>14</v>
      </c>
      <c r="C287" s="3072" t="s">
        <v>3497</v>
      </c>
      <c r="D287" s="3118" t="s">
        <v>3913</v>
      </c>
      <c r="E287" s="3119">
        <v>138.94999999999999</v>
      </c>
      <c r="F287" s="3119">
        <v>8827910</v>
      </c>
      <c r="G287" s="3070" t="s">
        <v>3173</v>
      </c>
      <c r="H287" s="3070" t="s">
        <v>3058</v>
      </c>
      <c r="I287" s="3070">
        <f t="shared" si="4"/>
        <v>63533</v>
      </c>
      <c r="J287" s="3402"/>
      <c r="K287" s="3402"/>
      <c r="L287" s="3402"/>
      <c r="M287" s="3402"/>
      <c r="N287" s="3402"/>
    </row>
    <row r="288" spans="1:14" ht="24">
      <c r="A288" s="3399"/>
      <c r="B288" s="3071">
        <v>14</v>
      </c>
      <c r="C288" s="3072" t="s">
        <v>3499</v>
      </c>
      <c r="D288" s="3118" t="s">
        <v>3914</v>
      </c>
      <c r="E288" s="3119">
        <v>87.01</v>
      </c>
      <c r="F288" s="3119">
        <v>2610300</v>
      </c>
      <c r="G288" s="3070" t="s">
        <v>3501</v>
      </c>
      <c r="H288" s="3070" t="s">
        <v>3230</v>
      </c>
      <c r="I288" s="3070">
        <f t="shared" si="4"/>
        <v>30000</v>
      </c>
      <c r="J288" s="3402"/>
      <c r="K288" s="3402"/>
      <c r="L288" s="3402"/>
      <c r="M288" s="3402"/>
      <c r="N288" s="3402"/>
    </row>
    <row r="289" spans="1:14">
      <c r="A289" s="3399"/>
      <c r="B289" s="3071">
        <v>14</v>
      </c>
      <c r="C289" s="3072">
        <v>-202</v>
      </c>
      <c r="D289" s="3118" t="s">
        <v>3915</v>
      </c>
      <c r="E289" s="3119">
        <v>116.78</v>
      </c>
      <c r="F289" s="3119">
        <v>3503400</v>
      </c>
      <c r="G289" s="3070" t="s">
        <v>3503</v>
      </c>
      <c r="H289" s="3070" t="s">
        <v>3230</v>
      </c>
      <c r="I289" s="3070">
        <f t="shared" si="4"/>
        <v>30000</v>
      </c>
      <c r="J289" s="3402"/>
      <c r="K289" s="3402"/>
      <c r="L289" s="3402"/>
      <c r="M289" s="3402"/>
      <c r="N289" s="3402"/>
    </row>
    <row r="290" spans="1:14">
      <c r="A290" s="3399"/>
      <c r="B290" s="3071">
        <v>14</v>
      </c>
      <c r="C290" s="3071" t="s">
        <v>3910</v>
      </c>
      <c r="D290" s="3118" t="s">
        <v>3911</v>
      </c>
      <c r="E290" s="3071"/>
      <c r="F290" s="3071"/>
      <c r="G290" s="3070" t="s">
        <v>3912</v>
      </c>
      <c r="H290" s="3070" t="s">
        <v>3174</v>
      </c>
      <c r="I290" s="3070" t="e">
        <f t="shared" si="4"/>
        <v>#DIV/0!</v>
      </c>
      <c r="J290" s="3402"/>
      <c r="K290" s="3402"/>
      <c r="L290" s="3402"/>
      <c r="M290" s="3402"/>
      <c r="N290" s="3402"/>
    </row>
    <row r="291" spans="1:14">
      <c r="A291" s="3400"/>
      <c r="B291" s="3071">
        <v>14</v>
      </c>
      <c r="C291" s="3071" t="s">
        <v>3910</v>
      </c>
      <c r="D291" s="3118" t="s">
        <v>3911</v>
      </c>
      <c r="E291" s="3071"/>
      <c r="F291" s="3071"/>
      <c r="G291" s="3070" t="s">
        <v>3912</v>
      </c>
      <c r="H291" s="3070" t="s">
        <v>3174</v>
      </c>
      <c r="I291" s="3070" t="e">
        <f t="shared" si="4"/>
        <v>#DIV/0!</v>
      </c>
      <c r="J291" s="3403"/>
      <c r="K291" s="3403"/>
      <c r="L291" s="3403"/>
      <c r="M291" s="3403"/>
      <c r="N291" s="3403"/>
    </row>
    <row r="292" spans="1:14" ht="24">
      <c r="A292" s="3398">
        <v>59</v>
      </c>
      <c r="B292" s="3071">
        <v>15</v>
      </c>
      <c r="C292" s="3072" t="s">
        <v>3508</v>
      </c>
      <c r="D292" s="3118" t="s">
        <v>3916</v>
      </c>
      <c r="E292" s="3119">
        <v>137.61000000000001</v>
      </c>
      <c r="F292" s="3119">
        <v>8742776</v>
      </c>
      <c r="G292" s="3070" t="s">
        <v>3173</v>
      </c>
      <c r="H292" s="3070" t="s">
        <v>3058</v>
      </c>
      <c r="I292" s="3070">
        <f t="shared" si="4"/>
        <v>63533</v>
      </c>
      <c r="J292" s="3401">
        <v>3</v>
      </c>
      <c r="K292" s="3401">
        <v>3</v>
      </c>
      <c r="L292" s="3401">
        <f>E292+E297+E302</f>
        <v>413.03000000000003</v>
      </c>
      <c r="M292" s="3401">
        <f>E293+E294+E298+E299+E303+E304</f>
        <v>606.04</v>
      </c>
      <c r="N292" s="3401">
        <f>L292+M292</f>
        <v>1019.0699999999999</v>
      </c>
    </row>
    <row r="293" spans="1:14" ht="24">
      <c r="A293" s="3399"/>
      <c r="B293" s="3071">
        <v>15</v>
      </c>
      <c r="C293" s="3072" t="s">
        <v>3510</v>
      </c>
      <c r="D293" s="3118" t="s">
        <v>3917</v>
      </c>
      <c r="E293" s="3119">
        <v>85.63</v>
      </c>
      <c r="F293" s="3119">
        <v>2568900</v>
      </c>
      <c r="G293" s="3070" t="s">
        <v>3501</v>
      </c>
      <c r="H293" s="3070" t="s">
        <v>3230</v>
      </c>
      <c r="I293" s="3070">
        <f t="shared" si="4"/>
        <v>30000</v>
      </c>
      <c r="J293" s="3402"/>
      <c r="K293" s="3402"/>
      <c r="L293" s="3402"/>
      <c r="M293" s="3402"/>
      <c r="N293" s="3402"/>
    </row>
    <row r="294" spans="1:14">
      <c r="A294" s="3399"/>
      <c r="B294" s="3071">
        <v>15</v>
      </c>
      <c r="C294" s="3072">
        <v>-201</v>
      </c>
      <c r="D294" s="3118" t="s">
        <v>3918</v>
      </c>
      <c r="E294" s="3119">
        <v>115.45</v>
      </c>
      <c r="F294" s="3119">
        <v>3463500</v>
      </c>
      <c r="G294" s="3070" t="s">
        <v>3503</v>
      </c>
      <c r="H294" s="3070" t="s">
        <v>3230</v>
      </c>
      <c r="I294" s="3070">
        <f t="shared" si="4"/>
        <v>30000</v>
      </c>
      <c r="J294" s="3402"/>
      <c r="K294" s="3402"/>
      <c r="L294" s="3402"/>
      <c r="M294" s="3402"/>
      <c r="N294" s="3402"/>
    </row>
    <row r="295" spans="1:14">
      <c r="A295" s="3399"/>
      <c r="B295" s="3071">
        <v>15</v>
      </c>
      <c r="C295" s="3071" t="s">
        <v>3910</v>
      </c>
      <c r="D295" s="3118" t="s">
        <v>3919</v>
      </c>
      <c r="E295" s="3071"/>
      <c r="F295" s="3071"/>
      <c r="G295" s="3070" t="s">
        <v>3912</v>
      </c>
      <c r="H295" s="3070" t="s">
        <v>3174</v>
      </c>
      <c r="I295" s="3070" t="e">
        <f t="shared" si="4"/>
        <v>#DIV/0!</v>
      </c>
      <c r="J295" s="3402"/>
      <c r="K295" s="3402"/>
      <c r="L295" s="3402"/>
      <c r="M295" s="3402"/>
      <c r="N295" s="3402"/>
    </row>
    <row r="296" spans="1:14">
      <c r="A296" s="3400"/>
      <c r="B296" s="3071">
        <v>15</v>
      </c>
      <c r="C296" s="3071" t="s">
        <v>3910</v>
      </c>
      <c r="D296" s="3118" t="s">
        <v>3919</v>
      </c>
      <c r="E296" s="3071"/>
      <c r="F296" s="3071"/>
      <c r="G296" s="3070" t="s">
        <v>3912</v>
      </c>
      <c r="H296" s="3070" t="s">
        <v>3174</v>
      </c>
      <c r="I296" s="3070" t="e">
        <f t="shared" si="4"/>
        <v>#DIV/0!</v>
      </c>
      <c r="J296" s="3402"/>
      <c r="K296" s="3402"/>
      <c r="L296" s="3402"/>
      <c r="M296" s="3402"/>
      <c r="N296" s="3402"/>
    </row>
    <row r="297" spans="1:14" ht="24">
      <c r="A297" s="3398">
        <v>60</v>
      </c>
      <c r="B297" s="3071">
        <v>15</v>
      </c>
      <c r="C297" s="3072" t="s">
        <v>3497</v>
      </c>
      <c r="D297" s="3118" t="s">
        <v>3920</v>
      </c>
      <c r="E297" s="3119">
        <v>137.61000000000001</v>
      </c>
      <c r="F297" s="3119">
        <v>8742776</v>
      </c>
      <c r="G297" s="3070" t="s">
        <v>3173</v>
      </c>
      <c r="H297" s="3070" t="s">
        <v>3058</v>
      </c>
      <c r="I297" s="3070">
        <f t="shared" si="4"/>
        <v>63533</v>
      </c>
      <c r="J297" s="3402"/>
      <c r="K297" s="3402"/>
      <c r="L297" s="3402"/>
      <c r="M297" s="3402"/>
      <c r="N297" s="3402"/>
    </row>
    <row r="298" spans="1:14" ht="24">
      <c r="A298" s="3399"/>
      <c r="B298" s="3071">
        <v>15</v>
      </c>
      <c r="C298" s="3072" t="s">
        <v>3499</v>
      </c>
      <c r="D298" s="3118" t="s">
        <v>3921</v>
      </c>
      <c r="E298" s="3119">
        <v>85.77</v>
      </c>
      <c r="F298" s="3119">
        <v>2573100</v>
      </c>
      <c r="G298" s="3070" t="s">
        <v>3501</v>
      </c>
      <c r="H298" s="3070" t="s">
        <v>3230</v>
      </c>
      <c r="I298" s="3070">
        <f t="shared" si="4"/>
        <v>30000</v>
      </c>
      <c r="J298" s="3402"/>
      <c r="K298" s="3402"/>
      <c r="L298" s="3402"/>
      <c r="M298" s="3402"/>
      <c r="N298" s="3402"/>
    </row>
    <row r="299" spans="1:14">
      <c r="A299" s="3399"/>
      <c r="B299" s="3071">
        <v>15</v>
      </c>
      <c r="C299" s="3072">
        <v>-202</v>
      </c>
      <c r="D299" s="3118" t="s">
        <v>3922</v>
      </c>
      <c r="E299" s="3119">
        <v>116.44</v>
      </c>
      <c r="F299" s="3119">
        <v>3493200</v>
      </c>
      <c r="G299" s="3070" t="s">
        <v>3503</v>
      </c>
      <c r="H299" s="3070" t="s">
        <v>3230</v>
      </c>
      <c r="I299" s="3070">
        <f t="shared" si="4"/>
        <v>30000</v>
      </c>
      <c r="J299" s="3402"/>
      <c r="K299" s="3402"/>
      <c r="L299" s="3402"/>
      <c r="M299" s="3402"/>
      <c r="N299" s="3402"/>
    </row>
    <row r="300" spans="1:14">
      <c r="A300" s="3399"/>
      <c r="B300" s="3071">
        <v>15</v>
      </c>
      <c r="C300" s="3071" t="s">
        <v>3910</v>
      </c>
      <c r="D300" s="3118" t="s">
        <v>3919</v>
      </c>
      <c r="E300" s="3071"/>
      <c r="F300" s="3071"/>
      <c r="G300" s="3070" t="s">
        <v>3912</v>
      </c>
      <c r="H300" s="3070" t="s">
        <v>3174</v>
      </c>
      <c r="I300" s="3070" t="e">
        <f t="shared" si="4"/>
        <v>#DIV/0!</v>
      </c>
      <c r="J300" s="3402"/>
      <c r="K300" s="3402"/>
      <c r="L300" s="3402"/>
      <c r="M300" s="3402"/>
      <c r="N300" s="3402"/>
    </row>
    <row r="301" spans="1:14">
      <c r="A301" s="3400"/>
      <c r="B301" s="3071">
        <v>15</v>
      </c>
      <c r="C301" s="3071" t="s">
        <v>3910</v>
      </c>
      <c r="D301" s="3118" t="s">
        <v>3919</v>
      </c>
      <c r="E301" s="3071"/>
      <c r="F301" s="3071"/>
      <c r="G301" s="3070" t="s">
        <v>3912</v>
      </c>
      <c r="H301" s="3070" t="s">
        <v>3174</v>
      </c>
      <c r="I301" s="3070" t="e">
        <f t="shared" si="4"/>
        <v>#DIV/0!</v>
      </c>
      <c r="J301" s="3402"/>
      <c r="K301" s="3402"/>
      <c r="L301" s="3402"/>
      <c r="M301" s="3402"/>
      <c r="N301" s="3402"/>
    </row>
    <row r="302" spans="1:14" ht="24">
      <c r="A302" s="3398">
        <v>61</v>
      </c>
      <c r="B302" s="3071">
        <v>15</v>
      </c>
      <c r="C302" s="3072" t="s">
        <v>3524</v>
      </c>
      <c r="D302" s="3118" t="s">
        <v>3923</v>
      </c>
      <c r="E302" s="3119">
        <v>137.81</v>
      </c>
      <c r="F302" s="3119">
        <v>8755482</v>
      </c>
      <c r="G302" s="3070" t="s">
        <v>3173</v>
      </c>
      <c r="H302" s="3070" t="s">
        <v>3058</v>
      </c>
      <c r="I302" s="3070">
        <f t="shared" si="4"/>
        <v>63533</v>
      </c>
      <c r="J302" s="3402"/>
      <c r="K302" s="3402"/>
      <c r="L302" s="3402"/>
      <c r="M302" s="3402"/>
      <c r="N302" s="3402"/>
    </row>
    <row r="303" spans="1:14" ht="24">
      <c r="A303" s="3399"/>
      <c r="B303" s="3071">
        <v>15</v>
      </c>
      <c r="C303" s="3072" t="s">
        <v>3526</v>
      </c>
      <c r="D303" s="3118" t="s">
        <v>3924</v>
      </c>
      <c r="E303" s="3119">
        <v>86.31</v>
      </c>
      <c r="F303" s="3119">
        <v>2589300</v>
      </c>
      <c r="G303" s="3070" t="s">
        <v>3501</v>
      </c>
      <c r="H303" s="3070" t="s">
        <v>3230</v>
      </c>
      <c r="I303" s="3070">
        <f t="shared" ref="I303:I366" si="5">ROUND(F303/E303,0)</f>
        <v>30000</v>
      </c>
      <c r="J303" s="3402"/>
      <c r="K303" s="3402"/>
      <c r="L303" s="3402"/>
      <c r="M303" s="3402"/>
      <c r="N303" s="3402"/>
    </row>
    <row r="304" spans="1:14">
      <c r="A304" s="3399"/>
      <c r="B304" s="3071">
        <v>15</v>
      </c>
      <c r="C304" s="3072">
        <v>-203</v>
      </c>
      <c r="D304" s="3118" t="s">
        <v>3925</v>
      </c>
      <c r="E304" s="3119">
        <v>116.44</v>
      </c>
      <c r="F304" s="3119">
        <v>3493200</v>
      </c>
      <c r="G304" s="3070" t="s">
        <v>3503</v>
      </c>
      <c r="H304" s="3070" t="s">
        <v>3230</v>
      </c>
      <c r="I304" s="3070">
        <f t="shared" si="5"/>
        <v>30000</v>
      </c>
      <c r="J304" s="3402"/>
      <c r="K304" s="3402"/>
      <c r="L304" s="3402"/>
      <c r="M304" s="3402"/>
      <c r="N304" s="3402"/>
    </row>
    <row r="305" spans="1:14">
      <c r="A305" s="3399"/>
      <c r="B305" s="3071">
        <v>15</v>
      </c>
      <c r="C305" s="3071" t="s">
        <v>3910</v>
      </c>
      <c r="D305" s="3118" t="s">
        <v>3919</v>
      </c>
      <c r="E305" s="3071"/>
      <c r="F305" s="3071"/>
      <c r="G305" s="3070" t="s">
        <v>3912</v>
      </c>
      <c r="H305" s="3070" t="s">
        <v>3174</v>
      </c>
      <c r="I305" s="3070" t="e">
        <f t="shared" si="5"/>
        <v>#DIV/0!</v>
      </c>
      <c r="J305" s="3402"/>
      <c r="K305" s="3402"/>
      <c r="L305" s="3402"/>
      <c r="M305" s="3402"/>
      <c r="N305" s="3402"/>
    </row>
    <row r="306" spans="1:14">
      <c r="A306" s="3400"/>
      <c r="B306" s="3071">
        <v>15</v>
      </c>
      <c r="C306" s="3071" t="s">
        <v>3910</v>
      </c>
      <c r="D306" s="3118" t="s">
        <v>3919</v>
      </c>
      <c r="E306" s="3071"/>
      <c r="F306" s="3071"/>
      <c r="G306" s="3070" t="s">
        <v>3912</v>
      </c>
      <c r="H306" s="3070" t="s">
        <v>3174</v>
      </c>
      <c r="I306" s="3070" t="e">
        <f t="shared" si="5"/>
        <v>#DIV/0!</v>
      </c>
      <c r="J306" s="3403"/>
      <c r="K306" s="3403"/>
      <c r="L306" s="3403"/>
      <c r="M306" s="3403"/>
      <c r="N306" s="3403"/>
    </row>
    <row r="307" spans="1:14" ht="24">
      <c r="A307" s="3398">
        <v>62</v>
      </c>
      <c r="B307" s="3071">
        <v>16</v>
      </c>
      <c r="C307" s="3072" t="s">
        <v>3508</v>
      </c>
      <c r="D307" s="3118" t="s">
        <v>3926</v>
      </c>
      <c r="E307" s="3119">
        <v>133.41999999999999</v>
      </c>
      <c r="F307" s="3119">
        <v>8476572</v>
      </c>
      <c r="G307" s="3070" t="s">
        <v>3173</v>
      </c>
      <c r="H307" s="3070" t="s">
        <v>3058</v>
      </c>
      <c r="I307" s="3070">
        <f t="shared" si="5"/>
        <v>63533</v>
      </c>
      <c r="J307" s="3401">
        <v>6</v>
      </c>
      <c r="K307" s="3401">
        <v>6</v>
      </c>
      <c r="L307" s="3401">
        <f>E307+E312+E317+E322+E327+E332</f>
        <v>800.9</v>
      </c>
      <c r="M307" s="3401">
        <f>E308+E309+E313+E314+E318+E319+E323+E324+E328+E329+E333+E334</f>
        <v>1005.98</v>
      </c>
      <c r="N307" s="3401">
        <f>L307+M307</f>
        <v>1806.88</v>
      </c>
    </row>
    <row r="308" spans="1:14" ht="24">
      <c r="A308" s="3399"/>
      <c r="B308" s="3071">
        <v>16</v>
      </c>
      <c r="C308" s="3072" t="s">
        <v>3510</v>
      </c>
      <c r="D308" s="3118" t="s">
        <v>3927</v>
      </c>
      <c r="E308" s="3119">
        <v>83.76</v>
      </c>
      <c r="F308" s="3119">
        <v>2512800</v>
      </c>
      <c r="G308" s="3070" t="s">
        <v>3501</v>
      </c>
      <c r="H308" s="3070" t="s">
        <v>3230</v>
      </c>
      <c r="I308" s="3070">
        <f t="shared" si="5"/>
        <v>30000</v>
      </c>
      <c r="J308" s="3402"/>
      <c r="K308" s="3402"/>
      <c r="L308" s="3402"/>
      <c r="M308" s="3402"/>
      <c r="N308" s="3402"/>
    </row>
    <row r="309" spans="1:14">
      <c r="A309" s="3399"/>
      <c r="B309" s="3071">
        <v>16</v>
      </c>
      <c r="C309" s="3072">
        <v>-201</v>
      </c>
      <c r="D309" s="3118" t="s">
        <v>3928</v>
      </c>
      <c r="E309" s="3119">
        <v>83.24</v>
      </c>
      <c r="F309" s="3119">
        <v>2497200</v>
      </c>
      <c r="G309" s="3070" t="s">
        <v>3503</v>
      </c>
      <c r="H309" s="3070" t="s">
        <v>3230</v>
      </c>
      <c r="I309" s="3070">
        <f t="shared" si="5"/>
        <v>30000</v>
      </c>
      <c r="J309" s="3402"/>
      <c r="K309" s="3402"/>
      <c r="L309" s="3402"/>
      <c r="M309" s="3402"/>
      <c r="N309" s="3402"/>
    </row>
    <row r="310" spans="1:14">
      <c r="A310" s="3399"/>
      <c r="B310" s="3071">
        <v>16</v>
      </c>
      <c r="C310" s="3071" t="s">
        <v>3929</v>
      </c>
      <c r="D310" s="3118" t="s">
        <v>3930</v>
      </c>
      <c r="E310" s="3071">
        <v>44.59</v>
      </c>
      <c r="F310" s="3071">
        <v>420000</v>
      </c>
      <c r="G310" s="3070" t="s">
        <v>3174</v>
      </c>
      <c r="H310" s="3070" t="s">
        <v>3174</v>
      </c>
      <c r="I310" s="3070">
        <f t="shared" si="5"/>
        <v>9419</v>
      </c>
      <c r="J310" s="3402"/>
      <c r="K310" s="3402"/>
      <c r="L310" s="3402"/>
      <c r="M310" s="3402"/>
      <c r="N310" s="3402"/>
    </row>
    <row r="311" spans="1:14">
      <c r="A311" s="3400"/>
      <c r="B311" s="3071">
        <v>16</v>
      </c>
      <c r="C311" s="3071" t="s">
        <v>3931</v>
      </c>
      <c r="D311" s="3118" t="s">
        <v>3932</v>
      </c>
      <c r="E311" s="3071">
        <v>44.59</v>
      </c>
      <c r="F311" s="3071">
        <v>420000</v>
      </c>
      <c r="G311" s="3070" t="s">
        <v>3174</v>
      </c>
      <c r="H311" s="3070" t="s">
        <v>3174</v>
      </c>
      <c r="I311" s="3070">
        <f t="shared" si="5"/>
        <v>9419</v>
      </c>
      <c r="J311" s="3402"/>
      <c r="K311" s="3402"/>
      <c r="L311" s="3402"/>
      <c r="M311" s="3402"/>
      <c r="N311" s="3402"/>
    </row>
    <row r="312" spans="1:14" ht="24">
      <c r="A312" s="3398">
        <v>63</v>
      </c>
      <c r="B312" s="3071">
        <v>16</v>
      </c>
      <c r="C312" s="3072" t="s">
        <v>3497</v>
      </c>
      <c r="D312" s="3118" t="s">
        <v>3933</v>
      </c>
      <c r="E312" s="3119">
        <v>133.41999999999999</v>
      </c>
      <c r="F312" s="3119">
        <v>7576521</v>
      </c>
      <c r="G312" s="3070" t="s">
        <v>3173</v>
      </c>
      <c r="H312" s="3070" t="s">
        <v>3058</v>
      </c>
      <c r="I312" s="3070">
        <f t="shared" si="5"/>
        <v>56787</v>
      </c>
      <c r="J312" s="3402"/>
      <c r="K312" s="3402"/>
      <c r="L312" s="3402"/>
      <c r="M312" s="3402"/>
      <c r="N312" s="3402"/>
    </row>
    <row r="313" spans="1:14" ht="24">
      <c r="A313" s="3399"/>
      <c r="B313" s="3071">
        <v>16</v>
      </c>
      <c r="C313" s="3072" t="s">
        <v>3499</v>
      </c>
      <c r="D313" s="3118" t="s">
        <v>3934</v>
      </c>
      <c r="E313" s="3119">
        <v>83.9</v>
      </c>
      <c r="F313" s="3119">
        <v>2517000</v>
      </c>
      <c r="G313" s="3070" t="s">
        <v>3501</v>
      </c>
      <c r="H313" s="3070" t="s">
        <v>3230</v>
      </c>
      <c r="I313" s="3070">
        <f t="shared" si="5"/>
        <v>30000</v>
      </c>
      <c r="J313" s="3402"/>
      <c r="K313" s="3402"/>
      <c r="L313" s="3402"/>
      <c r="M313" s="3402"/>
      <c r="N313" s="3402"/>
    </row>
    <row r="314" spans="1:14">
      <c r="A314" s="3399"/>
      <c r="B314" s="3071">
        <v>16</v>
      </c>
      <c r="C314" s="3072">
        <v>-202</v>
      </c>
      <c r="D314" s="3118" t="s">
        <v>3935</v>
      </c>
      <c r="E314" s="3119">
        <v>83.96</v>
      </c>
      <c r="F314" s="3119">
        <v>2518800</v>
      </c>
      <c r="G314" s="3070" t="s">
        <v>3503</v>
      </c>
      <c r="H314" s="3070" t="s">
        <v>3230</v>
      </c>
      <c r="I314" s="3070">
        <f t="shared" si="5"/>
        <v>30000</v>
      </c>
      <c r="J314" s="3402"/>
      <c r="K314" s="3402"/>
      <c r="L314" s="3402"/>
      <c r="M314" s="3402"/>
      <c r="N314" s="3402"/>
    </row>
    <row r="315" spans="1:14">
      <c r="A315" s="3399"/>
      <c r="B315" s="3071">
        <v>16</v>
      </c>
      <c r="C315" s="3071" t="s">
        <v>3936</v>
      </c>
      <c r="D315" s="3118" t="s">
        <v>3937</v>
      </c>
      <c r="E315" s="3071">
        <v>44.59</v>
      </c>
      <c r="F315" s="3071">
        <v>420000</v>
      </c>
      <c r="G315" s="3070" t="s">
        <v>3174</v>
      </c>
      <c r="H315" s="3070" t="s">
        <v>3174</v>
      </c>
      <c r="I315" s="3070">
        <f t="shared" si="5"/>
        <v>9419</v>
      </c>
      <c r="J315" s="3402"/>
      <c r="K315" s="3402"/>
      <c r="L315" s="3402"/>
      <c r="M315" s="3402"/>
      <c r="N315" s="3402"/>
    </row>
    <row r="316" spans="1:14">
      <c r="A316" s="3400"/>
      <c r="B316" s="3071">
        <v>16</v>
      </c>
      <c r="C316" s="3071" t="s">
        <v>3938</v>
      </c>
      <c r="D316" s="3118" t="s">
        <v>3939</v>
      </c>
      <c r="E316" s="3071">
        <v>44.59</v>
      </c>
      <c r="F316" s="3071">
        <v>420000</v>
      </c>
      <c r="G316" s="3070" t="s">
        <v>3174</v>
      </c>
      <c r="H316" s="3070" t="s">
        <v>3174</v>
      </c>
      <c r="I316" s="3070">
        <f t="shared" si="5"/>
        <v>9419</v>
      </c>
      <c r="J316" s="3402"/>
      <c r="K316" s="3402"/>
      <c r="L316" s="3402"/>
      <c r="M316" s="3402"/>
      <c r="N316" s="3402"/>
    </row>
    <row r="317" spans="1:14" ht="24">
      <c r="A317" s="3398">
        <v>64</v>
      </c>
      <c r="B317" s="3071">
        <v>16</v>
      </c>
      <c r="C317" s="3072" t="s">
        <v>3524</v>
      </c>
      <c r="D317" s="3118" t="s">
        <v>3940</v>
      </c>
      <c r="E317" s="3119">
        <v>133.61000000000001</v>
      </c>
      <c r="F317" s="3119">
        <v>7688587</v>
      </c>
      <c r="G317" s="3070" t="s">
        <v>3173</v>
      </c>
      <c r="H317" s="3070" t="s">
        <v>3058</v>
      </c>
      <c r="I317" s="3070">
        <f t="shared" si="5"/>
        <v>57545</v>
      </c>
      <c r="J317" s="3402"/>
      <c r="K317" s="3402"/>
      <c r="L317" s="3402"/>
      <c r="M317" s="3402"/>
      <c r="N317" s="3402"/>
    </row>
    <row r="318" spans="1:14" ht="24">
      <c r="A318" s="3399"/>
      <c r="B318" s="3071">
        <v>16</v>
      </c>
      <c r="C318" s="3072" t="s">
        <v>3526</v>
      </c>
      <c r="D318" s="3118" t="s">
        <v>3941</v>
      </c>
      <c r="E318" s="3119">
        <v>84.17</v>
      </c>
      <c r="F318" s="3119">
        <v>2525100</v>
      </c>
      <c r="G318" s="3070" t="s">
        <v>3501</v>
      </c>
      <c r="H318" s="3070" t="s">
        <v>3230</v>
      </c>
      <c r="I318" s="3070">
        <f t="shared" si="5"/>
        <v>30000</v>
      </c>
      <c r="J318" s="3402"/>
      <c r="K318" s="3402"/>
      <c r="L318" s="3402"/>
      <c r="M318" s="3402"/>
      <c r="N318" s="3402"/>
    </row>
    <row r="319" spans="1:14">
      <c r="A319" s="3399"/>
      <c r="B319" s="3071">
        <v>16</v>
      </c>
      <c r="C319" s="3072">
        <v>-203</v>
      </c>
      <c r="D319" s="3118" t="s">
        <v>3942</v>
      </c>
      <c r="E319" s="3119">
        <v>83.96</v>
      </c>
      <c r="F319" s="3119">
        <v>2518800</v>
      </c>
      <c r="G319" s="3070" t="s">
        <v>3503</v>
      </c>
      <c r="H319" s="3070" t="s">
        <v>3230</v>
      </c>
      <c r="I319" s="3070">
        <f t="shared" si="5"/>
        <v>30000</v>
      </c>
      <c r="J319" s="3402"/>
      <c r="K319" s="3402"/>
      <c r="L319" s="3402"/>
      <c r="M319" s="3402"/>
      <c r="N319" s="3402"/>
    </row>
    <row r="320" spans="1:14">
      <c r="A320" s="3399"/>
      <c r="B320" s="3071">
        <v>16</v>
      </c>
      <c r="C320" s="3071" t="s">
        <v>3943</v>
      </c>
      <c r="D320" s="3118" t="s">
        <v>3944</v>
      </c>
      <c r="E320" s="3071">
        <v>44.59</v>
      </c>
      <c r="F320" s="3071">
        <v>420000</v>
      </c>
      <c r="G320" s="3070" t="s">
        <v>3174</v>
      </c>
      <c r="H320" s="3070" t="s">
        <v>3174</v>
      </c>
      <c r="I320" s="3070">
        <f t="shared" si="5"/>
        <v>9419</v>
      </c>
      <c r="J320" s="3402"/>
      <c r="K320" s="3402"/>
      <c r="L320" s="3402"/>
      <c r="M320" s="3402"/>
      <c r="N320" s="3402"/>
    </row>
    <row r="321" spans="1:14">
      <c r="A321" s="3400"/>
      <c r="B321" s="3071">
        <v>16</v>
      </c>
      <c r="C321" s="3071" t="s">
        <v>3945</v>
      </c>
      <c r="D321" s="3118" t="s">
        <v>3946</v>
      </c>
      <c r="E321" s="3071">
        <v>44.59</v>
      </c>
      <c r="F321" s="3071">
        <v>420000</v>
      </c>
      <c r="G321" s="3070" t="s">
        <v>3174</v>
      </c>
      <c r="H321" s="3070" t="s">
        <v>3174</v>
      </c>
      <c r="I321" s="3070">
        <f t="shared" si="5"/>
        <v>9419</v>
      </c>
      <c r="J321" s="3402"/>
      <c r="K321" s="3402"/>
      <c r="L321" s="3402"/>
      <c r="M321" s="3402"/>
      <c r="N321" s="3402"/>
    </row>
    <row r="322" spans="1:14" ht="24">
      <c r="A322" s="3398">
        <v>65</v>
      </c>
      <c r="B322" s="3071">
        <v>16</v>
      </c>
      <c r="C322" s="3072" t="s">
        <v>3533</v>
      </c>
      <c r="D322" s="3118" t="s">
        <v>3947</v>
      </c>
      <c r="E322" s="3119">
        <v>133.41999999999999</v>
      </c>
      <c r="F322" s="3119">
        <v>8476572</v>
      </c>
      <c r="G322" s="3070" t="s">
        <v>3173</v>
      </c>
      <c r="H322" s="3070" t="s">
        <v>3058</v>
      </c>
      <c r="I322" s="3070">
        <f t="shared" si="5"/>
        <v>63533</v>
      </c>
      <c r="J322" s="3402"/>
      <c r="K322" s="3402"/>
      <c r="L322" s="3402"/>
      <c r="M322" s="3402"/>
      <c r="N322" s="3402"/>
    </row>
    <row r="323" spans="1:14" ht="24">
      <c r="A323" s="3399"/>
      <c r="B323" s="3071">
        <v>16</v>
      </c>
      <c r="C323" s="3072" t="s">
        <v>3535</v>
      </c>
      <c r="D323" s="3118" t="s">
        <v>3948</v>
      </c>
      <c r="E323" s="3119">
        <v>83.76</v>
      </c>
      <c r="F323" s="3119">
        <v>2512800</v>
      </c>
      <c r="G323" s="3070" t="s">
        <v>3501</v>
      </c>
      <c r="H323" s="3070" t="s">
        <v>3230</v>
      </c>
      <c r="I323" s="3070">
        <f t="shared" si="5"/>
        <v>30000</v>
      </c>
      <c r="J323" s="3402"/>
      <c r="K323" s="3402"/>
      <c r="L323" s="3402"/>
      <c r="M323" s="3402"/>
      <c r="N323" s="3402"/>
    </row>
    <row r="324" spans="1:14">
      <c r="A324" s="3399"/>
      <c r="B324" s="3071">
        <v>16</v>
      </c>
      <c r="C324" s="3072">
        <v>-204</v>
      </c>
      <c r="D324" s="3118" t="s">
        <v>3949</v>
      </c>
      <c r="E324" s="3119">
        <v>83.24</v>
      </c>
      <c r="F324" s="3119">
        <v>2497200</v>
      </c>
      <c r="G324" s="3070" t="s">
        <v>3503</v>
      </c>
      <c r="H324" s="3070" t="s">
        <v>3230</v>
      </c>
      <c r="I324" s="3070">
        <f t="shared" si="5"/>
        <v>30000</v>
      </c>
      <c r="J324" s="3402"/>
      <c r="K324" s="3402"/>
      <c r="L324" s="3402"/>
      <c r="M324" s="3402"/>
      <c r="N324" s="3402"/>
    </row>
    <row r="325" spans="1:14">
      <c r="A325" s="3399"/>
      <c r="B325" s="3071">
        <v>16</v>
      </c>
      <c r="C325" s="3071" t="s">
        <v>3950</v>
      </c>
      <c r="D325" s="3118" t="s">
        <v>3951</v>
      </c>
      <c r="E325" s="3071">
        <v>44.59</v>
      </c>
      <c r="F325" s="3071">
        <v>420000</v>
      </c>
      <c r="G325" s="3070" t="s">
        <v>3174</v>
      </c>
      <c r="H325" s="3070" t="s">
        <v>3174</v>
      </c>
      <c r="I325" s="3070">
        <f t="shared" si="5"/>
        <v>9419</v>
      </c>
      <c r="J325" s="3402"/>
      <c r="K325" s="3402"/>
      <c r="L325" s="3402"/>
      <c r="M325" s="3402"/>
      <c r="N325" s="3402"/>
    </row>
    <row r="326" spans="1:14">
      <c r="A326" s="3400"/>
      <c r="B326" s="3071">
        <v>16</v>
      </c>
      <c r="C326" s="3071" t="s">
        <v>3952</v>
      </c>
      <c r="D326" s="3118" t="s">
        <v>3953</v>
      </c>
      <c r="E326" s="3071">
        <v>44.59</v>
      </c>
      <c r="F326" s="3071">
        <v>420000</v>
      </c>
      <c r="G326" s="3070" t="s">
        <v>3174</v>
      </c>
      <c r="H326" s="3070" t="s">
        <v>3174</v>
      </c>
      <c r="I326" s="3070">
        <f t="shared" si="5"/>
        <v>9419</v>
      </c>
      <c r="J326" s="3402"/>
      <c r="K326" s="3402"/>
      <c r="L326" s="3402"/>
      <c r="M326" s="3402"/>
      <c r="N326" s="3402"/>
    </row>
    <row r="327" spans="1:14" ht="24">
      <c r="A327" s="3398">
        <v>66</v>
      </c>
      <c r="B327" s="3071">
        <v>16</v>
      </c>
      <c r="C327" s="3072" t="s">
        <v>3542</v>
      </c>
      <c r="D327" s="3118" t="s">
        <v>3954</v>
      </c>
      <c r="E327" s="3119">
        <v>133.41999999999999</v>
      </c>
      <c r="F327" s="3119">
        <v>7676586</v>
      </c>
      <c r="G327" s="3070" t="s">
        <v>3173</v>
      </c>
      <c r="H327" s="3070" t="s">
        <v>3058</v>
      </c>
      <c r="I327" s="3070">
        <f t="shared" si="5"/>
        <v>57537</v>
      </c>
      <c r="J327" s="3402"/>
      <c r="K327" s="3402"/>
      <c r="L327" s="3402"/>
      <c r="M327" s="3402"/>
      <c r="N327" s="3402"/>
    </row>
    <row r="328" spans="1:14" ht="24">
      <c r="A328" s="3399"/>
      <c r="B328" s="3071">
        <v>16</v>
      </c>
      <c r="C328" s="3072" t="s">
        <v>3544</v>
      </c>
      <c r="D328" s="3118" t="s">
        <v>3955</v>
      </c>
      <c r="E328" s="3119">
        <v>83.9</v>
      </c>
      <c r="F328" s="3119">
        <v>2517000</v>
      </c>
      <c r="G328" s="3070" t="s">
        <v>3501</v>
      </c>
      <c r="H328" s="3070" t="s">
        <v>3230</v>
      </c>
      <c r="I328" s="3070">
        <f t="shared" si="5"/>
        <v>30000</v>
      </c>
      <c r="J328" s="3402"/>
      <c r="K328" s="3402"/>
      <c r="L328" s="3402"/>
      <c r="M328" s="3402"/>
      <c r="N328" s="3402"/>
    </row>
    <row r="329" spans="1:14">
      <c r="A329" s="3399"/>
      <c r="B329" s="3071">
        <v>16</v>
      </c>
      <c r="C329" s="3072">
        <v>-205</v>
      </c>
      <c r="D329" s="3118" t="s">
        <v>3956</v>
      </c>
      <c r="E329" s="3119">
        <v>83.96</v>
      </c>
      <c r="F329" s="3119">
        <v>2518800</v>
      </c>
      <c r="G329" s="3070" t="s">
        <v>3503</v>
      </c>
      <c r="H329" s="3070" t="s">
        <v>3230</v>
      </c>
      <c r="I329" s="3070">
        <f t="shared" si="5"/>
        <v>30000</v>
      </c>
      <c r="J329" s="3402"/>
      <c r="K329" s="3402"/>
      <c r="L329" s="3402"/>
      <c r="M329" s="3402"/>
      <c r="N329" s="3402"/>
    </row>
    <row r="330" spans="1:14">
      <c r="A330" s="3399"/>
      <c r="B330" s="3071">
        <v>16</v>
      </c>
      <c r="C330" s="3071" t="s">
        <v>3957</v>
      </c>
      <c r="D330" s="3118" t="s">
        <v>3958</v>
      </c>
      <c r="E330" s="3071">
        <v>44.59</v>
      </c>
      <c r="F330" s="3071">
        <v>420000</v>
      </c>
      <c r="G330" s="3070" t="s">
        <v>3174</v>
      </c>
      <c r="H330" s="3070" t="s">
        <v>3174</v>
      </c>
      <c r="I330" s="3070">
        <f t="shared" si="5"/>
        <v>9419</v>
      </c>
      <c r="J330" s="3402"/>
      <c r="K330" s="3402"/>
      <c r="L330" s="3402"/>
      <c r="M330" s="3402"/>
      <c r="N330" s="3402"/>
    </row>
    <row r="331" spans="1:14">
      <c r="A331" s="3400"/>
      <c r="B331" s="3071">
        <v>16</v>
      </c>
      <c r="C331" s="3071" t="s">
        <v>3959</v>
      </c>
      <c r="D331" s="3118" t="s">
        <v>3960</v>
      </c>
      <c r="E331" s="3071">
        <v>44.59</v>
      </c>
      <c r="F331" s="3071">
        <v>420000</v>
      </c>
      <c r="G331" s="3070" t="s">
        <v>3174</v>
      </c>
      <c r="H331" s="3070" t="s">
        <v>3174</v>
      </c>
      <c r="I331" s="3070">
        <f t="shared" si="5"/>
        <v>9419</v>
      </c>
      <c r="J331" s="3402"/>
      <c r="K331" s="3402"/>
      <c r="L331" s="3402"/>
      <c r="M331" s="3402"/>
      <c r="N331" s="3402"/>
    </row>
    <row r="332" spans="1:14" ht="24">
      <c r="A332" s="3398">
        <v>67</v>
      </c>
      <c r="B332" s="3071">
        <v>16</v>
      </c>
      <c r="C332" s="3072" t="s">
        <v>3551</v>
      </c>
      <c r="D332" s="3118" t="s">
        <v>3961</v>
      </c>
      <c r="E332" s="3119">
        <v>133.61000000000001</v>
      </c>
      <c r="F332" s="3119">
        <v>7788661</v>
      </c>
      <c r="G332" s="3070" t="s">
        <v>3173</v>
      </c>
      <c r="H332" s="3070" t="s">
        <v>3058</v>
      </c>
      <c r="I332" s="3070">
        <f t="shared" si="5"/>
        <v>58294</v>
      </c>
      <c r="J332" s="3402"/>
      <c r="K332" s="3402"/>
      <c r="L332" s="3402"/>
      <c r="M332" s="3402"/>
      <c r="N332" s="3402"/>
    </row>
    <row r="333" spans="1:14" ht="24">
      <c r="A333" s="3399"/>
      <c r="B333" s="3071">
        <v>16</v>
      </c>
      <c r="C333" s="3072" t="s">
        <v>3553</v>
      </c>
      <c r="D333" s="3118" t="s">
        <v>3962</v>
      </c>
      <c r="E333" s="3119">
        <v>84.17</v>
      </c>
      <c r="F333" s="3119">
        <v>2525100</v>
      </c>
      <c r="G333" s="3070" t="s">
        <v>3501</v>
      </c>
      <c r="H333" s="3070" t="s">
        <v>3230</v>
      </c>
      <c r="I333" s="3070">
        <f t="shared" si="5"/>
        <v>30000</v>
      </c>
      <c r="J333" s="3402"/>
      <c r="K333" s="3402"/>
      <c r="L333" s="3402"/>
      <c r="M333" s="3402"/>
      <c r="N333" s="3402"/>
    </row>
    <row r="334" spans="1:14">
      <c r="A334" s="3399"/>
      <c r="B334" s="3071">
        <v>16</v>
      </c>
      <c r="C334" s="3072">
        <v>-206</v>
      </c>
      <c r="D334" s="3118" t="s">
        <v>3963</v>
      </c>
      <c r="E334" s="3119">
        <v>83.96</v>
      </c>
      <c r="F334" s="3119">
        <v>2518800</v>
      </c>
      <c r="G334" s="3070" t="s">
        <v>3503</v>
      </c>
      <c r="H334" s="3070" t="s">
        <v>3230</v>
      </c>
      <c r="I334" s="3070">
        <f t="shared" si="5"/>
        <v>30000</v>
      </c>
      <c r="J334" s="3402"/>
      <c r="K334" s="3402"/>
      <c r="L334" s="3402"/>
      <c r="M334" s="3402"/>
      <c r="N334" s="3402"/>
    </row>
    <row r="335" spans="1:14">
      <c r="A335" s="3399"/>
      <c r="B335" s="3071">
        <v>16</v>
      </c>
      <c r="C335" s="3071" t="s">
        <v>3964</v>
      </c>
      <c r="D335" s="3118" t="s">
        <v>3965</v>
      </c>
      <c r="E335" s="3071">
        <v>44.59</v>
      </c>
      <c r="F335" s="3071">
        <v>420000</v>
      </c>
      <c r="G335" s="3070" t="s">
        <v>3174</v>
      </c>
      <c r="H335" s="3070" t="s">
        <v>3174</v>
      </c>
      <c r="I335" s="3070">
        <f t="shared" si="5"/>
        <v>9419</v>
      </c>
      <c r="J335" s="3402"/>
      <c r="K335" s="3402"/>
      <c r="L335" s="3402"/>
      <c r="M335" s="3402"/>
      <c r="N335" s="3402"/>
    </row>
    <row r="336" spans="1:14">
      <c r="A336" s="3400"/>
      <c r="B336" s="3071">
        <v>16</v>
      </c>
      <c r="C336" s="3071" t="s">
        <v>3966</v>
      </c>
      <c r="D336" s="3118" t="s">
        <v>3967</v>
      </c>
      <c r="E336" s="3071">
        <v>44.59</v>
      </c>
      <c r="F336" s="3071">
        <v>420000</v>
      </c>
      <c r="G336" s="3070" t="s">
        <v>3174</v>
      </c>
      <c r="H336" s="3070" t="s">
        <v>3174</v>
      </c>
      <c r="I336" s="3070">
        <f t="shared" si="5"/>
        <v>9419</v>
      </c>
      <c r="J336" s="3403"/>
      <c r="K336" s="3403"/>
      <c r="L336" s="3403"/>
      <c r="M336" s="3403"/>
      <c r="N336" s="3403"/>
    </row>
    <row r="337" spans="1:14" ht="24">
      <c r="A337" s="3398">
        <v>68</v>
      </c>
      <c r="B337" s="3071">
        <v>17</v>
      </c>
      <c r="C337" s="3072" t="s">
        <v>3508</v>
      </c>
      <c r="D337" s="3118" t="s">
        <v>3968</v>
      </c>
      <c r="E337" s="3119">
        <v>133.62</v>
      </c>
      <c r="F337" s="3119">
        <v>8489279</v>
      </c>
      <c r="G337" s="3070" t="s">
        <v>3173</v>
      </c>
      <c r="H337" s="3070" t="s">
        <v>3058</v>
      </c>
      <c r="I337" s="3070">
        <f t="shared" si="5"/>
        <v>63533</v>
      </c>
      <c r="J337" s="3401">
        <v>4</v>
      </c>
      <c r="K337" s="3401">
        <v>4</v>
      </c>
      <c r="L337" s="3401">
        <f>E337+E342+E347+E352</f>
        <v>534.86</v>
      </c>
      <c r="M337" s="3401">
        <f>E338+E339+E343+E344+E348+E349+E353+E354</f>
        <v>671.22</v>
      </c>
      <c r="N337" s="3401">
        <f>L337+M337</f>
        <v>1206.08</v>
      </c>
    </row>
    <row r="338" spans="1:14" ht="24">
      <c r="A338" s="3399"/>
      <c r="B338" s="3071">
        <v>17</v>
      </c>
      <c r="C338" s="3072" t="s">
        <v>3510</v>
      </c>
      <c r="D338" s="3118" t="s">
        <v>3969</v>
      </c>
      <c r="E338" s="3119">
        <v>83.88</v>
      </c>
      <c r="F338" s="3119">
        <v>2516400</v>
      </c>
      <c r="G338" s="3070" t="s">
        <v>3501</v>
      </c>
      <c r="H338" s="3070" t="s">
        <v>3230</v>
      </c>
      <c r="I338" s="3070">
        <f t="shared" si="5"/>
        <v>30000</v>
      </c>
      <c r="J338" s="3402"/>
      <c r="K338" s="3402"/>
      <c r="L338" s="3402"/>
      <c r="M338" s="3402"/>
      <c r="N338" s="3402"/>
    </row>
    <row r="339" spans="1:14">
      <c r="A339" s="3399"/>
      <c r="B339" s="3071">
        <v>17</v>
      </c>
      <c r="C339" s="3072">
        <v>-201</v>
      </c>
      <c r="D339" s="3118" t="s">
        <v>3970</v>
      </c>
      <c r="E339" s="3119">
        <v>83.36</v>
      </c>
      <c r="F339" s="3119">
        <v>2500800</v>
      </c>
      <c r="G339" s="3070" t="s">
        <v>3503</v>
      </c>
      <c r="H339" s="3070" t="s">
        <v>3230</v>
      </c>
      <c r="I339" s="3070">
        <f t="shared" si="5"/>
        <v>30000</v>
      </c>
      <c r="J339" s="3402"/>
      <c r="K339" s="3402"/>
      <c r="L339" s="3402"/>
      <c r="M339" s="3402"/>
      <c r="N339" s="3402"/>
    </row>
    <row r="340" spans="1:14">
      <c r="A340" s="3399"/>
      <c r="B340" s="3071">
        <v>17</v>
      </c>
      <c r="C340" s="3071" t="s">
        <v>3971</v>
      </c>
      <c r="D340" s="3118" t="s">
        <v>3972</v>
      </c>
      <c r="E340" s="3071">
        <v>44.59</v>
      </c>
      <c r="F340" s="3071">
        <v>420000</v>
      </c>
      <c r="G340" s="3070" t="s">
        <v>3174</v>
      </c>
      <c r="H340" s="3070" t="s">
        <v>3174</v>
      </c>
      <c r="I340" s="3070">
        <f t="shared" si="5"/>
        <v>9419</v>
      </c>
      <c r="J340" s="3402"/>
      <c r="K340" s="3402"/>
      <c r="L340" s="3402"/>
      <c r="M340" s="3402"/>
      <c r="N340" s="3402"/>
    </row>
    <row r="341" spans="1:14">
      <c r="A341" s="3400"/>
      <c r="B341" s="3071">
        <v>17</v>
      </c>
      <c r="C341" s="3071" t="s">
        <v>3973</v>
      </c>
      <c r="D341" s="3118" t="s">
        <v>3974</v>
      </c>
      <c r="E341" s="3071">
        <v>44.59</v>
      </c>
      <c r="F341" s="3071">
        <v>420000</v>
      </c>
      <c r="G341" s="3070" t="s">
        <v>3174</v>
      </c>
      <c r="H341" s="3070" t="s">
        <v>3174</v>
      </c>
      <c r="I341" s="3070">
        <f t="shared" si="5"/>
        <v>9419</v>
      </c>
      <c r="J341" s="3402"/>
      <c r="K341" s="3402"/>
      <c r="L341" s="3402"/>
      <c r="M341" s="3402"/>
      <c r="N341" s="3402"/>
    </row>
    <row r="342" spans="1:14" ht="24">
      <c r="A342" s="3398">
        <v>69</v>
      </c>
      <c r="B342" s="3071">
        <v>17</v>
      </c>
      <c r="C342" s="3072" t="s">
        <v>3497</v>
      </c>
      <c r="D342" s="3118" t="s">
        <v>3975</v>
      </c>
      <c r="E342" s="3119">
        <v>133.81</v>
      </c>
      <c r="F342" s="3119">
        <v>7701300</v>
      </c>
      <c r="G342" s="3070" t="s">
        <v>3173</v>
      </c>
      <c r="H342" s="3070" t="s">
        <v>3058</v>
      </c>
      <c r="I342" s="3070">
        <f t="shared" si="5"/>
        <v>57554</v>
      </c>
      <c r="J342" s="3402"/>
      <c r="K342" s="3402"/>
      <c r="L342" s="3402"/>
      <c r="M342" s="3402"/>
      <c r="N342" s="3402"/>
    </row>
    <row r="343" spans="1:14" ht="24">
      <c r="A343" s="3399"/>
      <c r="B343" s="3071">
        <v>17</v>
      </c>
      <c r="C343" s="3072" t="s">
        <v>3499</v>
      </c>
      <c r="D343" s="3118" t="s">
        <v>3976</v>
      </c>
      <c r="E343" s="3119">
        <v>84.29</v>
      </c>
      <c r="F343" s="3119">
        <v>2528700</v>
      </c>
      <c r="G343" s="3070" t="s">
        <v>3501</v>
      </c>
      <c r="H343" s="3070" t="s">
        <v>3230</v>
      </c>
      <c r="I343" s="3070">
        <f t="shared" si="5"/>
        <v>30000</v>
      </c>
      <c r="J343" s="3402"/>
      <c r="K343" s="3402"/>
      <c r="L343" s="3402"/>
      <c r="M343" s="3402"/>
      <c r="N343" s="3402"/>
    </row>
    <row r="344" spans="1:14">
      <c r="A344" s="3399"/>
      <c r="B344" s="3071">
        <v>17</v>
      </c>
      <c r="C344" s="3072">
        <v>-202</v>
      </c>
      <c r="D344" s="3118" t="s">
        <v>3977</v>
      </c>
      <c r="E344" s="3119">
        <v>84.08</v>
      </c>
      <c r="F344" s="3119">
        <v>2522400</v>
      </c>
      <c r="G344" s="3070" t="s">
        <v>3503</v>
      </c>
      <c r="H344" s="3070" t="s">
        <v>3230</v>
      </c>
      <c r="I344" s="3070">
        <f t="shared" si="5"/>
        <v>30000</v>
      </c>
      <c r="J344" s="3402"/>
      <c r="K344" s="3402"/>
      <c r="L344" s="3402"/>
      <c r="M344" s="3402"/>
      <c r="N344" s="3402"/>
    </row>
    <row r="345" spans="1:14">
      <c r="A345" s="3399"/>
      <c r="B345" s="3071">
        <v>17</v>
      </c>
      <c r="C345" s="3071" t="s">
        <v>3978</v>
      </c>
      <c r="D345" s="3118" t="s">
        <v>3979</v>
      </c>
      <c r="E345" s="3071">
        <v>44.59</v>
      </c>
      <c r="F345" s="3071">
        <v>420000</v>
      </c>
      <c r="G345" s="3070" t="s">
        <v>3174</v>
      </c>
      <c r="H345" s="3070" t="s">
        <v>3174</v>
      </c>
      <c r="I345" s="3070">
        <f t="shared" si="5"/>
        <v>9419</v>
      </c>
      <c r="J345" s="3402"/>
      <c r="K345" s="3402"/>
      <c r="L345" s="3402"/>
      <c r="M345" s="3402"/>
      <c r="N345" s="3402"/>
    </row>
    <row r="346" spans="1:14">
      <c r="A346" s="3400"/>
      <c r="B346" s="3071">
        <v>17</v>
      </c>
      <c r="C346" s="3071" t="s">
        <v>3980</v>
      </c>
      <c r="D346" s="3118" t="s">
        <v>3981</v>
      </c>
      <c r="E346" s="3071">
        <v>44.59</v>
      </c>
      <c r="F346" s="3071">
        <v>420000</v>
      </c>
      <c r="G346" s="3070" t="s">
        <v>3174</v>
      </c>
      <c r="H346" s="3070" t="s">
        <v>3174</v>
      </c>
      <c r="I346" s="3070">
        <f t="shared" si="5"/>
        <v>9419</v>
      </c>
      <c r="J346" s="3402"/>
      <c r="K346" s="3402"/>
      <c r="L346" s="3402"/>
      <c r="M346" s="3402"/>
      <c r="N346" s="3402"/>
    </row>
    <row r="347" spans="1:14" ht="24">
      <c r="A347" s="3398">
        <v>70</v>
      </c>
      <c r="B347" s="3071">
        <v>17</v>
      </c>
      <c r="C347" s="3072" t="s">
        <v>3524</v>
      </c>
      <c r="D347" s="3118" t="s">
        <v>3982</v>
      </c>
      <c r="E347" s="3119">
        <v>133.62</v>
      </c>
      <c r="F347" s="3119">
        <v>8489279</v>
      </c>
      <c r="G347" s="3070" t="s">
        <v>3173</v>
      </c>
      <c r="H347" s="3070" t="s">
        <v>3058</v>
      </c>
      <c r="I347" s="3070">
        <f t="shared" si="5"/>
        <v>63533</v>
      </c>
      <c r="J347" s="3402"/>
      <c r="K347" s="3402"/>
      <c r="L347" s="3402"/>
      <c r="M347" s="3402"/>
      <c r="N347" s="3402"/>
    </row>
    <row r="348" spans="1:14" ht="24">
      <c r="A348" s="3399"/>
      <c r="B348" s="3071">
        <v>17</v>
      </c>
      <c r="C348" s="3072" t="s">
        <v>3526</v>
      </c>
      <c r="D348" s="3118" t="s">
        <v>3983</v>
      </c>
      <c r="E348" s="3119">
        <v>83.88</v>
      </c>
      <c r="F348" s="3119">
        <v>2516400</v>
      </c>
      <c r="G348" s="3070" t="s">
        <v>3501</v>
      </c>
      <c r="H348" s="3070" t="s">
        <v>3230</v>
      </c>
      <c r="I348" s="3070">
        <f t="shared" si="5"/>
        <v>30000</v>
      </c>
      <c r="J348" s="3402"/>
      <c r="K348" s="3402"/>
      <c r="L348" s="3402"/>
      <c r="M348" s="3402"/>
      <c r="N348" s="3402"/>
    </row>
    <row r="349" spans="1:14">
      <c r="A349" s="3399"/>
      <c r="B349" s="3071">
        <v>17</v>
      </c>
      <c r="C349" s="3072">
        <v>-203</v>
      </c>
      <c r="D349" s="3118" t="s">
        <v>3984</v>
      </c>
      <c r="E349" s="3119">
        <v>83.36</v>
      </c>
      <c r="F349" s="3119">
        <v>2500800</v>
      </c>
      <c r="G349" s="3070" t="s">
        <v>3503</v>
      </c>
      <c r="H349" s="3070" t="s">
        <v>3230</v>
      </c>
      <c r="I349" s="3070">
        <f t="shared" si="5"/>
        <v>30000</v>
      </c>
      <c r="J349" s="3402"/>
      <c r="K349" s="3402"/>
      <c r="L349" s="3402"/>
      <c r="M349" s="3402"/>
      <c r="N349" s="3402"/>
    </row>
    <row r="350" spans="1:14">
      <c r="A350" s="3399"/>
      <c r="B350" s="3071">
        <v>17</v>
      </c>
      <c r="C350" s="3071" t="s">
        <v>3985</v>
      </c>
      <c r="D350" s="3118" t="s">
        <v>3986</v>
      </c>
      <c r="E350" s="3071">
        <v>44.59</v>
      </c>
      <c r="F350" s="3071">
        <v>420000</v>
      </c>
      <c r="G350" s="3070" t="s">
        <v>3174</v>
      </c>
      <c r="H350" s="3070" t="s">
        <v>3174</v>
      </c>
      <c r="I350" s="3070">
        <f t="shared" si="5"/>
        <v>9419</v>
      </c>
      <c r="J350" s="3402"/>
      <c r="K350" s="3402"/>
      <c r="L350" s="3402"/>
      <c r="M350" s="3402"/>
      <c r="N350" s="3402"/>
    </row>
    <row r="351" spans="1:14">
      <c r="A351" s="3400"/>
      <c r="B351" s="3071">
        <v>17</v>
      </c>
      <c r="C351" s="3071" t="s">
        <v>3987</v>
      </c>
      <c r="D351" s="3118" t="s">
        <v>3988</v>
      </c>
      <c r="E351" s="3071">
        <v>44.59</v>
      </c>
      <c r="F351" s="3071">
        <v>420000</v>
      </c>
      <c r="G351" s="3070" t="s">
        <v>3174</v>
      </c>
      <c r="H351" s="3070" t="s">
        <v>3174</v>
      </c>
      <c r="I351" s="3070">
        <f t="shared" si="5"/>
        <v>9419</v>
      </c>
      <c r="J351" s="3402"/>
      <c r="K351" s="3402"/>
      <c r="L351" s="3402"/>
      <c r="M351" s="3402"/>
      <c r="N351" s="3402"/>
    </row>
    <row r="352" spans="1:14" ht="24">
      <c r="A352" s="3398">
        <v>71</v>
      </c>
      <c r="B352" s="3071">
        <v>17</v>
      </c>
      <c r="C352" s="3072" t="s">
        <v>3533</v>
      </c>
      <c r="D352" s="3118" t="s">
        <v>3989</v>
      </c>
      <c r="E352" s="3119">
        <v>133.81</v>
      </c>
      <c r="F352" s="3119">
        <v>7801390</v>
      </c>
      <c r="G352" s="3070" t="s">
        <v>3173</v>
      </c>
      <c r="H352" s="3070" t="s">
        <v>3058</v>
      </c>
      <c r="I352" s="3070">
        <f t="shared" si="5"/>
        <v>58302</v>
      </c>
      <c r="J352" s="3402"/>
      <c r="K352" s="3402"/>
      <c r="L352" s="3402"/>
      <c r="M352" s="3402"/>
      <c r="N352" s="3402"/>
    </row>
    <row r="353" spans="1:14" ht="24">
      <c r="A353" s="3399"/>
      <c r="B353" s="3071">
        <v>17</v>
      </c>
      <c r="C353" s="3072" t="s">
        <v>3535</v>
      </c>
      <c r="D353" s="3118" t="s">
        <v>3990</v>
      </c>
      <c r="E353" s="3119">
        <v>84.29</v>
      </c>
      <c r="F353" s="3119">
        <v>2528700</v>
      </c>
      <c r="G353" s="3070" t="s">
        <v>3501</v>
      </c>
      <c r="H353" s="3070" t="s">
        <v>3230</v>
      </c>
      <c r="I353" s="3070">
        <f t="shared" si="5"/>
        <v>30000</v>
      </c>
      <c r="J353" s="3402"/>
      <c r="K353" s="3402"/>
      <c r="L353" s="3402"/>
      <c r="M353" s="3402"/>
      <c r="N353" s="3402"/>
    </row>
    <row r="354" spans="1:14">
      <c r="A354" s="3399"/>
      <c r="B354" s="3071">
        <v>17</v>
      </c>
      <c r="C354" s="3072">
        <v>-204</v>
      </c>
      <c r="D354" s="3118" t="s">
        <v>3991</v>
      </c>
      <c r="E354" s="3119">
        <v>84.08</v>
      </c>
      <c r="F354" s="3119">
        <v>2522400</v>
      </c>
      <c r="G354" s="3070" t="s">
        <v>3503</v>
      </c>
      <c r="H354" s="3070" t="s">
        <v>3230</v>
      </c>
      <c r="I354" s="3070">
        <f t="shared" si="5"/>
        <v>30000</v>
      </c>
      <c r="J354" s="3402"/>
      <c r="K354" s="3402"/>
      <c r="L354" s="3402"/>
      <c r="M354" s="3402"/>
      <c r="N354" s="3402"/>
    </row>
    <row r="355" spans="1:14">
      <c r="A355" s="3399"/>
      <c r="B355" s="3071">
        <v>17</v>
      </c>
      <c r="C355" s="3071" t="s">
        <v>3992</v>
      </c>
      <c r="D355" s="3118" t="s">
        <v>3993</v>
      </c>
      <c r="E355" s="3071">
        <v>44.59</v>
      </c>
      <c r="F355" s="3071">
        <v>420000</v>
      </c>
      <c r="G355" s="3070" t="s">
        <v>3174</v>
      </c>
      <c r="H355" s="3070" t="s">
        <v>3174</v>
      </c>
      <c r="I355" s="3070">
        <f t="shared" si="5"/>
        <v>9419</v>
      </c>
      <c r="J355" s="3402"/>
      <c r="K355" s="3402"/>
      <c r="L355" s="3402"/>
      <c r="M355" s="3402"/>
      <c r="N355" s="3402"/>
    </row>
    <row r="356" spans="1:14">
      <c r="A356" s="3400"/>
      <c r="B356" s="3071">
        <v>17</v>
      </c>
      <c r="C356" s="3071" t="s">
        <v>3994</v>
      </c>
      <c r="D356" s="3118" t="s">
        <v>3995</v>
      </c>
      <c r="E356" s="3071">
        <v>44.59</v>
      </c>
      <c r="F356" s="3071">
        <v>420000</v>
      </c>
      <c r="G356" s="3070" t="s">
        <v>3174</v>
      </c>
      <c r="H356" s="3070" t="s">
        <v>3174</v>
      </c>
      <c r="I356" s="3070">
        <f t="shared" si="5"/>
        <v>9419</v>
      </c>
      <c r="J356" s="3403"/>
      <c r="K356" s="3403"/>
      <c r="L356" s="3403"/>
      <c r="M356" s="3403"/>
      <c r="N356" s="3403"/>
    </row>
    <row r="357" spans="1:14" ht="24">
      <c r="A357" s="3398">
        <v>72</v>
      </c>
      <c r="B357" s="3071">
        <v>18</v>
      </c>
      <c r="C357" s="3072" t="s">
        <v>3508</v>
      </c>
      <c r="D357" s="3118" t="s">
        <v>3996</v>
      </c>
      <c r="E357" s="3119">
        <v>134.19999999999999</v>
      </c>
      <c r="F357" s="3119">
        <v>8526128</v>
      </c>
      <c r="G357" s="3070" t="s">
        <v>3173</v>
      </c>
      <c r="H357" s="3070" t="s">
        <v>3058</v>
      </c>
      <c r="I357" s="3070">
        <f t="shared" si="5"/>
        <v>63533</v>
      </c>
      <c r="J357" s="3401">
        <v>5</v>
      </c>
      <c r="K357" s="3401">
        <v>5</v>
      </c>
      <c r="L357" s="3401">
        <f>E357+E362+E367+E372+E377</f>
        <v>672.98</v>
      </c>
      <c r="M357" s="3401">
        <f>E358+E359+E363+E364+E368+E369+E373+E374+E378+E379</f>
        <v>842.43999999999994</v>
      </c>
      <c r="N357" s="3401">
        <f>L357+M357</f>
        <v>1515.42</v>
      </c>
    </row>
    <row r="358" spans="1:14" ht="24">
      <c r="A358" s="3399"/>
      <c r="B358" s="3071">
        <v>18</v>
      </c>
      <c r="C358" s="3072" t="s">
        <v>3510</v>
      </c>
      <c r="D358" s="3118" t="s">
        <v>3997</v>
      </c>
      <c r="E358" s="3119">
        <v>84.25</v>
      </c>
      <c r="F358" s="3119">
        <v>2527500</v>
      </c>
      <c r="G358" s="3070" t="s">
        <v>3501</v>
      </c>
      <c r="H358" s="3070" t="s">
        <v>3230</v>
      </c>
      <c r="I358" s="3070">
        <f t="shared" si="5"/>
        <v>30000</v>
      </c>
      <c r="J358" s="3402"/>
      <c r="K358" s="3402"/>
      <c r="L358" s="3402"/>
      <c r="M358" s="3402"/>
      <c r="N358" s="3402"/>
    </row>
    <row r="359" spans="1:14">
      <c r="A359" s="3399"/>
      <c r="B359" s="3071">
        <v>18</v>
      </c>
      <c r="C359" s="3072">
        <v>-201</v>
      </c>
      <c r="D359" s="3118" t="s">
        <v>3998</v>
      </c>
      <c r="E359" s="3119">
        <v>83.39</v>
      </c>
      <c r="F359" s="3119">
        <v>2501700</v>
      </c>
      <c r="G359" s="3070" t="s">
        <v>3503</v>
      </c>
      <c r="H359" s="3070" t="s">
        <v>3230</v>
      </c>
      <c r="I359" s="3070">
        <f t="shared" si="5"/>
        <v>30000</v>
      </c>
      <c r="J359" s="3402"/>
      <c r="K359" s="3402"/>
      <c r="L359" s="3402"/>
      <c r="M359" s="3402"/>
      <c r="N359" s="3402"/>
    </row>
    <row r="360" spans="1:14">
      <c r="A360" s="3399"/>
      <c r="B360" s="3071">
        <v>18</v>
      </c>
      <c r="C360" s="3071" t="s">
        <v>3999</v>
      </c>
      <c r="D360" s="3118" t="s">
        <v>4000</v>
      </c>
      <c r="E360" s="3071">
        <v>44.59</v>
      </c>
      <c r="F360" s="3071">
        <v>420000</v>
      </c>
      <c r="G360" s="3070" t="s">
        <v>3174</v>
      </c>
      <c r="H360" s="3070" t="s">
        <v>3174</v>
      </c>
      <c r="I360" s="3070">
        <f t="shared" si="5"/>
        <v>9419</v>
      </c>
      <c r="J360" s="3402"/>
      <c r="K360" s="3402"/>
      <c r="L360" s="3402"/>
      <c r="M360" s="3402"/>
      <c r="N360" s="3402"/>
    </row>
    <row r="361" spans="1:14">
      <c r="A361" s="3400"/>
      <c r="B361" s="3071">
        <v>18</v>
      </c>
      <c r="C361" s="3071" t="s">
        <v>4001</v>
      </c>
      <c r="D361" s="3118" t="s">
        <v>4002</v>
      </c>
      <c r="E361" s="3071">
        <v>44.59</v>
      </c>
      <c r="F361" s="3071">
        <v>420000</v>
      </c>
      <c r="G361" s="3070" t="s">
        <v>3174</v>
      </c>
      <c r="H361" s="3070" t="s">
        <v>3174</v>
      </c>
      <c r="I361" s="3070">
        <f t="shared" si="5"/>
        <v>9419</v>
      </c>
      <c r="J361" s="3402"/>
      <c r="K361" s="3402"/>
      <c r="L361" s="3402"/>
      <c r="M361" s="3402"/>
      <c r="N361" s="3402"/>
    </row>
    <row r="362" spans="1:14" ht="24">
      <c r="A362" s="3398">
        <v>73</v>
      </c>
      <c r="B362" s="3071">
        <v>18</v>
      </c>
      <c r="C362" s="3072" t="s">
        <v>3497</v>
      </c>
      <c r="D362" s="3118" t="s">
        <v>4003</v>
      </c>
      <c r="E362" s="3119">
        <v>134.38999999999999</v>
      </c>
      <c r="F362" s="3119">
        <v>7838162</v>
      </c>
      <c r="G362" s="3070" t="s">
        <v>3173</v>
      </c>
      <c r="H362" s="3070" t="s">
        <v>3058</v>
      </c>
      <c r="I362" s="3070">
        <f t="shared" si="5"/>
        <v>58324</v>
      </c>
      <c r="J362" s="3402"/>
      <c r="K362" s="3402"/>
      <c r="L362" s="3402"/>
      <c r="M362" s="3402"/>
      <c r="N362" s="3402"/>
    </row>
    <row r="363" spans="1:14" ht="24">
      <c r="A363" s="3399"/>
      <c r="B363" s="3071">
        <v>18</v>
      </c>
      <c r="C363" s="3072" t="s">
        <v>3499</v>
      </c>
      <c r="D363" s="3118" t="s">
        <v>4004</v>
      </c>
      <c r="E363" s="3119">
        <v>84.72</v>
      </c>
      <c r="F363" s="3119">
        <v>2541600</v>
      </c>
      <c r="G363" s="3070" t="s">
        <v>3501</v>
      </c>
      <c r="H363" s="3070" t="s">
        <v>3230</v>
      </c>
      <c r="I363" s="3070">
        <f t="shared" si="5"/>
        <v>30000</v>
      </c>
      <c r="J363" s="3402"/>
      <c r="K363" s="3402"/>
      <c r="L363" s="3402"/>
      <c r="M363" s="3402"/>
      <c r="N363" s="3402"/>
    </row>
    <row r="364" spans="1:14">
      <c r="A364" s="3399"/>
      <c r="B364" s="3071">
        <v>18</v>
      </c>
      <c r="C364" s="3072">
        <v>-202</v>
      </c>
      <c r="D364" s="3118" t="s">
        <v>4005</v>
      </c>
      <c r="E364" s="3119">
        <v>84.11</v>
      </c>
      <c r="F364" s="3119">
        <v>2523300</v>
      </c>
      <c r="G364" s="3070" t="s">
        <v>3503</v>
      </c>
      <c r="H364" s="3070" t="s">
        <v>3230</v>
      </c>
      <c r="I364" s="3070">
        <f t="shared" si="5"/>
        <v>30000</v>
      </c>
      <c r="J364" s="3402"/>
      <c r="K364" s="3402"/>
      <c r="L364" s="3402"/>
      <c r="M364" s="3402"/>
      <c r="N364" s="3402"/>
    </row>
    <row r="365" spans="1:14">
      <c r="A365" s="3399"/>
      <c r="B365" s="3071">
        <v>18</v>
      </c>
      <c r="C365" s="3071" t="s">
        <v>4006</v>
      </c>
      <c r="D365" s="3118" t="s">
        <v>4007</v>
      </c>
      <c r="E365" s="3071">
        <v>44.59</v>
      </c>
      <c r="F365" s="3071">
        <v>420000</v>
      </c>
      <c r="G365" s="3070" t="s">
        <v>3174</v>
      </c>
      <c r="H365" s="3070" t="s">
        <v>3174</v>
      </c>
      <c r="I365" s="3070">
        <f t="shared" si="5"/>
        <v>9419</v>
      </c>
      <c r="J365" s="3402"/>
      <c r="K365" s="3402"/>
      <c r="L365" s="3402"/>
      <c r="M365" s="3402"/>
      <c r="N365" s="3402"/>
    </row>
    <row r="366" spans="1:14">
      <c r="A366" s="3400"/>
      <c r="B366" s="3071">
        <v>18</v>
      </c>
      <c r="C366" s="3071" t="s">
        <v>4008</v>
      </c>
      <c r="D366" s="3118" t="s">
        <v>4009</v>
      </c>
      <c r="E366" s="3071">
        <v>44.59</v>
      </c>
      <c r="F366" s="3071">
        <v>420000</v>
      </c>
      <c r="G366" s="3070" t="s">
        <v>3174</v>
      </c>
      <c r="H366" s="3070" t="s">
        <v>3174</v>
      </c>
      <c r="I366" s="3070">
        <f t="shared" si="5"/>
        <v>9419</v>
      </c>
      <c r="J366" s="3402"/>
      <c r="K366" s="3402"/>
      <c r="L366" s="3402"/>
      <c r="M366" s="3402"/>
      <c r="N366" s="3402"/>
    </row>
    <row r="367" spans="1:14" ht="24">
      <c r="A367" s="3398">
        <v>74</v>
      </c>
      <c r="B367" s="3071">
        <v>18</v>
      </c>
      <c r="C367" s="3072" t="s">
        <v>3524</v>
      </c>
      <c r="D367" s="3118" t="s">
        <v>4010</v>
      </c>
      <c r="E367" s="3119">
        <v>134.19999999999999</v>
      </c>
      <c r="F367" s="3119">
        <v>8526128</v>
      </c>
      <c r="G367" s="3070" t="s">
        <v>3173</v>
      </c>
      <c r="H367" s="3070" t="s">
        <v>3058</v>
      </c>
      <c r="I367" s="3070">
        <f t="shared" ref="I367:I430" si="6">ROUND(F367/E367,0)</f>
        <v>63533</v>
      </c>
      <c r="J367" s="3402"/>
      <c r="K367" s="3402"/>
      <c r="L367" s="3402"/>
      <c r="M367" s="3402"/>
      <c r="N367" s="3402"/>
    </row>
    <row r="368" spans="1:14" ht="24">
      <c r="A368" s="3399"/>
      <c r="B368" s="3071">
        <v>18</v>
      </c>
      <c r="C368" s="3072" t="s">
        <v>3526</v>
      </c>
      <c r="D368" s="3118" t="s">
        <v>4011</v>
      </c>
      <c r="E368" s="3119">
        <v>84.25</v>
      </c>
      <c r="F368" s="3119">
        <v>2527500</v>
      </c>
      <c r="G368" s="3070" t="s">
        <v>3501</v>
      </c>
      <c r="H368" s="3070" t="s">
        <v>3230</v>
      </c>
      <c r="I368" s="3070">
        <f t="shared" si="6"/>
        <v>30000</v>
      </c>
      <c r="J368" s="3402"/>
      <c r="K368" s="3402"/>
      <c r="L368" s="3402"/>
      <c r="M368" s="3402"/>
      <c r="N368" s="3402"/>
    </row>
    <row r="369" spans="1:14">
      <c r="A369" s="3399"/>
      <c r="B369" s="3071">
        <v>18</v>
      </c>
      <c r="C369" s="3072">
        <v>-203</v>
      </c>
      <c r="D369" s="3118" t="s">
        <v>4012</v>
      </c>
      <c r="E369" s="3119">
        <v>83.39</v>
      </c>
      <c r="F369" s="3119">
        <v>2501700</v>
      </c>
      <c r="G369" s="3070" t="s">
        <v>3503</v>
      </c>
      <c r="H369" s="3070" t="s">
        <v>3230</v>
      </c>
      <c r="I369" s="3070">
        <f t="shared" si="6"/>
        <v>30000</v>
      </c>
      <c r="J369" s="3402"/>
      <c r="K369" s="3402"/>
      <c r="L369" s="3402"/>
      <c r="M369" s="3402"/>
      <c r="N369" s="3402"/>
    </row>
    <row r="370" spans="1:14">
      <c r="A370" s="3399"/>
      <c r="B370" s="3071">
        <v>18</v>
      </c>
      <c r="C370" s="3071" t="s">
        <v>4013</v>
      </c>
      <c r="D370" s="3118" t="s">
        <v>4014</v>
      </c>
      <c r="E370" s="3071">
        <v>44.59</v>
      </c>
      <c r="F370" s="3071">
        <v>420000</v>
      </c>
      <c r="G370" s="3070" t="s">
        <v>3174</v>
      </c>
      <c r="H370" s="3070" t="s">
        <v>3174</v>
      </c>
      <c r="I370" s="3070">
        <f t="shared" si="6"/>
        <v>9419</v>
      </c>
      <c r="J370" s="3402"/>
      <c r="K370" s="3402"/>
      <c r="L370" s="3402"/>
      <c r="M370" s="3402"/>
      <c r="N370" s="3402"/>
    </row>
    <row r="371" spans="1:14">
      <c r="A371" s="3400"/>
      <c r="B371" s="3071">
        <v>18</v>
      </c>
      <c r="C371" s="3071" t="s">
        <v>4015</v>
      </c>
      <c r="D371" s="3118" t="s">
        <v>4016</v>
      </c>
      <c r="E371" s="3071">
        <v>44.59</v>
      </c>
      <c r="F371" s="3071">
        <v>420000</v>
      </c>
      <c r="G371" s="3070" t="s">
        <v>3174</v>
      </c>
      <c r="H371" s="3070" t="s">
        <v>3174</v>
      </c>
      <c r="I371" s="3070">
        <f t="shared" si="6"/>
        <v>9419</v>
      </c>
      <c r="J371" s="3402"/>
      <c r="K371" s="3402"/>
      <c r="L371" s="3402"/>
      <c r="M371" s="3402"/>
      <c r="N371" s="3402"/>
    </row>
    <row r="372" spans="1:14" ht="24">
      <c r="A372" s="3398">
        <v>75</v>
      </c>
      <c r="B372" s="3071">
        <v>18</v>
      </c>
      <c r="C372" s="3072" t="s">
        <v>3533</v>
      </c>
      <c r="D372" s="3118" t="s">
        <v>4017</v>
      </c>
      <c r="E372" s="3119">
        <v>134.19999999999999</v>
      </c>
      <c r="F372" s="3119">
        <v>7726162</v>
      </c>
      <c r="G372" s="3070" t="s">
        <v>3173</v>
      </c>
      <c r="H372" s="3070" t="s">
        <v>3058</v>
      </c>
      <c r="I372" s="3070">
        <f t="shared" si="6"/>
        <v>57572</v>
      </c>
      <c r="J372" s="3402"/>
      <c r="K372" s="3402"/>
      <c r="L372" s="3402"/>
      <c r="M372" s="3402"/>
      <c r="N372" s="3402"/>
    </row>
    <row r="373" spans="1:14" ht="24">
      <c r="A373" s="3399"/>
      <c r="B373" s="3071">
        <v>18</v>
      </c>
      <c r="C373" s="3072" t="s">
        <v>3535</v>
      </c>
      <c r="D373" s="3118" t="s">
        <v>4018</v>
      </c>
      <c r="E373" s="3119">
        <v>84.39</v>
      </c>
      <c r="F373" s="3119">
        <v>2531700</v>
      </c>
      <c r="G373" s="3070" t="s">
        <v>3501</v>
      </c>
      <c r="H373" s="3070" t="s">
        <v>3230</v>
      </c>
      <c r="I373" s="3070">
        <f t="shared" si="6"/>
        <v>30000</v>
      </c>
      <c r="J373" s="3402"/>
      <c r="K373" s="3402"/>
      <c r="L373" s="3402"/>
      <c r="M373" s="3402"/>
      <c r="N373" s="3402"/>
    </row>
    <row r="374" spans="1:14">
      <c r="A374" s="3399"/>
      <c r="B374" s="3071">
        <v>18</v>
      </c>
      <c r="C374" s="3072">
        <v>-204</v>
      </c>
      <c r="D374" s="3118" t="s">
        <v>4019</v>
      </c>
      <c r="E374" s="3119">
        <v>84.11</v>
      </c>
      <c r="F374" s="3119">
        <v>2523300</v>
      </c>
      <c r="G374" s="3070" t="s">
        <v>3503</v>
      </c>
      <c r="H374" s="3070" t="s">
        <v>3230</v>
      </c>
      <c r="I374" s="3070">
        <f t="shared" si="6"/>
        <v>30000</v>
      </c>
      <c r="J374" s="3402"/>
      <c r="K374" s="3402"/>
      <c r="L374" s="3402"/>
      <c r="M374" s="3402"/>
      <c r="N374" s="3402"/>
    </row>
    <row r="375" spans="1:14">
      <c r="A375" s="3399"/>
      <c r="B375" s="3071">
        <v>18</v>
      </c>
      <c r="C375" s="3071" t="s">
        <v>4020</v>
      </c>
      <c r="D375" s="3118" t="s">
        <v>4021</v>
      </c>
      <c r="E375" s="3071">
        <v>44.59</v>
      </c>
      <c r="F375" s="3071">
        <v>420000</v>
      </c>
      <c r="G375" s="3070" t="s">
        <v>3174</v>
      </c>
      <c r="H375" s="3070" t="s">
        <v>3174</v>
      </c>
      <c r="I375" s="3070">
        <f t="shared" si="6"/>
        <v>9419</v>
      </c>
      <c r="J375" s="3402"/>
      <c r="K375" s="3402"/>
      <c r="L375" s="3402"/>
      <c r="M375" s="3402"/>
      <c r="N375" s="3402"/>
    </row>
    <row r="376" spans="1:14">
      <c r="A376" s="3400"/>
      <c r="B376" s="3071">
        <v>18</v>
      </c>
      <c r="C376" s="3071" t="s">
        <v>4022</v>
      </c>
      <c r="D376" s="3118" t="s">
        <v>4023</v>
      </c>
      <c r="E376" s="3071">
        <v>44.59</v>
      </c>
      <c r="F376" s="3071">
        <v>420000</v>
      </c>
      <c r="G376" s="3070" t="s">
        <v>3174</v>
      </c>
      <c r="H376" s="3070" t="s">
        <v>3174</v>
      </c>
      <c r="I376" s="3070">
        <f t="shared" si="6"/>
        <v>9419</v>
      </c>
      <c r="J376" s="3402"/>
      <c r="K376" s="3402"/>
      <c r="L376" s="3402"/>
      <c r="M376" s="3402"/>
      <c r="N376" s="3402"/>
    </row>
    <row r="377" spans="1:14" ht="24">
      <c r="A377" s="3398">
        <v>76</v>
      </c>
      <c r="B377" s="3071">
        <v>18</v>
      </c>
      <c r="C377" s="3072" t="s">
        <v>3542</v>
      </c>
      <c r="D377" s="3118" t="s">
        <v>4024</v>
      </c>
      <c r="E377" s="3119">
        <v>135.99</v>
      </c>
      <c r="F377" s="3119">
        <v>8639852</v>
      </c>
      <c r="G377" s="3070" t="s">
        <v>3173</v>
      </c>
      <c r="H377" s="3070" t="s">
        <v>3058</v>
      </c>
      <c r="I377" s="3070">
        <f t="shared" si="6"/>
        <v>63533</v>
      </c>
      <c r="J377" s="3402"/>
      <c r="K377" s="3402"/>
      <c r="L377" s="3402"/>
      <c r="M377" s="3402"/>
      <c r="N377" s="3402"/>
    </row>
    <row r="378" spans="1:14" ht="24">
      <c r="A378" s="3399"/>
      <c r="B378" s="3071">
        <v>18</v>
      </c>
      <c r="C378" s="3072" t="s">
        <v>3544</v>
      </c>
      <c r="D378" s="3118" t="s">
        <v>4025</v>
      </c>
      <c r="E378" s="3119">
        <v>85.18</v>
      </c>
      <c r="F378" s="3119">
        <v>2555400</v>
      </c>
      <c r="G378" s="3070" t="s">
        <v>3501</v>
      </c>
      <c r="H378" s="3070" t="s">
        <v>3230</v>
      </c>
      <c r="I378" s="3070">
        <f t="shared" si="6"/>
        <v>30000</v>
      </c>
      <c r="J378" s="3402"/>
      <c r="K378" s="3402"/>
      <c r="L378" s="3402"/>
      <c r="M378" s="3402"/>
      <c r="N378" s="3402"/>
    </row>
    <row r="379" spans="1:14">
      <c r="A379" s="3399"/>
      <c r="B379" s="3071">
        <v>18</v>
      </c>
      <c r="C379" s="3072">
        <v>-205</v>
      </c>
      <c r="D379" s="3118" t="s">
        <v>4026</v>
      </c>
      <c r="E379" s="3119">
        <v>84.65</v>
      </c>
      <c r="F379" s="3119">
        <v>2539500</v>
      </c>
      <c r="G379" s="3070" t="s">
        <v>3503</v>
      </c>
      <c r="H379" s="3070" t="s">
        <v>3230</v>
      </c>
      <c r="I379" s="3070">
        <f t="shared" si="6"/>
        <v>30000</v>
      </c>
      <c r="J379" s="3402"/>
      <c r="K379" s="3402"/>
      <c r="L379" s="3402"/>
      <c r="M379" s="3402"/>
      <c r="N379" s="3402"/>
    </row>
    <row r="380" spans="1:14">
      <c r="A380" s="3399"/>
      <c r="B380" s="3071">
        <v>18</v>
      </c>
      <c r="C380" s="3071" t="s">
        <v>4027</v>
      </c>
      <c r="D380" s="3118" t="s">
        <v>4028</v>
      </c>
      <c r="E380" s="3071">
        <v>44.59</v>
      </c>
      <c r="F380" s="3071">
        <v>420000</v>
      </c>
      <c r="G380" s="3070" t="s">
        <v>3174</v>
      </c>
      <c r="H380" s="3070" t="s">
        <v>3174</v>
      </c>
      <c r="I380" s="3070">
        <f t="shared" si="6"/>
        <v>9419</v>
      </c>
      <c r="J380" s="3402"/>
      <c r="K380" s="3402"/>
      <c r="L380" s="3402"/>
      <c r="M380" s="3402"/>
      <c r="N380" s="3402"/>
    </row>
    <row r="381" spans="1:14">
      <c r="A381" s="3400"/>
      <c r="B381" s="3071">
        <v>18</v>
      </c>
      <c r="C381" s="3071" t="s">
        <v>4029</v>
      </c>
      <c r="D381" s="3118" t="s">
        <v>4030</v>
      </c>
      <c r="E381" s="3071">
        <v>44.59</v>
      </c>
      <c r="F381" s="3071">
        <v>420000</v>
      </c>
      <c r="G381" s="3070" t="s">
        <v>3174</v>
      </c>
      <c r="H381" s="3070" t="s">
        <v>3174</v>
      </c>
      <c r="I381" s="3070">
        <f t="shared" si="6"/>
        <v>9419</v>
      </c>
      <c r="J381" s="3403"/>
      <c r="K381" s="3403"/>
      <c r="L381" s="3403"/>
      <c r="M381" s="3403"/>
      <c r="N381" s="3403"/>
    </row>
    <row r="382" spans="1:14" ht="24">
      <c r="A382" s="3398">
        <v>77</v>
      </c>
      <c r="B382" s="3071">
        <v>19</v>
      </c>
      <c r="C382" s="3072" t="s">
        <v>3508</v>
      </c>
      <c r="D382" s="3118" t="s">
        <v>4031</v>
      </c>
      <c r="E382" s="3119">
        <v>133.71</v>
      </c>
      <c r="F382" s="3119">
        <v>8494997</v>
      </c>
      <c r="G382" s="3070" t="s">
        <v>3173</v>
      </c>
      <c r="H382" s="3070" t="s">
        <v>3058</v>
      </c>
      <c r="I382" s="3070">
        <f t="shared" si="6"/>
        <v>63533</v>
      </c>
      <c r="J382" s="3401">
        <v>4</v>
      </c>
      <c r="K382" s="3401">
        <v>4</v>
      </c>
      <c r="L382" s="3401">
        <f>E382+E387+E392+E397</f>
        <v>535.22</v>
      </c>
      <c r="M382" s="3401">
        <f>E383+E384+E388+E389+E393+E394+E398+E399</f>
        <v>671.5</v>
      </c>
      <c r="N382" s="3401">
        <f>L382+M382</f>
        <v>1206.72</v>
      </c>
    </row>
    <row r="383" spans="1:14" ht="24">
      <c r="A383" s="3399"/>
      <c r="B383" s="3071">
        <v>19</v>
      </c>
      <c r="C383" s="3072" t="s">
        <v>3510</v>
      </c>
      <c r="D383" s="3118" t="s">
        <v>4032</v>
      </c>
      <c r="E383" s="3119">
        <v>83.93</v>
      </c>
      <c r="F383" s="3119">
        <v>2517900</v>
      </c>
      <c r="G383" s="3070" t="s">
        <v>3501</v>
      </c>
      <c r="H383" s="3070" t="s">
        <v>3230</v>
      </c>
      <c r="I383" s="3070">
        <f t="shared" si="6"/>
        <v>30000</v>
      </c>
      <c r="J383" s="3402"/>
      <c r="K383" s="3402"/>
      <c r="L383" s="3402"/>
      <c r="M383" s="3402"/>
      <c r="N383" s="3402"/>
    </row>
    <row r="384" spans="1:14">
      <c r="A384" s="3399"/>
      <c r="B384" s="3071">
        <v>19</v>
      </c>
      <c r="C384" s="3072">
        <v>-201</v>
      </c>
      <c r="D384" s="3118" t="s">
        <v>4033</v>
      </c>
      <c r="E384" s="3119">
        <v>83.38</v>
      </c>
      <c r="F384" s="3119">
        <v>2501400</v>
      </c>
      <c r="G384" s="3070" t="s">
        <v>3503</v>
      </c>
      <c r="H384" s="3070" t="s">
        <v>3230</v>
      </c>
      <c r="I384" s="3070">
        <f t="shared" si="6"/>
        <v>30000</v>
      </c>
      <c r="J384" s="3402"/>
      <c r="K384" s="3402"/>
      <c r="L384" s="3402"/>
      <c r="M384" s="3402"/>
      <c r="N384" s="3402"/>
    </row>
    <row r="385" spans="1:14">
      <c r="A385" s="3399"/>
      <c r="B385" s="3071">
        <v>19</v>
      </c>
      <c r="C385" s="3071" t="s">
        <v>4034</v>
      </c>
      <c r="D385" s="3118" t="s">
        <v>4035</v>
      </c>
      <c r="E385" s="3071">
        <v>44.59</v>
      </c>
      <c r="F385" s="3071">
        <v>420000</v>
      </c>
      <c r="G385" s="3070" t="s">
        <v>3174</v>
      </c>
      <c r="H385" s="3070" t="s">
        <v>3174</v>
      </c>
      <c r="I385" s="3070">
        <f t="shared" si="6"/>
        <v>9419</v>
      </c>
      <c r="J385" s="3402"/>
      <c r="K385" s="3402"/>
      <c r="L385" s="3402"/>
      <c r="M385" s="3402"/>
      <c r="N385" s="3402"/>
    </row>
    <row r="386" spans="1:14">
      <c r="A386" s="3400"/>
      <c r="B386" s="3071">
        <v>19</v>
      </c>
      <c r="C386" s="3071" t="s">
        <v>4036</v>
      </c>
      <c r="D386" s="3118" t="s">
        <v>4037</v>
      </c>
      <c r="E386" s="3071">
        <v>44.59</v>
      </c>
      <c r="F386" s="3071">
        <v>420000</v>
      </c>
      <c r="G386" s="3070" t="s">
        <v>3174</v>
      </c>
      <c r="H386" s="3070" t="s">
        <v>3174</v>
      </c>
      <c r="I386" s="3070">
        <f t="shared" si="6"/>
        <v>9419</v>
      </c>
      <c r="J386" s="3402"/>
      <c r="K386" s="3402"/>
      <c r="L386" s="3402"/>
      <c r="M386" s="3402"/>
      <c r="N386" s="3402"/>
    </row>
    <row r="387" spans="1:14" ht="24">
      <c r="A387" s="3398">
        <v>78</v>
      </c>
      <c r="B387" s="3071">
        <v>19</v>
      </c>
      <c r="C387" s="3072" t="s">
        <v>3497</v>
      </c>
      <c r="D387" s="3118" t="s">
        <v>4038</v>
      </c>
      <c r="E387" s="3119">
        <v>133.9</v>
      </c>
      <c r="F387" s="3119">
        <v>7707016</v>
      </c>
      <c r="G387" s="3070" t="s">
        <v>3173</v>
      </c>
      <c r="H387" s="3070" t="s">
        <v>3058</v>
      </c>
      <c r="I387" s="3070">
        <f t="shared" si="6"/>
        <v>57558</v>
      </c>
      <c r="J387" s="3402"/>
      <c r="K387" s="3402"/>
      <c r="L387" s="3402"/>
      <c r="M387" s="3402"/>
      <c r="N387" s="3402"/>
    </row>
    <row r="388" spans="1:14" ht="24">
      <c r="A388" s="3399"/>
      <c r="B388" s="3071">
        <v>19</v>
      </c>
      <c r="C388" s="3072" t="s">
        <v>3499</v>
      </c>
      <c r="D388" s="3118" t="s">
        <v>4039</v>
      </c>
      <c r="E388" s="3119">
        <v>84.34</v>
      </c>
      <c r="F388" s="3119">
        <v>2530200</v>
      </c>
      <c r="G388" s="3070" t="s">
        <v>3501</v>
      </c>
      <c r="H388" s="3070" t="s">
        <v>3230</v>
      </c>
      <c r="I388" s="3070">
        <f t="shared" si="6"/>
        <v>30000</v>
      </c>
      <c r="J388" s="3402"/>
      <c r="K388" s="3402"/>
      <c r="L388" s="3402"/>
      <c r="M388" s="3402"/>
      <c r="N388" s="3402"/>
    </row>
    <row r="389" spans="1:14">
      <c r="A389" s="3399"/>
      <c r="B389" s="3071">
        <v>19</v>
      </c>
      <c r="C389" s="3072">
        <v>-202</v>
      </c>
      <c r="D389" s="3118" t="s">
        <v>4040</v>
      </c>
      <c r="E389" s="3119">
        <v>84.1</v>
      </c>
      <c r="F389" s="3119">
        <v>2523000</v>
      </c>
      <c r="G389" s="3070" t="s">
        <v>3503</v>
      </c>
      <c r="H389" s="3070" t="s">
        <v>3230</v>
      </c>
      <c r="I389" s="3070">
        <f t="shared" si="6"/>
        <v>30000</v>
      </c>
      <c r="J389" s="3402"/>
      <c r="K389" s="3402"/>
      <c r="L389" s="3402"/>
      <c r="M389" s="3402"/>
      <c r="N389" s="3402"/>
    </row>
    <row r="390" spans="1:14">
      <c r="A390" s="3399"/>
      <c r="B390" s="3071">
        <v>19</v>
      </c>
      <c r="C390" s="3071" t="s">
        <v>4041</v>
      </c>
      <c r="D390" s="3118" t="s">
        <v>4042</v>
      </c>
      <c r="E390" s="3071">
        <v>44.59</v>
      </c>
      <c r="F390" s="3071">
        <v>420000</v>
      </c>
      <c r="G390" s="3070" t="s">
        <v>3174</v>
      </c>
      <c r="H390" s="3070" t="s">
        <v>3174</v>
      </c>
      <c r="I390" s="3070">
        <f t="shared" si="6"/>
        <v>9419</v>
      </c>
      <c r="J390" s="3402"/>
      <c r="K390" s="3402"/>
      <c r="L390" s="3402"/>
      <c r="M390" s="3402"/>
      <c r="N390" s="3402"/>
    </row>
    <row r="391" spans="1:14">
      <c r="A391" s="3400"/>
      <c r="B391" s="3071">
        <v>19</v>
      </c>
      <c r="C391" s="3071" t="s">
        <v>4043</v>
      </c>
      <c r="D391" s="3118" t="s">
        <v>4044</v>
      </c>
      <c r="E391" s="3071">
        <v>44.59</v>
      </c>
      <c r="F391" s="3071">
        <v>420000</v>
      </c>
      <c r="G391" s="3070" t="s">
        <v>3174</v>
      </c>
      <c r="H391" s="3070" t="s">
        <v>3174</v>
      </c>
      <c r="I391" s="3070">
        <f t="shared" si="6"/>
        <v>9419</v>
      </c>
      <c r="J391" s="3402"/>
      <c r="K391" s="3402"/>
      <c r="L391" s="3402"/>
      <c r="M391" s="3402"/>
      <c r="N391" s="3402"/>
    </row>
    <row r="392" spans="1:14" ht="24">
      <c r="A392" s="3398">
        <v>79</v>
      </c>
      <c r="B392" s="3071">
        <v>19</v>
      </c>
      <c r="C392" s="3072" t="s">
        <v>3524</v>
      </c>
      <c r="D392" s="3118" t="s">
        <v>4045</v>
      </c>
      <c r="E392" s="3119">
        <v>133.71</v>
      </c>
      <c r="F392" s="3119">
        <v>8494997</v>
      </c>
      <c r="G392" s="3070" t="s">
        <v>3173</v>
      </c>
      <c r="H392" s="3070" t="s">
        <v>3058</v>
      </c>
      <c r="I392" s="3070">
        <f t="shared" si="6"/>
        <v>63533</v>
      </c>
      <c r="J392" s="3402"/>
      <c r="K392" s="3402"/>
      <c r="L392" s="3402"/>
      <c r="M392" s="3402"/>
      <c r="N392" s="3402"/>
    </row>
    <row r="393" spans="1:14" ht="24">
      <c r="A393" s="3399"/>
      <c r="B393" s="3071">
        <v>19</v>
      </c>
      <c r="C393" s="3072" t="s">
        <v>3526</v>
      </c>
      <c r="D393" s="3118" t="s">
        <v>4046</v>
      </c>
      <c r="E393" s="3119">
        <v>83.93</v>
      </c>
      <c r="F393" s="3119">
        <v>2517900</v>
      </c>
      <c r="G393" s="3070" t="s">
        <v>3501</v>
      </c>
      <c r="H393" s="3070" t="s">
        <v>3230</v>
      </c>
      <c r="I393" s="3070">
        <f t="shared" si="6"/>
        <v>30000</v>
      </c>
      <c r="J393" s="3402"/>
      <c r="K393" s="3402"/>
      <c r="L393" s="3402"/>
      <c r="M393" s="3402"/>
      <c r="N393" s="3402"/>
    </row>
    <row r="394" spans="1:14">
      <c r="A394" s="3399"/>
      <c r="B394" s="3071">
        <v>19</v>
      </c>
      <c r="C394" s="3072">
        <v>-203</v>
      </c>
      <c r="D394" s="3118" t="s">
        <v>4047</v>
      </c>
      <c r="E394" s="3119">
        <v>83.38</v>
      </c>
      <c r="F394" s="3119">
        <v>2501400</v>
      </c>
      <c r="G394" s="3070" t="s">
        <v>3503</v>
      </c>
      <c r="H394" s="3070" t="s">
        <v>3230</v>
      </c>
      <c r="I394" s="3070">
        <f t="shared" si="6"/>
        <v>30000</v>
      </c>
      <c r="J394" s="3402"/>
      <c r="K394" s="3402"/>
      <c r="L394" s="3402"/>
      <c r="M394" s="3402"/>
      <c r="N394" s="3402"/>
    </row>
    <row r="395" spans="1:14">
      <c r="A395" s="3399"/>
      <c r="B395" s="3071">
        <v>19</v>
      </c>
      <c r="C395" s="3071" t="s">
        <v>4048</v>
      </c>
      <c r="D395" s="3118" t="s">
        <v>4049</v>
      </c>
      <c r="E395" s="3071">
        <v>44.59</v>
      </c>
      <c r="F395" s="3071">
        <v>420000</v>
      </c>
      <c r="G395" s="3070" t="s">
        <v>3174</v>
      </c>
      <c r="H395" s="3070" t="s">
        <v>3174</v>
      </c>
      <c r="I395" s="3070">
        <f t="shared" si="6"/>
        <v>9419</v>
      </c>
      <c r="J395" s="3402"/>
      <c r="K395" s="3402"/>
      <c r="L395" s="3402"/>
      <c r="M395" s="3402"/>
      <c r="N395" s="3402"/>
    </row>
    <row r="396" spans="1:14">
      <c r="A396" s="3400"/>
      <c r="B396" s="3071">
        <v>19</v>
      </c>
      <c r="C396" s="3071" t="s">
        <v>4050</v>
      </c>
      <c r="D396" s="3118" t="s">
        <v>4051</v>
      </c>
      <c r="E396" s="3071">
        <v>44.59</v>
      </c>
      <c r="F396" s="3071">
        <v>420000</v>
      </c>
      <c r="G396" s="3070" t="s">
        <v>3174</v>
      </c>
      <c r="H396" s="3070" t="s">
        <v>3174</v>
      </c>
      <c r="I396" s="3070">
        <f t="shared" si="6"/>
        <v>9419</v>
      </c>
      <c r="J396" s="3402"/>
      <c r="K396" s="3402"/>
      <c r="L396" s="3402"/>
      <c r="M396" s="3402"/>
      <c r="N396" s="3402"/>
    </row>
    <row r="397" spans="1:14" ht="24">
      <c r="A397" s="3398">
        <v>80</v>
      </c>
      <c r="B397" s="3071">
        <v>19</v>
      </c>
      <c r="C397" s="3072" t="s">
        <v>3533</v>
      </c>
      <c r="D397" s="3118" t="s">
        <v>4052</v>
      </c>
      <c r="E397" s="3119">
        <v>133.9</v>
      </c>
      <c r="F397" s="3119">
        <v>7807039</v>
      </c>
      <c r="G397" s="3070" t="s">
        <v>3173</v>
      </c>
      <c r="H397" s="3070" t="s">
        <v>3058</v>
      </c>
      <c r="I397" s="3070">
        <f t="shared" si="6"/>
        <v>58305</v>
      </c>
      <c r="J397" s="3402"/>
      <c r="K397" s="3402"/>
      <c r="L397" s="3402"/>
      <c r="M397" s="3402"/>
      <c r="N397" s="3402"/>
    </row>
    <row r="398" spans="1:14" ht="24">
      <c r="A398" s="3399"/>
      <c r="B398" s="3071">
        <v>19</v>
      </c>
      <c r="C398" s="3072" t="s">
        <v>3535</v>
      </c>
      <c r="D398" s="3118" t="s">
        <v>4053</v>
      </c>
      <c r="E398" s="3119">
        <v>84.34</v>
      </c>
      <c r="F398" s="3119">
        <v>2530200</v>
      </c>
      <c r="G398" s="3070" t="s">
        <v>3501</v>
      </c>
      <c r="H398" s="3070" t="s">
        <v>3230</v>
      </c>
      <c r="I398" s="3070">
        <f t="shared" si="6"/>
        <v>30000</v>
      </c>
      <c r="J398" s="3402"/>
      <c r="K398" s="3402"/>
      <c r="L398" s="3402"/>
      <c r="M398" s="3402"/>
      <c r="N398" s="3402"/>
    </row>
    <row r="399" spans="1:14">
      <c r="A399" s="3399"/>
      <c r="B399" s="3071">
        <v>19</v>
      </c>
      <c r="C399" s="3072">
        <v>-204</v>
      </c>
      <c r="D399" s="3118" t="s">
        <v>4054</v>
      </c>
      <c r="E399" s="3119">
        <v>84.1</v>
      </c>
      <c r="F399" s="3119">
        <v>2523000</v>
      </c>
      <c r="G399" s="3070" t="s">
        <v>3503</v>
      </c>
      <c r="H399" s="3070" t="s">
        <v>3230</v>
      </c>
      <c r="I399" s="3070">
        <f t="shared" si="6"/>
        <v>30000</v>
      </c>
      <c r="J399" s="3402"/>
      <c r="K399" s="3402"/>
      <c r="L399" s="3402"/>
      <c r="M399" s="3402"/>
      <c r="N399" s="3402"/>
    </row>
    <row r="400" spans="1:14">
      <c r="A400" s="3399"/>
      <c r="B400" s="3071">
        <v>19</v>
      </c>
      <c r="C400" s="3071" t="s">
        <v>4055</v>
      </c>
      <c r="D400" s="3118" t="s">
        <v>4056</v>
      </c>
      <c r="E400" s="3071">
        <v>44.59</v>
      </c>
      <c r="F400" s="3071">
        <v>420000</v>
      </c>
      <c r="G400" s="3070" t="s">
        <v>3174</v>
      </c>
      <c r="H400" s="3070" t="s">
        <v>3174</v>
      </c>
      <c r="I400" s="3070">
        <f t="shared" si="6"/>
        <v>9419</v>
      </c>
      <c r="J400" s="3402"/>
      <c r="K400" s="3402"/>
      <c r="L400" s="3402"/>
      <c r="M400" s="3402"/>
      <c r="N400" s="3402"/>
    </row>
    <row r="401" spans="1:14">
      <c r="A401" s="3400"/>
      <c r="B401" s="3071">
        <v>19</v>
      </c>
      <c r="C401" s="3071" t="s">
        <v>4057</v>
      </c>
      <c r="D401" s="3118" t="s">
        <v>4058</v>
      </c>
      <c r="E401" s="3071">
        <v>44.59</v>
      </c>
      <c r="F401" s="3071">
        <v>420000</v>
      </c>
      <c r="G401" s="3070" t="s">
        <v>3174</v>
      </c>
      <c r="H401" s="3070" t="s">
        <v>3174</v>
      </c>
      <c r="I401" s="3070">
        <f t="shared" si="6"/>
        <v>9419</v>
      </c>
      <c r="J401" s="3403"/>
      <c r="K401" s="3403"/>
      <c r="L401" s="3403"/>
      <c r="M401" s="3403"/>
      <c r="N401" s="3403"/>
    </row>
    <row r="402" spans="1:14" ht="24">
      <c r="A402" s="3398">
        <v>81</v>
      </c>
      <c r="B402" s="3071">
        <v>20</v>
      </c>
      <c r="C402" s="3072" t="s">
        <v>3508</v>
      </c>
      <c r="D402" s="3118" t="s">
        <v>4059</v>
      </c>
      <c r="E402" s="3119">
        <v>133.6</v>
      </c>
      <c r="F402" s="3119">
        <v>8488008</v>
      </c>
      <c r="G402" s="3070" t="s">
        <v>3173</v>
      </c>
      <c r="H402" s="3070" t="s">
        <v>3058</v>
      </c>
      <c r="I402" s="3070">
        <f t="shared" si="6"/>
        <v>63533</v>
      </c>
      <c r="J402" s="3401">
        <v>6</v>
      </c>
      <c r="K402" s="3401">
        <v>6</v>
      </c>
      <c r="L402" s="3401">
        <f>E402+E407+E412+E417+E422+E427</f>
        <v>801.98</v>
      </c>
      <c r="M402" s="3401">
        <f>E403+E404+E408+E409+E413+E414+E418+E419+E423+E424+E428+E429</f>
        <v>1101.4399999999998</v>
      </c>
      <c r="N402" s="3401">
        <f>L402+M402</f>
        <v>1903.4199999999998</v>
      </c>
    </row>
    <row r="403" spans="1:14" ht="24">
      <c r="A403" s="3399"/>
      <c r="B403" s="3071">
        <v>20</v>
      </c>
      <c r="C403" s="3072" t="s">
        <v>3510</v>
      </c>
      <c r="D403" s="3118" t="s">
        <v>4060</v>
      </c>
      <c r="E403" s="3119">
        <v>83.88</v>
      </c>
      <c r="F403" s="3119">
        <v>2516400</v>
      </c>
      <c r="G403" s="3070" t="s">
        <v>3501</v>
      </c>
      <c r="H403" s="3070" t="s">
        <v>3230</v>
      </c>
      <c r="I403" s="3070">
        <f t="shared" si="6"/>
        <v>30000</v>
      </c>
      <c r="J403" s="3402"/>
      <c r="K403" s="3402"/>
      <c r="L403" s="3402"/>
      <c r="M403" s="3402"/>
      <c r="N403" s="3402"/>
    </row>
    <row r="404" spans="1:14">
      <c r="A404" s="3399"/>
      <c r="B404" s="3071">
        <v>20</v>
      </c>
      <c r="C404" s="3072">
        <v>-201</v>
      </c>
      <c r="D404" s="3118" t="s">
        <v>4061</v>
      </c>
      <c r="E404" s="3119">
        <v>98.94</v>
      </c>
      <c r="F404" s="3119">
        <v>2968200</v>
      </c>
      <c r="G404" s="3070" t="s">
        <v>3503</v>
      </c>
      <c r="H404" s="3070" t="s">
        <v>3230</v>
      </c>
      <c r="I404" s="3070">
        <f t="shared" si="6"/>
        <v>30000</v>
      </c>
      <c r="J404" s="3402"/>
      <c r="K404" s="3402"/>
      <c r="L404" s="3402"/>
      <c r="M404" s="3402"/>
      <c r="N404" s="3402"/>
    </row>
    <row r="405" spans="1:14">
      <c r="A405" s="3399"/>
      <c r="B405" s="3071">
        <v>20</v>
      </c>
      <c r="C405" s="3071" t="s">
        <v>3910</v>
      </c>
      <c r="D405" s="3118" t="s">
        <v>4062</v>
      </c>
      <c r="E405" s="3071"/>
      <c r="F405" s="3071"/>
      <c r="G405" s="3070" t="s">
        <v>3912</v>
      </c>
      <c r="H405" s="3070" t="s">
        <v>3174</v>
      </c>
      <c r="I405" s="3070" t="e">
        <f t="shared" si="6"/>
        <v>#DIV/0!</v>
      </c>
      <c r="J405" s="3402"/>
      <c r="K405" s="3402"/>
      <c r="L405" s="3402"/>
      <c r="M405" s="3402"/>
      <c r="N405" s="3402"/>
    </row>
    <row r="406" spans="1:14">
      <c r="A406" s="3400"/>
      <c r="B406" s="3071">
        <v>20</v>
      </c>
      <c r="C406" s="3071" t="s">
        <v>3910</v>
      </c>
      <c r="D406" s="3118" t="s">
        <v>4062</v>
      </c>
      <c r="E406" s="3071"/>
      <c r="F406" s="3071"/>
      <c r="G406" s="3070" t="s">
        <v>3912</v>
      </c>
      <c r="H406" s="3070" t="s">
        <v>3174</v>
      </c>
      <c r="I406" s="3070" t="e">
        <f t="shared" si="6"/>
        <v>#DIV/0!</v>
      </c>
      <c r="J406" s="3402"/>
      <c r="K406" s="3402"/>
      <c r="L406" s="3402"/>
      <c r="M406" s="3402"/>
      <c r="N406" s="3402"/>
    </row>
    <row r="407" spans="1:14" ht="24">
      <c r="A407" s="3398">
        <v>82</v>
      </c>
      <c r="B407" s="3071">
        <v>20</v>
      </c>
      <c r="C407" s="3072" t="s">
        <v>3497</v>
      </c>
      <c r="D407" s="3118" t="s">
        <v>4063</v>
      </c>
      <c r="E407" s="3119">
        <v>133.6</v>
      </c>
      <c r="F407" s="3119">
        <v>7838044</v>
      </c>
      <c r="G407" s="3070" t="s">
        <v>3173</v>
      </c>
      <c r="H407" s="3070" t="s">
        <v>3058</v>
      </c>
      <c r="I407" s="3070">
        <f t="shared" si="6"/>
        <v>58668</v>
      </c>
      <c r="J407" s="3402"/>
      <c r="K407" s="3402"/>
      <c r="L407" s="3402"/>
      <c r="M407" s="3402"/>
      <c r="N407" s="3402"/>
    </row>
    <row r="408" spans="1:14" ht="24">
      <c r="A408" s="3399"/>
      <c r="B408" s="3071">
        <v>20</v>
      </c>
      <c r="C408" s="3072" t="s">
        <v>3499</v>
      </c>
      <c r="D408" s="3118" t="s">
        <v>4064</v>
      </c>
      <c r="E408" s="3119">
        <v>84.01</v>
      </c>
      <c r="F408" s="3119">
        <v>2520300</v>
      </c>
      <c r="G408" s="3070" t="s">
        <v>3501</v>
      </c>
      <c r="H408" s="3070" t="s">
        <v>3230</v>
      </c>
      <c r="I408" s="3070">
        <f t="shared" si="6"/>
        <v>30000</v>
      </c>
      <c r="J408" s="3402"/>
      <c r="K408" s="3402"/>
      <c r="L408" s="3402"/>
      <c r="M408" s="3402"/>
      <c r="N408" s="3402"/>
    </row>
    <row r="409" spans="1:14">
      <c r="A409" s="3399"/>
      <c r="B409" s="3071">
        <v>20</v>
      </c>
      <c r="C409" s="3072">
        <v>-202</v>
      </c>
      <c r="D409" s="3118" t="s">
        <v>4065</v>
      </c>
      <c r="E409" s="3119">
        <v>99.8</v>
      </c>
      <c r="F409" s="3119">
        <v>2994000</v>
      </c>
      <c r="G409" s="3070" t="s">
        <v>3503</v>
      </c>
      <c r="H409" s="3070" t="s">
        <v>3230</v>
      </c>
      <c r="I409" s="3070">
        <f t="shared" si="6"/>
        <v>30000</v>
      </c>
      <c r="J409" s="3402"/>
      <c r="K409" s="3402"/>
      <c r="L409" s="3402"/>
      <c r="M409" s="3402"/>
      <c r="N409" s="3402"/>
    </row>
    <row r="410" spans="1:14">
      <c r="A410" s="3399"/>
      <c r="B410" s="3071">
        <v>20</v>
      </c>
      <c r="C410" s="3071" t="s">
        <v>3910</v>
      </c>
      <c r="D410" s="3118" t="s">
        <v>4062</v>
      </c>
      <c r="E410" s="3071"/>
      <c r="F410" s="3071"/>
      <c r="G410" s="3070" t="s">
        <v>3912</v>
      </c>
      <c r="H410" s="3070" t="s">
        <v>3174</v>
      </c>
      <c r="I410" s="3070" t="e">
        <f t="shared" si="6"/>
        <v>#DIV/0!</v>
      </c>
      <c r="J410" s="3402"/>
      <c r="K410" s="3402"/>
      <c r="L410" s="3402"/>
      <c r="M410" s="3402"/>
      <c r="N410" s="3402"/>
    </row>
    <row r="411" spans="1:14">
      <c r="A411" s="3400"/>
      <c r="B411" s="3071">
        <v>20</v>
      </c>
      <c r="C411" s="3071" t="s">
        <v>3910</v>
      </c>
      <c r="D411" s="3118" t="s">
        <v>4062</v>
      </c>
      <c r="E411" s="3071"/>
      <c r="F411" s="3071"/>
      <c r="G411" s="3070" t="s">
        <v>3912</v>
      </c>
      <c r="H411" s="3070" t="s">
        <v>3174</v>
      </c>
      <c r="I411" s="3070" t="e">
        <f t="shared" si="6"/>
        <v>#DIV/0!</v>
      </c>
      <c r="J411" s="3402"/>
      <c r="K411" s="3402"/>
      <c r="L411" s="3402"/>
      <c r="M411" s="3402"/>
      <c r="N411" s="3402"/>
    </row>
    <row r="412" spans="1:14" ht="24">
      <c r="A412" s="3398">
        <v>83</v>
      </c>
      <c r="B412" s="3071">
        <v>20</v>
      </c>
      <c r="C412" s="3072" t="s">
        <v>3524</v>
      </c>
      <c r="D412" s="3118" t="s">
        <v>4066</v>
      </c>
      <c r="E412" s="3119">
        <v>133.79</v>
      </c>
      <c r="F412" s="3119">
        <v>8050144</v>
      </c>
      <c r="G412" s="3070" t="s">
        <v>3173</v>
      </c>
      <c r="H412" s="3070" t="s">
        <v>3058</v>
      </c>
      <c r="I412" s="3070">
        <f t="shared" si="6"/>
        <v>60170</v>
      </c>
      <c r="J412" s="3402"/>
      <c r="K412" s="3402"/>
      <c r="L412" s="3402"/>
      <c r="M412" s="3402"/>
      <c r="N412" s="3402"/>
    </row>
    <row r="413" spans="1:14" ht="24">
      <c r="A413" s="3399"/>
      <c r="B413" s="3071">
        <v>20</v>
      </c>
      <c r="C413" s="3072" t="s">
        <v>3526</v>
      </c>
      <c r="D413" s="3118" t="s">
        <v>4067</v>
      </c>
      <c r="E413" s="3119">
        <v>84.29</v>
      </c>
      <c r="F413" s="3119">
        <v>2528700</v>
      </c>
      <c r="G413" s="3070" t="s">
        <v>3501</v>
      </c>
      <c r="H413" s="3070" t="s">
        <v>3230</v>
      </c>
      <c r="I413" s="3070">
        <f t="shared" si="6"/>
        <v>30000</v>
      </c>
      <c r="J413" s="3402"/>
      <c r="K413" s="3402"/>
      <c r="L413" s="3402"/>
      <c r="M413" s="3402"/>
      <c r="N413" s="3402"/>
    </row>
    <row r="414" spans="1:14">
      <c r="A414" s="3399"/>
      <c r="B414" s="3071">
        <v>20</v>
      </c>
      <c r="C414" s="3072">
        <v>-203</v>
      </c>
      <c r="D414" s="3118" t="s">
        <v>4068</v>
      </c>
      <c r="E414" s="3119">
        <v>99.8</v>
      </c>
      <c r="F414" s="3119">
        <v>2994000</v>
      </c>
      <c r="G414" s="3070" t="s">
        <v>3503</v>
      </c>
      <c r="H414" s="3070" t="s">
        <v>3230</v>
      </c>
      <c r="I414" s="3070">
        <f t="shared" si="6"/>
        <v>30000</v>
      </c>
      <c r="J414" s="3402"/>
      <c r="K414" s="3402"/>
      <c r="L414" s="3402"/>
      <c r="M414" s="3402"/>
      <c r="N414" s="3402"/>
    </row>
    <row r="415" spans="1:14">
      <c r="A415" s="3399"/>
      <c r="B415" s="3071">
        <v>20</v>
      </c>
      <c r="C415" s="3071" t="s">
        <v>3910</v>
      </c>
      <c r="D415" s="3118" t="s">
        <v>4062</v>
      </c>
      <c r="E415" s="3071"/>
      <c r="F415" s="3071"/>
      <c r="G415" s="3070" t="s">
        <v>3912</v>
      </c>
      <c r="H415" s="3070" t="s">
        <v>3174</v>
      </c>
      <c r="I415" s="3070" t="e">
        <f t="shared" si="6"/>
        <v>#DIV/0!</v>
      </c>
      <c r="J415" s="3402"/>
      <c r="K415" s="3402"/>
      <c r="L415" s="3402"/>
      <c r="M415" s="3402"/>
      <c r="N415" s="3402"/>
    </row>
    <row r="416" spans="1:14">
      <c r="A416" s="3400"/>
      <c r="B416" s="3071">
        <v>20</v>
      </c>
      <c r="C416" s="3071" t="s">
        <v>3910</v>
      </c>
      <c r="D416" s="3118" t="s">
        <v>4062</v>
      </c>
      <c r="E416" s="3071"/>
      <c r="F416" s="3071"/>
      <c r="G416" s="3070" t="s">
        <v>3912</v>
      </c>
      <c r="H416" s="3070" t="s">
        <v>3174</v>
      </c>
      <c r="I416" s="3070" t="e">
        <f t="shared" si="6"/>
        <v>#DIV/0!</v>
      </c>
      <c r="J416" s="3402"/>
      <c r="K416" s="3402"/>
      <c r="L416" s="3402"/>
      <c r="M416" s="3402"/>
      <c r="N416" s="3402"/>
    </row>
    <row r="417" spans="1:14" ht="24">
      <c r="A417" s="3398">
        <v>84</v>
      </c>
      <c r="B417" s="3071">
        <v>20</v>
      </c>
      <c r="C417" s="3072" t="s">
        <v>3533</v>
      </c>
      <c r="D417" s="3118" t="s">
        <v>4069</v>
      </c>
      <c r="E417" s="3119">
        <v>133.6</v>
      </c>
      <c r="F417" s="3119">
        <v>8488008</v>
      </c>
      <c r="G417" s="3070" t="s">
        <v>3173</v>
      </c>
      <c r="H417" s="3070" t="s">
        <v>3058</v>
      </c>
      <c r="I417" s="3070">
        <f t="shared" si="6"/>
        <v>63533</v>
      </c>
      <c r="J417" s="3402"/>
      <c r="K417" s="3402"/>
      <c r="L417" s="3402"/>
      <c r="M417" s="3402"/>
      <c r="N417" s="3402"/>
    </row>
    <row r="418" spans="1:14" ht="24">
      <c r="A418" s="3399"/>
      <c r="B418" s="3071">
        <v>20</v>
      </c>
      <c r="C418" s="3072" t="s">
        <v>3535</v>
      </c>
      <c r="D418" s="3118" t="s">
        <v>4070</v>
      </c>
      <c r="E418" s="3119">
        <v>83.88</v>
      </c>
      <c r="F418" s="3119">
        <v>2516400</v>
      </c>
      <c r="G418" s="3070" t="s">
        <v>3501</v>
      </c>
      <c r="H418" s="3070" t="s">
        <v>3230</v>
      </c>
      <c r="I418" s="3070">
        <f t="shared" si="6"/>
        <v>30000</v>
      </c>
      <c r="J418" s="3402"/>
      <c r="K418" s="3402"/>
      <c r="L418" s="3402"/>
      <c r="M418" s="3402"/>
      <c r="N418" s="3402"/>
    </row>
    <row r="419" spans="1:14">
      <c r="A419" s="3399"/>
      <c r="B419" s="3071">
        <v>20</v>
      </c>
      <c r="C419" s="3072">
        <v>-204</v>
      </c>
      <c r="D419" s="3118" t="s">
        <v>4071</v>
      </c>
      <c r="E419" s="3119">
        <v>98.94</v>
      </c>
      <c r="F419" s="3119">
        <v>2968200</v>
      </c>
      <c r="G419" s="3070" t="s">
        <v>3503</v>
      </c>
      <c r="H419" s="3070" t="s">
        <v>3230</v>
      </c>
      <c r="I419" s="3070">
        <f t="shared" si="6"/>
        <v>30000</v>
      </c>
      <c r="J419" s="3402"/>
      <c r="K419" s="3402"/>
      <c r="L419" s="3402"/>
      <c r="M419" s="3402"/>
      <c r="N419" s="3402"/>
    </row>
    <row r="420" spans="1:14">
      <c r="A420" s="3399"/>
      <c r="B420" s="3071">
        <v>20</v>
      </c>
      <c r="C420" s="3071" t="s">
        <v>4072</v>
      </c>
      <c r="D420" s="3118" t="s">
        <v>4073</v>
      </c>
      <c r="E420" s="3071">
        <v>44.59</v>
      </c>
      <c r="F420" s="3071">
        <v>420000</v>
      </c>
      <c r="G420" s="3070" t="s">
        <v>3174</v>
      </c>
      <c r="H420" s="3070" t="s">
        <v>3174</v>
      </c>
      <c r="I420" s="3070">
        <f t="shared" si="6"/>
        <v>9419</v>
      </c>
      <c r="J420" s="3402"/>
      <c r="K420" s="3402"/>
      <c r="L420" s="3402"/>
      <c r="M420" s="3402"/>
      <c r="N420" s="3402"/>
    </row>
    <row r="421" spans="1:14">
      <c r="A421" s="3400"/>
      <c r="B421" s="3071">
        <v>20</v>
      </c>
      <c r="C421" s="3071" t="s">
        <v>4074</v>
      </c>
      <c r="D421" s="3118" t="s">
        <v>4075</v>
      </c>
      <c r="E421" s="3071">
        <v>44.59</v>
      </c>
      <c r="F421" s="3071">
        <v>420000</v>
      </c>
      <c r="G421" s="3070" t="s">
        <v>3174</v>
      </c>
      <c r="H421" s="3070" t="s">
        <v>3174</v>
      </c>
      <c r="I421" s="3070">
        <f t="shared" si="6"/>
        <v>9419</v>
      </c>
      <c r="J421" s="3402"/>
      <c r="K421" s="3402"/>
      <c r="L421" s="3402"/>
      <c r="M421" s="3402"/>
      <c r="N421" s="3402"/>
    </row>
    <row r="422" spans="1:14" ht="24">
      <c r="A422" s="3398">
        <v>85</v>
      </c>
      <c r="B422" s="3071">
        <v>20</v>
      </c>
      <c r="C422" s="3072" t="s">
        <v>3542</v>
      </c>
      <c r="D422" s="3118" t="s">
        <v>4076</v>
      </c>
      <c r="E422" s="3119">
        <v>133.6</v>
      </c>
      <c r="F422" s="3119">
        <v>7787944</v>
      </c>
      <c r="G422" s="3070" t="s">
        <v>3173</v>
      </c>
      <c r="H422" s="3070" t="s">
        <v>3058</v>
      </c>
      <c r="I422" s="3070">
        <f t="shared" si="6"/>
        <v>58293</v>
      </c>
      <c r="J422" s="3402"/>
      <c r="K422" s="3402"/>
      <c r="L422" s="3402"/>
      <c r="M422" s="3402"/>
      <c r="N422" s="3402"/>
    </row>
    <row r="423" spans="1:14" ht="24">
      <c r="A423" s="3399"/>
      <c r="B423" s="3071">
        <v>20</v>
      </c>
      <c r="C423" s="3072" t="s">
        <v>3544</v>
      </c>
      <c r="D423" s="3118" t="s">
        <v>4077</v>
      </c>
      <c r="E423" s="3119">
        <v>84.01</v>
      </c>
      <c r="F423" s="3119">
        <v>2520300</v>
      </c>
      <c r="G423" s="3070" t="s">
        <v>3501</v>
      </c>
      <c r="H423" s="3070" t="s">
        <v>3230</v>
      </c>
      <c r="I423" s="3070">
        <f t="shared" si="6"/>
        <v>30000</v>
      </c>
      <c r="J423" s="3402"/>
      <c r="K423" s="3402"/>
      <c r="L423" s="3402"/>
      <c r="M423" s="3402"/>
      <c r="N423" s="3402"/>
    </row>
    <row r="424" spans="1:14">
      <c r="A424" s="3399"/>
      <c r="B424" s="3071">
        <v>20</v>
      </c>
      <c r="C424" s="3072">
        <v>-205</v>
      </c>
      <c r="D424" s="3118" t="s">
        <v>4078</v>
      </c>
      <c r="E424" s="3119">
        <v>99.8</v>
      </c>
      <c r="F424" s="3119">
        <v>2994000</v>
      </c>
      <c r="G424" s="3070" t="s">
        <v>3503</v>
      </c>
      <c r="H424" s="3070" t="s">
        <v>3230</v>
      </c>
      <c r="I424" s="3070">
        <f t="shared" si="6"/>
        <v>30000</v>
      </c>
      <c r="J424" s="3402"/>
      <c r="K424" s="3402"/>
      <c r="L424" s="3402"/>
      <c r="M424" s="3402"/>
      <c r="N424" s="3402"/>
    </row>
    <row r="425" spans="1:14">
      <c r="A425" s="3399"/>
      <c r="B425" s="3071">
        <v>20</v>
      </c>
      <c r="C425" s="3071" t="s">
        <v>4079</v>
      </c>
      <c r="D425" s="3118" t="s">
        <v>4080</v>
      </c>
      <c r="E425" s="3071">
        <v>44.59</v>
      </c>
      <c r="F425" s="3071">
        <v>420000</v>
      </c>
      <c r="G425" s="3070" t="s">
        <v>3174</v>
      </c>
      <c r="H425" s="3070" t="s">
        <v>3174</v>
      </c>
      <c r="I425" s="3070">
        <f t="shared" si="6"/>
        <v>9419</v>
      </c>
      <c r="J425" s="3402"/>
      <c r="K425" s="3402"/>
      <c r="L425" s="3402"/>
      <c r="M425" s="3402"/>
      <c r="N425" s="3402"/>
    </row>
    <row r="426" spans="1:14">
      <c r="A426" s="3400"/>
      <c r="B426" s="3071">
        <v>20</v>
      </c>
      <c r="C426" s="3071" t="s">
        <v>4081</v>
      </c>
      <c r="D426" s="3118" t="s">
        <v>4082</v>
      </c>
      <c r="E426" s="3071">
        <v>44.59</v>
      </c>
      <c r="F426" s="3071">
        <v>420000</v>
      </c>
      <c r="G426" s="3070" t="s">
        <v>3174</v>
      </c>
      <c r="H426" s="3070" t="s">
        <v>3174</v>
      </c>
      <c r="I426" s="3070">
        <f t="shared" si="6"/>
        <v>9419</v>
      </c>
      <c r="J426" s="3402"/>
      <c r="K426" s="3402"/>
      <c r="L426" s="3402"/>
      <c r="M426" s="3402"/>
      <c r="N426" s="3402"/>
    </row>
    <row r="427" spans="1:14" ht="24">
      <c r="A427" s="3398">
        <v>86</v>
      </c>
      <c r="B427" s="3071">
        <v>20</v>
      </c>
      <c r="C427" s="3072" t="s">
        <v>3551</v>
      </c>
      <c r="D427" s="3118" t="s">
        <v>4083</v>
      </c>
      <c r="E427" s="3119">
        <v>133.79</v>
      </c>
      <c r="F427" s="3119">
        <v>7900031</v>
      </c>
      <c r="G427" s="3070" t="s">
        <v>3173</v>
      </c>
      <c r="H427" s="3070" t="s">
        <v>3058</v>
      </c>
      <c r="I427" s="3070">
        <f t="shared" si="6"/>
        <v>59048</v>
      </c>
      <c r="J427" s="3402"/>
      <c r="K427" s="3402"/>
      <c r="L427" s="3402"/>
      <c r="M427" s="3402"/>
      <c r="N427" s="3402"/>
    </row>
    <row r="428" spans="1:14" ht="24">
      <c r="A428" s="3399"/>
      <c r="B428" s="3071">
        <v>20</v>
      </c>
      <c r="C428" s="3072" t="s">
        <v>3553</v>
      </c>
      <c r="D428" s="3118" t="s">
        <v>4084</v>
      </c>
      <c r="E428" s="3119">
        <v>84.29</v>
      </c>
      <c r="F428" s="3119">
        <v>2528700</v>
      </c>
      <c r="G428" s="3070" t="s">
        <v>3501</v>
      </c>
      <c r="H428" s="3070" t="s">
        <v>3230</v>
      </c>
      <c r="I428" s="3070">
        <f t="shared" si="6"/>
        <v>30000</v>
      </c>
      <c r="J428" s="3402"/>
      <c r="K428" s="3402"/>
      <c r="L428" s="3402"/>
      <c r="M428" s="3402"/>
      <c r="N428" s="3402"/>
    </row>
    <row r="429" spans="1:14">
      <c r="A429" s="3399"/>
      <c r="B429" s="3071">
        <v>20</v>
      </c>
      <c r="C429" s="3072">
        <v>-206</v>
      </c>
      <c r="D429" s="3118" t="s">
        <v>4085</v>
      </c>
      <c r="E429" s="3119">
        <v>99.8</v>
      </c>
      <c r="F429" s="3119">
        <v>2994000</v>
      </c>
      <c r="G429" s="3070" t="s">
        <v>3503</v>
      </c>
      <c r="H429" s="3070" t="s">
        <v>3230</v>
      </c>
      <c r="I429" s="3070">
        <f t="shared" si="6"/>
        <v>30000</v>
      </c>
      <c r="J429" s="3402"/>
      <c r="K429" s="3402"/>
      <c r="L429" s="3402"/>
      <c r="M429" s="3402"/>
      <c r="N429" s="3402"/>
    </row>
    <row r="430" spans="1:14">
      <c r="A430" s="3399"/>
      <c r="B430" s="3071">
        <v>20</v>
      </c>
      <c r="C430" s="3071" t="s">
        <v>4086</v>
      </c>
      <c r="D430" s="3118" t="s">
        <v>4087</v>
      </c>
      <c r="E430" s="3071">
        <v>44.59</v>
      </c>
      <c r="F430" s="3071">
        <v>420000</v>
      </c>
      <c r="G430" s="3070" t="s">
        <v>3174</v>
      </c>
      <c r="H430" s="3070" t="s">
        <v>3174</v>
      </c>
      <c r="I430" s="3070">
        <f t="shared" si="6"/>
        <v>9419</v>
      </c>
      <c r="J430" s="3402"/>
      <c r="K430" s="3402"/>
      <c r="L430" s="3402"/>
      <c r="M430" s="3402"/>
      <c r="N430" s="3402"/>
    </row>
    <row r="431" spans="1:14">
      <c r="A431" s="3400"/>
      <c r="B431" s="3071">
        <v>20</v>
      </c>
      <c r="C431" s="3071" t="s">
        <v>4088</v>
      </c>
      <c r="D431" s="3118" t="s">
        <v>4089</v>
      </c>
      <c r="E431" s="3071">
        <v>44.59</v>
      </c>
      <c r="F431" s="3071">
        <v>420000</v>
      </c>
      <c r="G431" s="3070" t="s">
        <v>3174</v>
      </c>
      <c r="H431" s="3070" t="s">
        <v>3174</v>
      </c>
      <c r="I431" s="3070">
        <f t="shared" ref="I431:I484" si="7">ROUND(F431/E431,0)</f>
        <v>9419</v>
      </c>
      <c r="J431" s="3403"/>
      <c r="K431" s="3403"/>
      <c r="L431" s="3403"/>
      <c r="M431" s="3403"/>
      <c r="N431" s="3403"/>
    </row>
    <row r="432" spans="1:14" ht="24">
      <c r="A432" s="3398">
        <v>87</v>
      </c>
      <c r="B432" s="3071">
        <v>21</v>
      </c>
      <c r="C432" s="3072" t="s">
        <v>3508</v>
      </c>
      <c r="D432" s="3118" t="s">
        <v>4090</v>
      </c>
      <c r="E432" s="3119">
        <v>133.88999999999999</v>
      </c>
      <c r="F432" s="3119">
        <v>8506433</v>
      </c>
      <c r="G432" s="3070" t="s">
        <v>3173</v>
      </c>
      <c r="H432" s="3070" t="s">
        <v>3058</v>
      </c>
      <c r="I432" s="3070">
        <f t="shared" si="7"/>
        <v>63533</v>
      </c>
      <c r="J432" s="3401">
        <v>4</v>
      </c>
      <c r="K432" s="3401">
        <v>4</v>
      </c>
      <c r="L432" s="3401">
        <f>E432+E437+E442+E447</f>
        <v>535.94000000000005</v>
      </c>
      <c r="M432" s="3401">
        <f>E433+E434+E438+E439+E443+E444+E448+E449</f>
        <v>735.14</v>
      </c>
      <c r="N432" s="3401">
        <f>L432+M432</f>
        <v>1271.08</v>
      </c>
    </row>
    <row r="433" spans="1:14" ht="24">
      <c r="A433" s="3399"/>
      <c r="B433" s="3071">
        <v>21</v>
      </c>
      <c r="C433" s="3072" t="s">
        <v>3510</v>
      </c>
      <c r="D433" s="3118" t="s">
        <v>4091</v>
      </c>
      <c r="E433" s="3119">
        <v>84.05</v>
      </c>
      <c r="F433" s="3119">
        <v>2521500</v>
      </c>
      <c r="G433" s="3070" t="s">
        <v>3501</v>
      </c>
      <c r="H433" s="3070" t="s">
        <v>3230</v>
      </c>
      <c r="I433" s="3070">
        <f t="shared" si="7"/>
        <v>30000</v>
      </c>
      <c r="J433" s="3402"/>
      <c r="K433" s="3402"/>
      <c r="L433" s="3402"/>
      <c r="M433" s="3402"/>
      <c r="N433" s="3402"/>
    </row>
    <row r="434" spans="1:14">
      <c r="A434" s="3399"/>
      <c r="B434" s="3071">
        <v>21</v>
      </c>
      <c r="C434" s="3072">
        <v>-201</v>
      </c>
      <c r="D434" s="3118" t="s">
        <v>4092</v>
      </c>
      <c r="E434" s="3119">
        <v>99.1</v>
      </c>
      <c r="F434" s="3119">
        <v>2973000</v>
      </c>
      <c r="G434" s="3070" t="s">
        <v>3503</v>
      </c>
      <c r="H434" s="3070" t="s">
        <v>3230</v>
      </c>
      <c r="I434" s="3070">
        <f t="shared" si="7"/>
        <v>30000</v>
      </c>
      <c r="J434" s="3402"/>
      <c r="K434" s="3402"/>
      <c r="L434" s="3402"/>
      <c r="M434" s="3402"/>
      <c r="N434" s="3402"/>
    </row>
    <row r="435" spans="1:14">
      <c r="A435" s="3399"/>
      <c r="B435" s="3071">
        <v>21</v>
      </c>
      <c r="C435" s="3071" t="s">
        <v>3910</v>
      </c>
      <c r="D435" s="3118" t="s">
        <v>4093</v>
      </c>
      <c r="E435" s="3071"/>
      <c r="F435" s="3071"/>
      <c r="G435" s="3070" t="s">
        <v>3912</v>
      </c>
      <c r="H435" s="3070" t="s">
        <v>3174</v>
      </c>
      <c r="I435" s="3070" t="e">
        <f t="shared" si="7"/>
        <v>#DIV/0!</v>
      </c>
      <c r="J435" s="3402"/>
      <c r="K435" s="3402"/>
      <c r="L435" s="3402"/>
      <c r="M435" s="3402"/>
      <c r="N435" s="3402"/>
    </row>
    <row r="436" spans="1:14">
      <c r="A436" s="3400"/>
      <c r="B436" s="3071">
        <v>21</v>
      </c>
      <c r="C436" s="3071" t="s">
        <v>3910</v>
      </c>
      <c r="D436" s="3118" t="s">
        <v>4093</v>
      </c>
      <c r="E436" s="3071"/>
      <c r="F436" s="3071"/>
      <c r="G436" s="3070" t="s">
        <v>3912</v>
      </c>
      <c r="H436" s="3070" t="s">
        <v>3174</v>
      </c>
      <c r="I436" s="3070" t="e">
        <f t="shared" si="7"/>
        <v>#DIV/0!</v>
      </c>
      <c r="J436" s="3402"/>
      <c r="K436" s="3402"/>
      <c r="L436" s="3402"/>
      <c r="M436" s="3402"/>
      <c r="N436" s="3402"/>
    </row>
    <row r="437" spans="1:14" ht="24">
      <c r="A437" s="3398">
        <v>88</v>
      </c>
      <c r="B437" s="3071">
        <v>21</v>
      </c>
      <c r="C437" s="3072" t="s">
        <v>3497</v>
      </c>
      <c r="D437" s="3118" t="s">
        <v>4094</v>
      </c>
      <c r="E437" s="3119">
        <v>134.08000000000001</v>
      </c>
      <c r="F437" s="3119">
        <v>7968508</v>
      </c>
      <c r="G437" s="3070" t="s">
        <v>3173</v>
      </c>
      <c r="H437" s="3070" t="s">
        <v>3058</v>
      </c>
      <c r="I437" s="3070">
        <f t="shared" si="7"/>
        <v>59431</v>
      </c>
      <c r="J437" s="3402"/>
      <c r="K437" s="3402"/>
      <c r="L437" s="3402"/>
      <c r="M437" s="3402"/>
      <c r="N437" s="3402"/>
    </row>
    <row r="438" spans="1:14" ht="24">
      <c r="A438" s="3399"/>
      <c r="B438" s="3071">
        <v>21</v>
      </c>
      <c r="C438" s="3072" t="s">
        <v>3499</v>
      </c>
      <c r="D438" s="3118" t="s">
        <v>4095</v>
      </c>
      <c r="E438" s="3119">
        <v>84.46</v>
      </c>
      <c r="F438" s="3119">
        <v>2533800</v>
      </c>
      <c r="G438" s="3070" t="s">
        <v>3501</v>
      </c>
      <c r="H438" s="3070" t="s">
        <v>3230</v>
      </c>
      <c r="I438" s="3070">
        <f t="shared" si="7"/>
        <v>30000</v>
      </c>
      <c r="J438" s="3402"/>
      <c r="K438" s="3402"/>
      <c r="L438" s="3402"/>
      <c r="M438" s="3402"/>
      <c r="N438" s="3402"/>
    </row>
    <row r="439" spans="1:14">
      <c r="A439" s="3399"/>
      <c r="B439" s="3071">
        <v>21</v>
      </c>
      <c r="C439" s="3072">
        <v>-202</v>
      </c>
      <c r="D439" s="3118" t="s">
        <v>4096</v>
      </c>
      <c r="E439" s="3119">
        <v>99.96</v>
      </c>
      <c r="F439" s="3119">
        <v>2998800</v>
      </c>
      <c r="G439" s="3070" t="s">
        <v>3503</v>
      </c>
      <c r="H439" s="3070" t="s">
        <v>3230</v>
      </c>
      <c r="I439" s="3070">
        <f t="shared" si="7"/>
        <v>30000</v>
      </c>
      <c r="J439" s="3402"/>
      <c r="K439" s="3402"/>
      <c r="L439" s="3402"/>
      <c r="M439" s="3402"/>
      <c r="N439" s="3402"/>
    </row>
    <row r="440" spans="1:14">
      <c r="A440" s="3399"/>
      <c r="B440" s="3071">
        <v>21</v>
      </c>
      <c r="C440" s="3071" t="s">
        <v>3910</v>
      </c>
      <c r="D440" s="3118" t="s">
        <v>4093</v>
      </c>
      <c r="E440" s="3071"/>
      <c r="F440" s="3071"/>
      <c r="G440" s="3070" t="s">
        <v>3912</v>
      </c>
      <c r="H440" s="3070" t="s">
        <v>3174</v>
      </c>
      <c r="I440" s="3070" t="e">
        <f t="shared" si="7"/>
        <v>#DIV/0!</v>
      </c>
      <c r="J440" s="3402"/>
      <c r="K440" s="3402"/>
      <c r="L440" s="3402"/>
      <c r="M440" s="3402"/>
      <c r="N440" s="3402"/>
    </row>
    <row r="441" spans="1:14">
      <c r="A441" s="3400"/>
      <c r="B441" s="3071">
        <v>21</v>
      </c>
      <c r="C441" s="3071" t="s">
        <v>3910</v>
      </c>
      <c r="D441" s="3118" t="s">
        <v>4093</v>
      </c>
      <c r="E441" s="3071"/>
      <c r="F441" s="3071"/>
      <c r="G441" s="3070" t="s">
        <v>3912</v>
      </c>
      <c r="H441" s="3070" t="s">
        <v>3174</v>
      </c>
      <c r="I441" s="3070" t="e">
        <f t="shared" si="7"/>
        <v>#DIV/0!</v>
      </c>
      <c r="J441" s="3402"/>
      <c r="K441" s="3402"/>
      <c r="L441" s="3402"/>
      <c r="M441" s="3402"/>
      <c r="N441" s="3402"/>
    </row>
    <row r="442" spans="1:14" ht="24">
      <c r="A442" s="3398">
        <v>89</v>
      </c>
      <c r="B442" s="3071">
        <v>21</v>
      </c>
      <c r="C442" s="3072" t="s">
        <v>3524</v>
      </c>
      <c r="D442" s="3118" t="s">
        <v>4097</v>
      </c>
      <c r="E442" s="3119">
        <v>133.88999999999999</v>
      </c>
      <c r="F442" s="3119">
        <v>8506433</v>
      </c>
      <c r="G442" s="3070" t="s">
        <v>3173</v>
      </c>
      <c r="H442" s="3070" t="s">
        <v>3058</v>
      </c>
      <c r="I442" s="3070">
        <f t="shared" si="7"/>
        <v>63533</v>
      </c>
      <c r="J442" s="3402"/>
      <c r="K442" s="3402"/>
      <c r="L442" s="3402"/>
      <c r="M442" s="3402"/>
      <c r="N442" s="3402"/>
    </row>
    <row r="443" spans="1:14" ht="24">
      <c r="A443" s="3399"/>
      <c r="B443" s="3071">
        <v>21</v>
      </c>
      <c r="C443" s="3072" t="s">
        <v>3526</v>
      </c>
      <c r="D443" s="3118" t="s">
        <v>4098</v>
      </c>
      <c r="E443" s="3119">
        <v>84.05</v>
      </c>
      <c r="F443" s="3119">
        <v>2521500</v>
      </c>
      <c r="G443" s="3070" t="s">
        <v>3501</v>
      </c>
      <c r="H443" s="3070" t="s">
        <v>3230</v>
      </c>
      <c r="I443" s="3070">
        <f t="shared" si="7"/>
        <v>30000</v>
      </c>
      <c r="J443" s="3402"/>
      <c r="K443" s="3402"/>
      <c r="L443" s="3402"/>
      <c r="M443" s="3402"/>
      <c r="N443" s="3402"/>
    </row>
    <row r="444" spans="1:14">
      <c r="A444" s="3399"/>
      <c r="B444" s="3071">
        <v>21</v>
      </c>
      <c r="C444" s="3072">
        <v>-203</v>
      </c>
      <c r="D444" s="3118" t="s">
        <v>4099</v>
      </c>
      <c r="E444" s="3119">
        <v>99.1</v>
      </c>
      <c r="F444" s="3119">
        <v>2973000</v>
      </c>
      <c r="G444" s="3070" t="s">
        <v>3503</v>
      </c>
      <c r="H444" s="3070" t="s">
        <v>3230</v>
      </c>
      <c r="I444" s="3070">
        <f t="shared" si="7"/>
        <v>30000</v>
      </c>
      <c r="J444" s="3402"/>
      <c r="K444" s="3402"/>
      <c r="L444" s="3402"/>
      <c r="M444" s="3402"/>
      <c r="N444" s="3402"/>
    </row>
    <row r="445" spans="1:14">
      <c r="A445" s="3399"/>
      <c r="B445" s="3071">
        <v>21</v>
      </c>
      <c r="C445" s="3071" t="s">
        <v>4100</v>
      </c>
      <c r="D445" s="3118" t="s">
        <v>4101</v>
      </c>
      <c r="E445" s="3071">
        <v>44.59</v>
      </c>
      <c r="F445" s="3071">
        <v>420000</v>
      </c>
      <c r="G445" s="3070" t="s">
        <v>3174</v>
      </c>
      <c r="H445" s="3070" t="s">
        <v>3174</v>
      </c>
      <c r="I445" s="3070">
        <f t="shared" si="7"/>
        <v>9419</v>
      </c>
      <c r="J445" s="3402"/>
      <c r="K445" s="3402"/>
      <c r="L445" s="3402"/>
      <c r="M445" s="3402"/>
      <c r="N445" s="3402"/>
    </row>
    <row r="446" spans="1:14">
      <c r="A446" s="3400"/>
      <c r="B446" s="3071">
        <v>21</v>
      </c>
      <c r="C446" s="3071" t="s">
        <v>4102</v>
      </c>
      <c r="D446" s="3118" t="s">
        <v>4103</v>
      </c>
      <c r="E446" s="3071">
        <v>44.59</v>
      </c>
      <c r="F446" s="3071">
        <v>420000</v>
      </c>
      <c r="G446" s="3070" t="s">
        <v>3174</v>
      </c>
      <c r="H446" s="3070" t="s">
        <v>3174</v>
      </c>
      <c r="I446" s="3070">
        <f t="shared" si="7"/>
        <v>9419</v>
      </c>
      <c r="J446" s="3402"/>
      <c r="K446" s="3402"/>
      <c r="L446" s="3402"/>
      <c r="M446" s="3402"/>
      <c r="N446" s="3402"/>
    </row>
    <row r="447" spans="1:14" ht="24">
      <c r="A447" s="3398">
        <v>90</v>
      </c>
      <c r="B447" s="3071">
        <v>21</v>
      </c>
      <c r="C447" s="3072" t="s">
        <v>3533</v>
      </c>
      <c r="D447" s="3118" t="s">
        <v>4104</v>
      </c>
      <c r="E447" s="3119">
        <v>134.08000000000001</v>
      </c>
      <c r="F447" s="3119">
        <v>7918496</v>
      </c>
      <c r="G447" s="3070" t="s">
        <v>3173</v>
      </c>
      <c r="H447" s="3070" t="s">
        <v>3058</v>
      </c>
      <c r="I447" s="3070">
        <f t="shared" si="7"/>
        <v>59058</v>
      </c>
      <c r="J447" s="3402"/>
      <c r="K447" s="3402"/>
      <c r="L447" s="3402"/>
      <c r="M447" s="3402"/>
      <c r="N447" s="3402"/>
    </row>
    <row r="448" spans="1:14" ht="24">
      <c r="A448" s="3399"/>
      <c r="B448" s="3071">
        <v>21</v>
      </c>
      <c r="C448" s="3072" t="s">
        <v>3535</v>
      </c>
      <c r="D448" s="3118" t="s">
        <v>4105</v>
      </c>
      <c r="E448" s="3119">
        <v>84.46</v>
      </c>
      <c r="F448" s="3119">
        <v>2533800</v>
      </c>
      <c r="G448" s="3070" t="s">
        <v>3501</v>
      </c>
      <c r="H448" s="3070" t="s">
        <v>3230</v>
      </c>
      <c r="I448" s="3070">
        <f t="shared" si="7"/>
        <v>30000</v>
      </c>
      <c r="J448" s="3402"/>
      <c r="K448" s="3402"/>
      <c r="L448" s="3402"/>
      <c r="M448" s="3402"/>
      <c r="N448" s="3402"/>
    </row>
    <row r="449" spans="1:14">
      <c r="A449" s="3399"/>
      <c r="B449" s="3071">
        <v>21</v>
      </c>
      <c r="C449" s="3072">
        <v>-204</v>
      </c>
      <c r="D449" s="3118" t="s">
        <v>4106</v>
      </c>
      <c r="E449" s="3119">
        <v>99.96</v>
      </c>
      <c r="F449" s="3119">
        <v>2998800</v>
      </c>
      <c r="G449" s="3070" t="s">
        <v>3503</v>
      </c>
      <c r="H449" s="3070" t="s">
        <v>3230</v>
      </c>
      <c r="I449" s="3070">
        <f t="shared" si="7"/>
        <v>30000</v>
      </c>
      <c r="J449" s="3402"/>
      <c r="K449" s="3402"/>
      <c r="L449" s="3402"/>
      <c r="M449" s="3402"/>
      <c r="N449" s="3402"/>
    </row>
    <row r="450" spans="1:14">
      <c r="A450" s="3399"/>
      <c r="B450" s="3071">
        <v>21</v>
      </c>
      <c r="C450" s="3071" t="s">
        <v>4107</v>
      </c>
      <c r="D450" s="3118" t="s">
        <v>4108</v>
      </c>
      <c r="E450" s="3071">
        <v>44.59</v>
      </c>
      <c r="F450" s="3071">
        <v>420000</v>
      </c>
      <c r="G450" s="3070" t="s">
        <v>3174</v>
      </c>
      <c r="H450" s="3070" t="s">
        <v>3174</v>
      </c>
      <c r="I450" s="3070">
        <f t="shared" si="7"/>
        <v>9419</v>
      </c>
      <c r="J450" s="3402"/>
      <c r="K450" s="3402"/>
      <c r="L450" s="3402"/>
      <c r="M450" s="3402"/>
      <c r="N450" s="3402"/>
    </row>
    <row r="451" spans="1:14">
      <c r="A451" s="3400"/>
      <c r="B451" s="3071">
        <v>21</v>
      </c>
      <c r="C451" s="3071" t="s">
        <v>4109</v>
      </c>
      <c r="D451" s="3118" t="s">
        <v>4110</v>
      </c>
      <c r="E451" s="3071">
        <v>44.59</v>
      </c>
      <c r="F451" s="3071">
        <v>420000</v>
      </c>
      <c r="G451" s="3070" t="s">
        <v>3174</v>
      </c>
      <c r="H451" s="3070" t="s">
        <v>3174</v>
      </c>
      <c r="I451" s="3070">
        <f t="shared" si="7"/>
        <v>9419</v>
      </c>
      <c r="J451" s="3403"/>
      <c r="K451" s="3403"/>
      <c r="L451" s="3403"/>
      <c r="M451" s="3403"/>
      <c r="N451" s="3403"/>
    </row>
    <row r="452" spans="1:14" ht="24">
      <c r="A452" s="3398">
        <v>91</v>
      </c>
      <c r="B452" s="3071">
        <v>22</v>
      </c>
      <c r="C452" s="3072" t="s">
        <v>3497</v>
      </c>
      <c r="D452" s="3118" t="s">
        <v>4111</v>
      </c>
      <c r="E452" s="3119">
        <v>133.81</v>
      </c>
      <c r="F452" s="3119">
        <v>7801390</v>
      </c>
      <c r="G452" s="3070" t="s">
        <v>3173</v>
      </c>
      <c r="H452" s="3070" t="s">
        <v>3058</v>
      </c>
      <c r="I452" s="3070">
        <f t="shared" si="7"/>
        <v>58302</v>
      </c>
      <c r="J452" s="3401">
        <v>4</v>
      </c>
      <c r="K452" s="3401">
        <v>2</v>
      </c>
      <c r="L452" s="3401">
        <f>E452+E457</f>
        <v>267.62</v>
      </c>
      <c r="M452" s="3401">
        <f>E453+E454+E458+E459</f>
        <v>336.74</v>
      </c>
      <c r="N452" s="3401">
        <f>L452+M452</f>
        <v>604.36</v>
      </c>
    </row>
    <row r="453" spans="1:14" ht="24">
      <c r="A453" s="3399"/>
      <c r="B453" s="3071">
        <v>22</v>
      </c>
      <c r="C453" s="3072" t="s">
        <v>3499</v>
      </c>
      <c r="D453" s="3118" t="s">
        <v>4112</v>
      </c>
      <c r="E453" s="3119">
        <v>84.29</v>
      </c>
      <c r="F453" s="3119">
        <v>2528700</v>
      </c>
      <c r="G453" s="3070" t="s">
        <v>3501</v>
      </c>
      <c r="H453" s="3070" t="s">
        <v>3230</v>
      </c>
      <c r="I453" s="3070">
        <f t="shared" si="7"/>
        <v>30000</v>
      </c>
      <c r="J453" s="3402"/>
      <c r="K453" s="3402"/>
      <c r="L453" s="3402"/>
      <c r="M453" s="3402"/>
      <c r="N453" s="3402"/>
    </row>
    <row r="454" spans="1:14">
      <c r="A454" s="3399"/>
      <c r="B454" s="3071">
        <v>22</v>
      </c>
      <c r="C454" s="3072">
        <v>-202</v>
      </c>
      <c r="D454" s="3118" t="s">
        <v>4113</v>
      </c>
      <c r="E454" s="3119">
        <v>84.08</v>
      </c>
      <c r="F454" s="3119">
        <v>2522400</v>
      </c>
      <c r="G454" s="3070" t="s">
        <v>3503</v>
      </c>
      <c r="H454" s="3070" t="s">
        <v>3230</v>
      </c>
      <c r="I454" s="3070">
        <f t="shared" si="7"/>
        <v>30000</v>
      </c>
      <c r="J454" s="3402"/>
      <c r="K454" s="3402"/>
      <c r="L454" s="3402"/>
      <c r="M454" s="3402"/>
      <c r="N454" s="3402"/>
    </row>
    <row r="455" spans="1:14">
      <c r="A455" s="3399"/>
      <c r="B455" s="3071">
        <v>22</v>
      </c>
      <c r="C455" s="3071" t="s">
        <v>4114</v>
      </c>
      <c r="D455" s="3118" t="s">
        <v>4115</v>
      </c>
      <c r="E455" s="3071">
        <v>44.59</v>
      </c>
      <c r="F455" s="3071">
        <v>420000</v>
      </c>
      <c r="G455" s="3070" t="s">
        <v>3174</v>
      </c>
      <c r="H455" s="3070" t="s">
        <v>3174</v>
      </c>
      <c r="I455" s="3070">
        <f t="shared" si="7"/>
        <v>9419</v>
      </c>
      <c r="J455" s="3402"/>
      <c r="K455" s="3402"/>
      <c r="L455" s="3402"/>
      <c r="M455" s="3402"/>
      <c r="N455" s="3402"/>
    </row>
    <row r="456" spans="1:14">
      <c r="A456" s="3400"/>
      <c r="B456" s="3071">
        <v>22</v>
      </c>
      <c r="C456" s="3071" t="s">
        <v>4116</v>
      </c>
      <c r="D456" s="3118" t="s">
        <v>4117</v>
      </c>
      <c r="E456" s="3071">
        <v>44.59</v>
      </c>
      <c r="F456" s="3071">
        <v>420000</v>
      </c>
      <c r="G456" s="3070" t="s">
        <v>3174</v>
      </c>
      <c r="H456" s="3070" t="s">
        <v>3174</v>
      </c>
      <c r="I456" s="3070">
        <f t="shared" si="7"/>
        <v>9419</v>
      </c>
      <c r="J456" s="3402"/>
      <c r="K456" s="3402"/>
      <c r="L456" s="3402"/>
      <c r="M456" s="3402"/>
      <c r="N456" s="3402"/>
    </row>
    <row r="457" spans="1:14" ht="24">
      <c r="A457" s="3398">
        <v>92</v>
      </c>
      <c r="B457" s="3071">
        <v>22</v>
      </c>
      <c r="C457" s="3072" t="s">
        <v>3533</v>
      </c>
      <c r="D457" s="3118" t="s">
        <v>4118</v>
      </c>
      <c r="E457" s="3119">
        <v>133.81</v>
      </c>
      <c r="F457" s="3119">
        <v>8051347</v>
      </c>
      <c r="G457" s="3070" t="s">
        <v>3173</v>
      </c>
      <c r="H457" s="3070" t="s">
        <v>3058</v>
      </c>
      <c r="I457" s="3070">
        <f t="shared" si="7"/>
        <v>60170</v>
      </c>
      <c r="J457" s="3402"/>
      <c r="K457" s="3402"/>
      <c r="L457" s="3402"/>
      <c r="M457" s="3402"/>
      <c r="N457" s="3402"/>
    </row>
    <row r="458" spans="1:14" ht="24">
      <c r="A458" s="3399"/>
      <c r="B458" s="3071">
        <v>22</v>
      </c>
      <c r="C458" s="3072" t="s">
        <v>3535</v>
      </c>
      <c r="D458" s="3118" t="s">
        <v>4119</v>
      </c>
      <c r="E458" s="3119">
        <v>84.29</v>
      </c>
      <c r="F458" s="3119">
        <v>2528700</v>
      </c>
      <c r="G458" s="3070" t="s">
        <v>3501</v>
      </c>
      <c r="H458" s="3070" t="s">
        <v>3230</v>
      </c>
      <c r="I458" s="3070">
        <f t="shared" si="7"/>
        <v>30000</v>
      </c>
      <c r="J458" s="3402"/>
      <c r="K458" s="3402"/>
      <c r="L458" s="3402"/>
      <c r="M458" s="3402"/>
      <c r="N458" s="3402"/>
    </row>
    <row r="459" spans="1:14">
      <c r="A459" s="3399"/>
      <c r="B459" s="3071">
        <v>22</v>
      </c>
      <c r="C459" s="3072">
        <v>-204</v>
      </c>
      <c r="D459" s="3118" t="s">
        <v>4120</v>
      </c>
      <c r="E459" s="3119">
        <v>84.08</v>
      </c>
      <c r="F459" s="3119">
        <v>2522400</v>
      </c>
      <c r="G459" s="3070" t="s">
        <v>3503</v>
      </c>
      <c r="H459" s="3070" t="s">
        <v>3230</v>
      </c>
      <c r="I459" s="3070">
        <f t="shared" si="7"/>
        <v>30000</v>
      </c>
      <c r="J459" s="3402"/>
      <c r="K459" s="3402"/>
      <c r="L459" s="3402"/>
      <c r="M459" s="3402"/>
      <c r="N459" s="3402"/>
    </row>
    <row r="460" spans="1:14">
      <c r="A460" s="3399"/>
      <c r="B460" s="3071">
        <v>22</v>
      </c>
      <c r="C460" s="3071" t="s">
        <v>4121</v>
      </c>
      <c r="D460" s="3118" t="s">
        <v>4122</v>
      </c>
      <c r="E460" s="3071">
        <v>44.59</v>
      </c>
      <c r="F460" s="3071">
        <v>420000</v>
      </c>
      <c r="G460" s="3070" t="s">
        <v>3174</v>
      </c>
      <c r="H460" s="3070" t="s">
        <v>3174</v>
      </c>
      <c r="I460" s="3070">
        <f t="shared" si="7"/>
        <v>9419</v>
      </c>
      <c r="J460" s="3402"/>
      <c r="K460" s="3402"/>
      <c r="L460" s="3402"/>
      <c r="M460" s="3402"/>
      <c r="N460" s="3402"/>
    </row>
    <row r="461" spans="1:14">
      <c r="A461" s="3400"/>
      <c r="B461" s="3071">
        <v>22</v>
      </c>
      <c r="C461" s="3071" t="s">
        <v>4123</v>
      </c>
      <c r="D461" s="3118" t="s">
        <v>4124</v>
      </c>
      <c r="E461" s="3071">
        <v>44.59</v>
      </c>
      <c r="F461" s="3071">
        <v>420000</v>
      </c>
      <c r="G461" s="3070" t="s">
        <v>3174</v>
      </c>
      <c r="H461" s="3070" t="s">
        <v>3174</v>
      </c>
      <c r="I461" s="3070">
        <f t="shared" si="7"/>
        <v>9419</v>
      </c>
      <c r="J461" s="3403"/>
      <c r="K461" s="3403"/>
      <c r="L461" s="3403"/>
      <c r="M461" s="3403"/>
      <c r="N461" s="3403"/>
    </row>
    <row r="462" spans="1:14" ht="24">
      <c r="A462" s="3398">
        <v>93</v>
      </c>
      <c r="B462" s="3071">
        <v>23</v>
      </c>
      <c r="C462" s="3072" t="s">
        <v>3533</v>
      </c>
      <c r="D462" s="3118" t="s">
        <v>4125</v>
      </c>
      <c r="E462" s="3119">
        <v>133.4</v>
      </c>
      <c r="F462" s="3119">
        <v>7675302</v>
      </c>
      <c r="G462" s="3070" t="s">
        <v>3173</v>
      </c>
      <c r="H462" s="3070" t="s">
        <v>3058</v>
      </c>
      <c r="I462" s="3070">
        <f t="shared" si="7"/>
        <v>57536</v>
      </c>
      <c r="J462" s="3401">
        <v>8</v>
      </c>
      <c r="K462" s="3401">
        <v>2</v>
      </c>
      <c r="L462" s="3401">
        <f>+E462++E467</f>
        <v>266.8</v>
      </c>
      <c r="M462" s="3401">
        <f>+E463+E464++E468+E469</f>
        <v>335.79999999999995</v>
      </c>
      <c r="N462" s="3401">
        <f>L462+M462</f>
        <v>602.59999999999991</v>
      </c>
    </row>
    <row r="463" spans="1:14" ht="24">
      <c r="A463" s="3399"/>
      <c r="B463" s="3071">
        <v>23</v>
      </c>
      <c r="C463" s="3072" t="s">
        <v>3535</v>
      </c>
      <c r="D463" s="3118" t="s">
        <v>4126</v>
      </c>
      <c r="E463" s="3119">
        <v>84.02</v>
      </c>
      <c r="F463" s="3119">
        <v>2520600</v>
      </c>
      <c r="G463" s="3070" t="s">
        <v>3501</v>
      </c>
      <c r="H463" s="3070" t="s">
        <v>3230</v>
      </c>
      <c r="I463" s="3070">
        <f t="shared" si="7"/>
        <v>30000</v>
      </c>
      <c r="J463" s="3402"/>
      <c r="K463" s="3402"/>
      <c r="L463" s="3402"/>
      <c r="M463" s="3402"/>
      <c r="N463" s="3402"/>
    </row>
    <row r="464" spans="1:14">
      <c r="A464" s="3399"/>
      <c r="B464" s="3071">
        <v>23</v>
      </c>
      <c r="C464" s="3072">
        <v>-204</v>
      </c>
      <c r="D464" s="3118" t="s">
        <v>4127</v>
      </c>
      <c r="E464" s="3119">
        <v>83.88</v>
      </c>
      <c r="F464" s="3119">
        <v>2516400</v>
      </c>
      <c r="G464" s="3070" t="s">
        <v>3503</v>
      </c>
      <c r="H464" s="3070" t="s">
        <v>3230</v>
      </c>
      <c r="I464" s="3070">
        <f t="shared" si="7"/>
        <v>30000</v>
      </c>
      <c r="J464" s="3402"/>
      <c r="K464" s="3402"/>
      <c r="L464" s="3402"/>
      <c r="M464" s="3402"/>
      <c r="N464" s="3402"/>
    </row>
    <row r="465" spans="1:14">
      <c r="A465" s="3399"/>
      <c r="B465" s="3071">
        <v>23</v>
      </c>
      <c r="C465" s="3071" t="s">
        <v>4128</v>
      </c>
      <c r="D465" s="3118" t="s">
        <v>4129</v>
      </c>
      <c r="E465" s="3071">
        <v>44.59</v>
      </c>
      <c r="F465" s="3071">
        <v>420000</v>
      </c>
      <c r="G465" s="3070" t="s">
        <v>3174</v>
      </c>
      <c r="H465" s="3070" t="s">
        <v>3174</v>
      </c>
      <c r="I465" s="3070">
        <f t="shared" si="7"/>
        <v>9419</v>
      </c>
      <c r="J465" s="3402"/>
      <c r="K465" s="3402"/>
      <c r="L465" s="3402"/>
      <c r="M465" s="3402"/>
      <c r="N465" s="3402"/>
    </row>
    <row r="466" spans="1:14">
      <c r="A466" s="3400"/>
      <c r="B466" s="3071">
        <v>23</v>
      </c>
      <c r="C466" s="3071" t="s">
        <v>4130</v>
      </c>
      <c r="D466" s="3118" t="s">
        <v>4131</v>
      </c>
      <c r="E466" s="3071">
        <v>44.59</v>
      </c>
      <c r="F466" s="3071">
        <v>420000</v>
      </c>
      <c r="G466" s="3070" t="s">
        <v>3174</v>
      </c>
      <c r="H466" s="3070" t="s">
        <v>3174</v>
      </c>
      <c r="I466" s="3070">
        <f t="shared" si="7"/>
        <v>9419</v>
      </c>
      <c r="J466" s="3402"/>
      <c r="K466" s="3402"/>
      <c r="L466" s="3402"/>
      <c r="M466" s="3402"/>
      <c r="N466" s="3402"/>
    </row>
    <row r="467" spans="1:14" ht="24">
      <c r="A467" s="3398">
        <v>94</v>
      </c>
      <c r="B467" s="3071">
        <v>23</v>
      </c>
      <c r="C467" s="3072" t="s">
        <v>3611</v>
      </c>
      <c r="D467" s="3118" t="s">
        <v>4132</v>
      </c>
      <c r="E467" s="3119">
        <v>133.4</v>
      </c>
      <c r="F467" s="3119">
        <v>8225310</v>
      </c>
      <c r="G467" s="3070" t="s">
        <v>3173</v>
      </c>
      <c r="H467" s="3070" t="s">
        <v>3058</v>
      </c>
      <c r="I467" s="3070">
        <f t="shared" si="7"/>
        <v>61659</v>
      </c>
      <c r="J467" s="3402"/>
      <c r="K467" s="3402"/>
      <c r="L467" s="3402"/>
      <c r="M467" s="3402"/>
      <c r="N467" s="3402"/>
    </row>
    <row r="468" spans="1:14" ht="24">
      <c r="A468" s="3399"/>
      <c r="B468" s="3071">
        <v>23</v>
      </c>
      <c r="C468" s="3072" t="s">
        <v>3613</v>
      </c>
      <c r="D468" s="3118" t="s">
        <v>4133</v>
      </c>
      <c r="E468" s="3119">
        <v>84.02</v>
      </c>
      <c r="F468" s="3119">
        <v>2520600</v>
      </c>
      <c r="G468" s="3070" t="s">
        <v>3501</v>
      </c>
      <c r="H468" s="3070" t="s">
        <v>3230</v>
      </c>
      <c r="I468" s="3070">
        <f t="shared" si="7"/>
        <v>30000</v>
      </c>
      <c r="J468" s="3402"/>
      <c r="K468" s="3402"/>
      <c r="L468" s="3402"/>
      <c r="M468" s="3402"/>
      <c r="N468" s="3402"/>
    </row>
    <row r="469" spans="1:14">
      <c r="A469" s="3399"/>
      <c r="B469" s="3071">
        <v>23</v>
      </c>
      <c r="C469" s="3072">
        <v>-208</v>
      </c>
      <c r="D469" s="3118" t="s">
        <v>4134</v>
      </c>
      <c r="E469" s="3119">
        <v>83.88</v>
      </c>
      <c r="F469" s="3119">
        <v>2516400</v>
      </c>
      <c r="G469" s="3070" t="s">
        <v>3503</v>
      </c>
      <c r="H469" s="3070" t="s">
        <v>3230</v>
      </c>
      <c r="I469" s="3070">
        <f t="shared" si="7"/>
        <v>30000</v>
      </c>
      <c r="J469" s="3402"/>
      <c r="K469" s="3402"/>
      <c r="L469" s="3402"/>
      <c r="M469" s="3402"/>
      <c r="N469" s="3402"/>
    </row>
    <row r="470" spans="1:14">
      <c r="A470" s="3399"/>
      <c r="B470" s="3071">
        <v>23</v>
      </c>
      <c r="C470" s="3071" t="s">
        <v>4135</v>
      </c>
      <c r="D470" s="3118" t="s">
        <v>4136</v>
      </c>
      <c r="E470" s="3071">
        <v>44.59</v>
      </c>
      <c r="F470" s="3071">
        <v>420000</v>
      </c>
      <c r="G470" s="3070" t="s">
        <v>3174</v>
      </c>
      <c r="H470" s="3070" t="s">
        <v>3174</v>
      </c>
      <c r="I470" s="3070">
        <f t="shared" si="7"/>
        <v>9419</v>
      </c>
      <c r="J470" s="3402"/>
      <c r="K470" s="3402"/>
      <c r="L470" s="3402"/>
      <c r="M470" s="3402"/>
      <c r="N470" s="3402"/>
    </row>
    <row r="471" spans="1:14">
      <c r="A471" s="3400"/>
      <c r="B471" s="3071">
        <v>23</v>
      </c>
      <c r="C471" s="3071" t="s">
        <v>4137</v>
      </c>
      <c r="D471" s="3118" t="s">
        <v>4138</v>
      </c>
      <c r="E471" s="3071">
        <v>44.59</v>
      </c>
      <c r="F471" s="3071">
        <v>420000</v>
      </c>
      <c r="G471" s="3070" t="s">
        <v>3174</v>
      </c>
      <c r="H471" s="3070" t="s">
        <v>3174</v>
      </c>
      <c r="I471" s="3070">
        <f t="shared" si="7"/>
        <v>9419</v>
      </c>
      <c r="J471" s="3403"/>
      <c r="K471" s="3403"/>
      <c r="L471" s="3403"/>
      <c r="M471" s="3403"/>
      <c r="N471" s="3403"/>
    </row>
    <row r="472" spans="1:14" ht="24">
      <c r="A472" s="3398">
        <v>95</v>
      </c>
      <c r="B472" s="3071">
        <v>24</v>
      </c>
      <c r="C472" s="3072" t="s">
        <v>3524</v>
      </c>
      <c r="D472" s="3118" t="s">
        <v>4139</v>
      </c>
      <c r="E472" s="3119">
        <v>133.72999999999999</v>
      </c>
      <c r="F472" s="3119">
        <v>7596265</v>
      </c>
      <c r="G472" s="3070" t="s">
        <v>3173</v>
      </c>
      <c r="H472" s="3070" t="s">
        <v>3058</v>
      </c>
      <c r="I472" s="3070">
        <f t="shared" si="7"/>
        <v>56803</v>
      </c>
      <c r="J472" s="3401">
        <v>7</v>
      </c>
      <c r="K472" s="3401">
        <v>5</v>
      </c>
      <c r="L472" s="3401">
        <f>E472+E477+E482+E487+E492</f>
        <v>669.03</v>
      </c>
      <c r="M472" s="3401">
        <f>E473+E474+E478+E479+E483+E484+E488+E489+E493+E494</f>
        <v>841.01</v>
      </c>
      <c r="N472" s="3401">
        <f>L472+M472</f>
        <v>1510.04</v>
      </c>
    </row>
    <row r="473" spans="1:14" ht="24">
      <c r="A473" s="3399"/>
      <c r="B473" s="3071">
        <v>24</v>
      </c>
      <c r="C473" s="3072" t="s">
        <v>3526</v>
      </c>
      <c r="D473" s="3118" t="s">
        <v>4140</v>
      </c>
      <c r="E473" s="3119">
        <v>84.13</v>
      </c>
      <c r="F473" s="3119">
        <v>2523900</v>
      </c>
      <c r="G473" s="3070" t="s">
        <v>3501</v>
      </c>
      <c r="H473" s="3070" t="s">
        <v>3230</v>
      </c>
      <c r="I473" s="3070">
        <f t="shared" si="7"/>
        <v>30000</v>
      </c>
      <c r="J473" s="3402"/>
      <c r="K473" s="3402"/>
      <c r="L473" s="3402"/>
      <c r="M473" s="3402"/>
      <c r="N473" s="3402"/>
    </row>
    <row r="474" spans="1:14">
      <c r="A474" s="3399"/>
      <c r="B474" s="3071">
        <v>24</v>
      </c>
      <c r="C474" s="3072">
        <v>-203</v>
      </c>
      <c r="D474" s="3118" t="s">
        <v>4141</v>
      </c>
      <c r="E474" s="3119">
        <v>83.94</v>
      </c>
      <c r="F474" s="3119">
        <v>2518200</v>
      </c>
      <c r="G474" s="3070" t="s">
        <v>3503</v>
      </c>
      <c r="H474" s="3070" t="s">
        <v>3230</v>
      </c>
      <c r="I474" s="3070">
        <f t="shared" si="7"/>
        <v>30000</v>
      </c>
      <c r="J474" s="3402"/>
      <c r="K474" s="3402"/>
      <c r="L474" s="3402"/>
      <c r="M474" s="3402"/>
      <c r="N474" s="3402"/>
    </row>
    <row r="475" spans="1:14">
      <c r="A475" s="3399"/>
      <c r="B475" s="3071">
        <v>24</v>
      </c>
      <c r="C475" s="3071" t="s">
        <v>4142</v>
      </c>
      <c r="D475" s="3118" t="s">
        <v>4143</v>
      </c>
      <c r="E475" s="3071">
        <v>44.59</v>
      </c>
      <c r="F475" s="3071">
        <v>420000</v>
      </c>
      <c r="G475" s="3070" t="s">
        <v>3174</v>
      </c>
      <c r="H475" s="3070" t="s">
        <v>3174</v>
      </c>
      <c r="I475" s="3070">
        <f t="shared" si="7"/>
        <v>9419</v>
      </c>
      <c r="J475" s="3402"/>
      <c r="K475" s="3402"/>
      <c r="L475" s="3402"/>
      <c r="M475" s="3402"/>
      <c r="N475" s="3402"/>
    </row>
    <row r="476" spans="1:14">
      <c r="A476" s="3400"/>
      <c r="B476" s="3071">
        <v>24</v>
      </c>
      <c r="C476" s="3071" t="s">
        <v>4144</v>
      </c>
      <c r="D476" s="3118" t="s">
        <v>4145</v>
      </c>
      <c r="E476" s="3071">
        <v>44.59</v>
      </c>
      <c r="F476" s="3071">
        <v>420000</v>
      </c>
      <c r="G476" s="3070" t="s">
        <v>3174</v>
      </c>
      <c r="H476" s="3070" t="s">
        <v>3174</v>
      </c>
      <c r="I476" s="3070">
        <f t="shared" si="7"/>
        <v>9419</v>
      </c>
      <c r="J476" s="3402"/>
      <c r="K476" s="3402"/>
      <c r="L476" s="3402"/>
      <c r="M476" s="3402"/>
      <c r="N476" s="3402"/>
    </row>
    <row r="477" spans="1:14" ht="24">
      <c r="A477" s="3398">
        <v>96</v>
      </c>
      <c r="B477" s="3071">
        <v>24</v>
      </c>
      <c r="C477" s="3072" t="s">
        <v>3533</v>
      </c>
      <c r="D477" s="3118" t="s">
        <v>4146</v>
      </c>
      <c r="E477" s="3119">
        <v>133.91999999999999</v>
      </c>
      <c r="F477" s="3119">
        <v>7708301</v>
      </c>
      <c r="G477" s="3070" t="s">
        <v>3173</v>
      </c>
      <c r="H477" s="3070" t="s">
        <v>3058</v>
      </c>
      <c r="I477" s="3070">
        <f t="shared" si="7"/>
        <v>57559</v>
      </c>
      <c r="J477" s="3402"/>
      <c r="K477" s="3402"/>
      <c r="L477" s="3402"/>
      <c r="M477" s="3402"/>
      <c r="N477" s="3402"/>
    </row>
    <row r="478" spans="1:14" ht="24">
      <c r="A478" s="3399"/>
      <c r="B478" s="3071">
        <v>24</v>
      </c>
      <c r="C478" s="3072" t="s">
        <v>3535</v>
      </c>
      <c r="D478" s="3118" t="s">
        <v>4147</v>
      </c>
      <c r="E478" s="3119">
        <v>84.46</v>
      </c>
      <c r="F478" s="3119">
        <v>2533800</v>
      </c>
      <c r="G478" s="3070" t="s">
        <v>3501</v>
      </c>
      <c r="H478" s="3070" t="s">
        <v>3230</v>
      </c>
      <c r="I478" s="3070">
        <f t="shared" si="7"/>
        <v>30000</v>
      </c>
      <c r="J478" s="3402"/>
      <c r="K478" s="3402"/>
      <c r="L478" s="3402"/>
      <c r="M478" s="3402"/>
      <c r="N478" s="3402"/>
    </row>
    <row r="479" spans="1:14">
      <c r="A479" s="3399"/>
      <c r="B479" s="3071">
        <v>24</v>
      </c>
      <c r="C479" s="3072">
        <v>-204</v>
      </c>
      <c r="D479" s="3118" t="s">
        <v>4148</v>
      </c>
      <c r="E479" s="3119">
        <v>83.94</v>
      </c>
      <c r="F479" s="3119">
        <v>2518200</v>
      </c>
      <c r="G479" s="3070" t="s">
        <v>3503</v>
      </c>
      <c r="H479" s="3070" t="s">
        <v>3230</v>
      </c>
      <c r="I479" s="3070">
        <f t="shared" si="7"/>
        <v>30000</v>
      </c>
      <c r="J479" s="3402"/>
      <c r="K479" s="3402"/>
      <c r="L479" s="3402"/>
      <c r="M479" s="3402"/>
      <c r="N479" s="3402"/>
    </row>
    <row r="480" spans="1:14">
      <c r="A480" s="3399"/>
      <c r="B480" s="3071">
        <v>24</v>
      </c>
      <c r="C480" s="3071" t="s">
        <v>4149</v>
      </c>
      <c r="D480" s="3118" t="s">
        <v>4150</v>
      </c>
      <c r="E480" s="3071">
        <v>44.59</v>
      </c>
      <c r="F480" s="3071">
        <v>420000</v>
      </c>
      <c r="G480" s="3070" t="s">
        <v>3174</v>
      </c>
      <c r="H480" s="3070" t="s">
        <v>3174</v>
      </c>
      <c r="I480" s="3070">
        <f t="shared" si="7"/>
        <v>9419</v>
      </c>
      <c r="J480" s="3402"/>
      <c r="K480" s="3402"/>
      <c r="L480" s="3402"/>
      <c r="M480" s="3402"/>
      <c r="N480" s="3402"/>
    </row>
    <row r="481" spans="1:14">
      <c r="A481" s="3400"/>
      <c r="B481" s="3071">
        <v>24</v>
      </c>
      <c r="C481" s="3071" t="s">
        <v>4151</v>
      </c>
      <c r="D481" s="3118" t="s">
        <v>4152</v>
      </c>
      <c r="E481" s="3071">
        <v>44.66</v>
      </c>
      <c r="F481" s="3071">
        <v>420000</v>
      </c>
      <c r="G481" s="3070" t="s">
        <v>3174</v>
      </c>
      <c r="H481" s="3070" t="s">
        <v>3174</v>
      </c>
      <c r="I481" s="3070">
        <f t="shared" si="7"/>
        <v>9404</v>
      </c>
      <c r="J481" s="3402"/>
      <c r="K481" s="3402"/>
      <c r="L481" s="3402"/>
      <c r="M481" s="3402"/>
      <c r="N481" s="3402"/>
    </row>
    <row r="482" spans="1:14" ht="24">
      <c r="A482" s="3398">
        <v>97</v>
      </c>
      <c r="B482" s="3071">
        <v>24</v>
      </c>
      <c r="C482" s="3072" t="s">
        <v>3542</v>
      </c>
      <c r="D482" s="3118" t="s">
        <v>4153</v>
      </c>
      <c r="E482" s="3119">
        <v>133.72999999999999</v>
      </c>
      <c r="F482" s="3119">
        <v>8496268</v>
      </c>
      <c r="G482" s="3070" t="s">
        <v>3173</v>
      </c>
      <c r="H482" s="3070" t="s">
        <v>3058</v>
      </c>
      <c r="I482" s="3070">
        <f t="shared" si="7"/>
        <v>63533</v>
      </c>
      <c r="J482" s="3402"/>
      <c r="K482" s="3402"/>
      <c r="L482" s="3402"/>
      <c r="M482" s="3402"/>
      <c r="N482" s="3402"/>
    </row>
    <row r="483" spans="1:14" ht="24">
      <c r="A483" s="3399"/>
      <c r="B483" s="3071">
        <v>24</v>
      </c>
      <c r="C483" s="3072" t="s">
        <v>3544</v>
      </c>
      <c r="D483" s="3118" t="s">
        <v>4154</v>
      </c>
      <c r="E483" s="3119">
        <v>84.13</v>
      </c>
      <c r="F483" s="3119">
        <v>2523900</v>
      </c>
      <c r="G483" s="3070" t="s">
        <v>3501</v>
      </c>
      <c r="H483" s="3070" t="s">
        <v>3230</v>
      </c>
      <c r="I483" s="3070">
        <f t="shared" si="7"/>
        <v>30000</v>
      </c>
      <c r="J483" s="3402"/>
      <c r="K483" s="3402"/>
      <c r="L483" s="3402"/>
      <c r="M483" s="3402"/>
      <c r="N483" s="3402"/>
    </row>
    <row r="484" spans="1:14">
      <c r="A484" s="3399"/>
      <c r="B484" s="3071">
        <v>24</v>
      </c>
      <c r="C484" s="3072">
        <v>-205</v>
      </c>
      <c r="D484" s="3118" t="s">
        <v>4155</v>
      </c>
      <c r="E484" s="3119">
        <v>83.94</v>
      </c>
      <c r="F484" s="3119">
        <v>2518200</v>
      </c>
      <c r="G484" s="3070" t="s">
        <v>3503</v>
      </c>
      <c r="H484" s="3070" t="s">
        <v>3230</v>
      </c>
      <c r="I484" s="3070">
        <f t="shared" si="7"/>
        <v>30000</v>
      </c>
      <c r="J484" s="3402"/>
      <c r="K484" s="3402"/>
      <c r="L484" s="3402"/>
      <c r="M484" s="3402"/>
      <c r="N484" s="3402"/>
    </row>
    <row r="485" spans="1:14">
      <c r="A485" s="3399"/>
      <c r="B485" s="3071">
        <v>24</v>
      </c>
      <c r="C485" s="3071">
        <v>241</v>
      </c>
      <c r="D485" s="3118" t="s">
        <v>4156</v>
      </c>
      <c r="E485" s="3071">
        <v>44.59</v>
      </c>
      <c r="F485" s="3071">
        <v>420000</v>
      </c>
      <c r="G485" s="3070" t="s">
        <v>3174</v>
      </c>
      <c r="H485" s="3070" t="s">
        <v>3174</v>
      </c>
      <c r="I485" s="3070">
        <f t="shared" ref="I485:I548" si="8">ROUND(F485/E485,0)</f>
        <v>9419</v>
      </c>
      <c r="J485" s="3402"/>
      <c r="K485" s="3402"/>
      <c r="L485" s="3402"/>
      <c r="M485" s="3402"/>
      <c r="N485" s="3402"/>
    </row>
    <row r="486" spans="1:14">
      <c r="A486" s="3400"/>
      <c r="B486" s="3071">
        <v>24</v>
      </c>
      <c r="C486" s="3071" t="s">
        <v>4157</v>
      </c>
      <c r="D486" s="3118" t="s">
        <v>4158</v>
      </c>
      <c r="E486" s="3071">
        <v>44.59</v>
      </c>
      <c r="F486" s="3071">
        <v>420000</v>
      </c>
      <c r="G486" s="3070" t="s">
        <v>3174</v>
      </c>
      <c r="H486" s="3070" t="s">
        <v>3174</v>
      </c>
      <c r="I486" s="3070">
        <f t="shared" si="8"/>
        <v>9419</v>
      </c>
      <c r="J486" s="3402"/>
      <c r="K486" s="3402"/>
      <c r="L486" s="3402"/>
      <c r="M486" s="3402"/>
      <c r="N486" s="3402"/>
    </row>
    <row r="487" spans="1:14" ht="24">
      <c r="A487" s="3398">
        <v>98</v>
      </c>
      <c r="B487" s="3071">
        <v>24</v>
      </c>
      <c r="C487" s="3072" t="s">
        <v>3551</v>
      </c>
      <c r="D487" s="3118" t="s">
        <v>4159</v>
      </c>
      <c r="E487" s="3119">
        <v>133.72999999999999</v>
      </c>
      <c r="F487" s="3119">
        <v>7696295</v>
      </c>
      <c r="G487" s="3070" t="s">
        <v>3173</v>
      </c>
      <c r="H487" s="3070" t="s">
        <v>3058</v>
      </c>
      <c r="I487" s="3070">
        <f t="shared" si="8"/>
        <v>57551</v>
      </c>
      <c r="J487" s="3402"/>
      <c r="K487" s="3402"/>
      <c r="L487" s="3402"/>
      <c r="M487" s="3402"/>
      <c r="N487" s="3402"/>
    </row>
    <row r="488" spans="1:14" ht="24">
      <c r="A488" s="3399"/>
      <c r="B488" s="3071">
        <v>24</v>
      </c>
      <c r="C488" s="3072" t="s">
        <v>3553</v>
      </c>
      <c r="D488" s="3118" t="s">
        <v>4160</v>
      </c>
      <c r="E488" s="3119">
        <v>84.13</v>
      </c>
      <c r="F488" s="3119">
        <v>2523900</v>
      </c>
      <c r="G488" s="3070" t="s">
        <v>3501</v>
      </c>
      <c r="H488" s="3070" t="s">
        <v>3230</v>
      </c>
      <c r="I488" s="3070">
        <f t="shared" si="8"/>
        <v>30000</v>
      </c>
      <c r="J488" s="3402"/>
      <c r="K488" s="3402"/>
      <c r="L488" s="3402"/>
      <c r="M488" s="3402"/>
      <c r="N488" s="3402"/>
    </row>
    <row r="489" spans="1:14">
      <c r="A489" s="3399"/>
      <c r="B489" s="3071">
        <v>24</v>
      </c>
      <c r="C489" s="3072">
        <v>-206</v>
      </c>
      <c r="D489" s="3118" t="s">
        <v>4161</v>
      </c>
      <c r="E489" s="3119">
        <v>83.94</v>
      </c>
      <c r="F489" s="3119">
        <v>2518200</v>
      </c>
      <c r="G489" s="3070" t="s">
        <v>3503</v>
      </c>
      <c r="H489" s="3070" t="s">
        <v>3230</v>
      </c>
      <c r="I489" s="3070">
        <f t="shared" si="8"/>
        <v>30000</v>
      </c>
      <c r="J489" s="3402"/>
      <c r="K489" s="3402"/>
      <c r="L489" s="3402"/>
      <c r="M489" s="3402"/>
      <c r="N489" s="3402"/>
    </row>
    <row r="490" spans="1:14">
      <c r="A490" s="3399"/>
      <c r="B490" s="3071">
        <v>24</v>
      </c>
      <c r="C490" s="3071" t="s">
        <v>4162</v>
      </c>
      <c r="D490" s="3118" t="s">
        <v>4163</v>
      </c>
      <c r="E490" s="3071">
        <v>44.59</v>
      </c>
      <c r="F490" s="3071">
        <v>420000</v>
      </c>
      <c r="G490" s="3070" t="s">
        <v>3174</v>
      </c>
      <c r="H490" s="3070" t="s">
        <v>3174</v>
      </c>
      <c r="I490" s="3070">
        <f t="shared" si="8"/>
        <v>9419</v>
      </c>
      <c r="J490" s="3402"/>
      <c r="K490" s="3402"/>
      <c r="L490" s="3402"/>
      <c r="M490" s="3402"/>
      <c r="N490" s="3402"/>
    </row>
    <row r="491" spans="1:14">
      <c r="A491" s="3400"/>
      <c r="B491" s="3071">
        <v>24</v>
      </c>
      <c r="C491" s="3071" t="s">
        <v>4164</v>
      </c>
      <c r="D491" s="3118" t="s">
        <v>4165</v>
      </c>
      <c r="E491" s="3071">
        <v>44.59</v>
      </c>
      <c r="F491" s="3071">
        <v>420000</v>
      </c>
      <c r="G491" s="3070" t="s">
        <v>3174</v>
      </c>
      <c r="H491" s="3070" t="s">
        <v>3174</v>
      </c>
      <c r="I491" s="3070">
        <f t="shared" si="8"/>
        <v>9419</v>
      </c>
      <c r="J491" s="3402"/>
      <c r="K491" s="3402"/>
      <c r="L491" s="3402"/>
      <c r="M491" s="3402"/>
      <c r="N491" s="3402"/>
    </row>
    <row r="492" spans="1:14" ht="24">
      <c r="A492" s="3398">
        <v>99</v>
      </c>
      <c r="B492" s="3071">
        <v>24</v>
      </c>
      <c r="C492" s="3072" t="s">
        <v>3560</v>
      </c>
      <c r="D492" s="3118" t="s">
        <v>4166</v>
      </c>
      <c r="E492" s="3119">
        <v>133.91999999999999</v>
      </c>
      <c r="F492" s="3119">
        <v>7808339</v>
      </c>
      <c r="G492" s="3070" t="s">
        <v>3173</v>
      </c>
      <c r="H492" s="3070" t="s">
        <v>3058</v>
      </c>
      <c r="I492" s="3070">
        <f t="shared" si="8"/>
        <v>58306</v>
      </c>
      <c r="J492" s="3402"/>
      <c r="K492" s="3402"/>
      <c r="L492" s="3402"/>
      <c r="M492" s="3402"/>
      <c r="N492" s="3402"/>
    </row>
    <row r="493" spans="1:14" ht="24">
      <c r="A493" s="3399"/>
      <c r="B493" s="3071">
        <v>24</v>
      </c>
      <c r="C493" s="3072" t="s">
        <v>3562</v>
      </c>
      <c r="D493" s="3118" t="s">
        <v>4167</v>
      </c>
      <c r="E493" s="3119">
        <v>84.46</v>
      </c>
      <c r="F493" s="3119">
        <v>2533800</v>
      </c>
      <c r="G493" s="3070" t="s">
        <v>3501</v>
      </c>
      <c r="H493" s="3070" t="s">
        <v>3230</v>
      </c>
      <c r="I493" s="3070">
        <f t="shared" si="8"/>
        <v>30000</v>
      </c>
      <c r="J493" s="3402"/>
      <c r="K493" s="3402"/>
      <c r="L493" s="3402"/>
      <c r="M493" s="3402"/>
      <c r="N493" s="3402"/>
    </row>
    <row r="494" spans="1:14">
      <c r="A494" s="3399"/>
      <c r="B494" s="3071">
        <v>24</v>
      </c>
      <c r="C494" s="3072">
        <v>-207</v>
      </c>
      <c r="D494" s="3118" t="s">
        <v>4168</v>
      </c>
      <c r="E494" s="3119">
        <v>83.94</v>
      </c>
      <c r="F494" s="3119">
        <v>2518200</v>
      </c>
      <c r="G494" s="3070" t="s">
        <v>3503</v>
      </c>
      <c r="H494" s="3070" t="s">
        <v>3230</v>
      </c>
      <c r="I494" s="3070">
        <f t="shared" si="8"/>
        <v>30000</v>
      </c>
      <c r="J494" s="3402"/>
      <c r="K494" s="3402"/>
      <c r="L494" s="3402"/>
      <c r="M494" s="3402"/>
      <c r="N494" s="3402"/>
    </row>
    <row r="495" spans="1:14">
      <c r="A495" s="3399"/>
      <c r="B495" s="3071">
        <v>24</v>
      </c>
      <c r="C495" s="3071" t="s">
        <v>4169</v>
      </c>
      <c r="D495" s="3118" t="s">
        <v>4170</v>
      </c>
      <c r="E495" s="3071">
        <v>44.59</v>
      </c>
      <c r="F495" s="3071">
        <v>420000</v>
      </c>
      <c r="G495" s="3070" t="s">
        <v>3174</v>
      </c>
      <c r="H495" s="3070" t="s">
        <v>3174</v>
      </c>
      <c r="I495" s="3070">
        <f t="shared" si="8"/>
        <v>9419</v>
      </c>
      <c r="J495" s="3402"/>
      <c r="K495" s="3402"/>
      <c r="L495" s="3402"/>
      <c r="M495" s="3402"/>
      <c r="N495" s="3402"/>
    </row>
    <row r="496" spans="1:14">
      <c r="A496" s="3400"/>
      <c r="B496" s="3071">
        <v>24</v>
      </c>
      <c r="C496" s="3071" t="s">
        <v>4171</v>
      </c>
      <c r="D496" s="3118" t="s">
        <v>4172</v>
      </c>
      <c r="E496" s="3071">
        <v>44.59</v>
      </c>
      <c r="F496" s="3071">
        <v>420000</v>
      </c>
      <c r="G496" s="3070" t="s">
        <v>3174</v>
      </c>
      <c r="H496" s="3070" t="s">
        <v>3174</v>
      </c>
      <c r="I496" s="3070">
        <f t="shared" si="8"/>
        <v>9419</v>
      </c>
      <c r="J496" s="3403"/>
      <c r="K496" s="3403"/>
      <c r="L496" s="3403"/>
      <c r="M496" s="3403"/>
      <c r="N496" s="3403"/>
    </row>
    <row r="497" spans="1:14" ht="24">
      <c r="A497" s="3398">
        <v>100</v>
      </c>
      <c r="B497" s="3071">
        <v>25</v>
      </c>
      <c r="C497" s="3072" t="s">
        <v>3508</v>
      </c>
      <c r="D497" s="3118" t="s">
        <v>4173</v>
      </c>
      <c r="E497" s="3119">
        <v>133.71</v>
      </c>
      <c r="F497" s="3119">
        <v>8494997</v>
      </c>
      <c r="G497" s="3070" t="s">
        <v>3173</v>
      </c>
      <c r="H497" s="3070" t="s">
        <v>3058</v>
      </c>
      <c r="I497" s="3070">
        <f t="shared" si="8"/>
        <v>63533</v>
      </c>
      <c r="J497" s="3401">
        <v>4</v>
      </c>
      <c r="K497" s="3401">
        <v>1</v>
      </c>
      <c r="L497" s="3401">
        <f>E497</f>
        <v>133.71</v>
      </c>
      <c r="M497" s="3401">
        <f>E498+E499</f>
        <v>167.31</v>
      </c>
      <c r="N497" s="3401">
        <f>L497+M497</f>
        <v>301.02</v>
      </c>
    </row>
    <row r="498" spans="1:14" ht="24">
      <c r="A498" s="3399"/>
      <c r="B498" s="3071">
        <v>25</v>
      </c>
      <c r="C498" s="3072" t="s">
        <v>3510</v>
      </c>
      <c r="D498" s="3118" t="s">
        <v>4174</v>
      </c>
      <c r="E498" s="3119">
        <v>83.93</v>
      </c>
      <c r="F498" s="3119">
        <v>2517900</v>
      </c>
      <c r="G498" s="3070" t="s">
        <v>3501</v>
      </c>
      <c r="H498" s="3070" t="s">
        <v>3230</v>
      </c>
      <c r="I498" s="3070">
        <f t="shared" si="8"/>
        <v>30000</v>
      </c>
      <c r="J498" s="3402"/>
      <c r="K498" s="3402"/>
      <c r="L498" s="3402"/>
      <c r="M498" s="3402"/>
      <c r="N498" s="3402"/>
    </row>
    <row r="499" spans="1:14">
      <c r="A499" s="3399"/>
      <c r="B499" s="3071">
        <v>25</v>
      </c>
      <c r="C499" s="3072">
        <v>-201</v>
      </c>
      <c r="D499" s="3118" t="s">
        <v>4175</v>
      </c>
      <c r="E499" s="3119">
        <v>83.38</v>
      </c>
      <c r="F499" s="3119">
        <v>2501400</v>
      </c>
      <c r="G499" s="3070" t="s">
        <v>3503</v>
      </c>
      <c r="H499" s="3070" t="s">
        <v>3230</v>
      </c>
      <c r="I499" s="3070">
        <f t="shared" si="8"/>
        <v>30000</v>
      </c>
      <c r="J499" s="3402"/>
      <c r="K499" s="3402"/>
      <c r="L499" s="3402"/>
      <c r="M499" s="3402"/>
      <c r="N499" s="3402"/>
    </row>
    <row r="500" spans="1:14">
      <c r="A500" s="3399"/>
      <c r="B500" s="3071">
        <v>25</v>
      </c>
      <c r="C500" s="3071" t="s">
        <v>4176</v>
      </c>
      <c r="D500" s="3118" t="s">
        <v>4177</v>
      </c>
      <c r="E500" s="3071">
        <v>44.59</v>
      </c>
      <c r="F500" s="3071">
        <v>420000</v>
      </c>
      <c r="G500" s="3070" t="s">
        <v>3174</v>
      </c>
      <c r="H500" s="3070" t="s">
        <v>3174</v>
      </c>
      <c r="I500" s="3070">
        <f t="shared" si="8"/>
        <v>9419</v>
      </c>
      <c r="J500" s="3402"/>
      <c r="K500" s="3402"/>
      <c r="L500" s="3402"/>
      <c r="M500" s="3402"/>
      <c r="N500" s="3402"/>
    </row>
    <row r="501" spans="1:14">
      <c r="A501" s="3400"/>
      <c r="B501" s="3071">
        <v>25</v>
      </c>
      <c r="C501" s="3071" t="s">
        <v>4178</v>
      </c>
      <c r="D501" s="3118" t="s">
        <v>4179</v>
      </c>
      <c r="E501" s="3071">
        <v>44.59</v>
      </c>
      <c r="F501" s="3071">
        <v>420000</v>
      </c>
      <c r="G501" s="3070" t="s">
        <v>3174</v>
      </c>
      <c r="H501" s="3070" t="s">
        <v>3174</v>
      </c>
      <c r="I501" s="3070">
        <f t="shared" si="8"/>
        <v>9419</v>
      </c>
      <c r="J501" s="3403"/>
      <c r="K501" s="3403"/>
      <c r="L501" s="3403"/>
      <c r="M501" s="3403"/>
      <c r="N501" s="3403"/>
    </row>
    <row r="502" spans="1:14" ht="24">
      <c r="A502" s="3398">
        <v>101</v>
      </c>
      <c r="B502" s="3071">
        <v>26</v>
      </c>
      <c r="C502" s="3072" t="s">
        <v>3508</v>
      </c>
      <c r="D502" s="3118" t="s">
        <v>4180</v>
      </c>
      <c r="E502" s="3119">
        <v>134.29</v>
      </c>
      <c r="F502" s="3119">
        <v>8531846</v>
      </c>
      <c r="G502" s="3070" t="s">
        <v>3173</v>
      </c>
      <c r="H502" s="3070" t="s">
        <v>3058</v>
      </c>
      <c r="I502" s="3070">
        <f t="shared" si="8"/>
        <v>63533</v>
      </c>
      <c r="J502" s="3401">
        <v>5</v>
      </c>
      <c r="K502" s="3401">
        <v>3</v>
      </c>
      <c r="L502" s="3401">
        <f>E502+E507+E512</f>
        <v>403.05999999999995</v>
      </c>
      <c r="M502" s="3401">
        <f>E503+E504+E508+E509+E513+E514</f>
        <v>524.77</v>
      </c>
      <c r="N502" s="3401">
        <f>L502+M502</f>
        <v>927.82999999999993</v>
      </c>
    </row>
    <row r="503" spans="1:14" ht="24">
      <c r="A503" s="3399"/>
      <c r="B503" s="3071">
        <v>26</v>
      </c>
      <c r="C503" s="3072" t="s">
        <v>3510</v>
      </c>
      <c r="D503" s="3118" t="s">
        <v>4181</v>
      </c>
      <c r="E503" s="3119">
        <v>84.45</v>
      </c>
      <c r="F503" s="3119">
        <v>2533500</v>
      </c>
      <c r="G503" s="3070" t="s">
        <v>3501</v>
      </c>
      <c r="H503" s="3070" t="s">
        <v>3230</v>
      </c>
      <c r="I503" s="3070">
        <f t="shared" si="8"/>
        <v>30000</v>
      </c>
      <c r="J503" s="3402"/>
      <c r="K503" s="3402"/>
      <c r="L503" s="3402"/>
      <c r="M503" s="3402"/>
      <c r="N503" s="3402"/>
    </row>
    <row r="504" spans="1:14">
      <c r="A504" s="3399"/>
      <c r="B504" s="3071">
        <v>26</v>
      </c>
      <c r="C504" s="3072">
        <v>-201</v>
      </c>
      <c r="D504" s="3118" t="s">
        <v>4182</v>
      </c>
      <c r="E504" s="3119">
        <v>90.38</v>
      </c>
      <c r="F504" s="3119">
        <v>2711400</v>
      </c>
      <c r="G504" s="3070" t="s">
        <v>3503</v>
      </c>
      <c r="H504" s="3070" t="s">
        <v>3230</v>
      </c>
      <c r="I504" s="3070">
        <f t="shared" si="8"/>
        <v>30000</v>
      </c>
      <c r="J504" s="3402"/>
      <c r="K504" s="3402"/>
      <c r="L504" s="3402"/>
      <c r="M504" s="3402"/>
      <c r="N504" s="3402"/>
    </row>
    <row r="505" spans="1:14">
      <c r="A505" s="3399"/>
      <c r="B505" s="3071">
        <v>26</v>
      </c>
      <c r="C505" s="3071" t="s">
        <v>4183</v>
      </c>
      <c r="D505" s="3118" t="s">
        <v>4184</v>
      </c>
      <c r="E505" s="3071">
        <v>44.59</v>
      </c>
      <c r="F505" s="3071">
        <v>420000</v>
      </c>
      <c r="G505" s="3070" t="s">
        <v>3174</v>
      </c>
      <c r="H505" s="3070" t="s">
        <v>3174</v>
      </c>
      <c r="I505" s="3070">
        <f t="shared" si="8"/>
        <v>9419</v>
      </c>
      <c r="J505" s="3402"/>
      <c r="K505" s="3402"/>
      <c r="L505" s="3402"/>
      <c r="M505" s="3402"/>
      <c r="N505" s="3402"/>
    </row>
    <row r="506" spans="1:14">
      <c r="A506" s="3400"/>
      <c r="B506" s="3071">
        <v>26</v>
      </c>
      <c r="C506" s="3071" t="s">
        <v>4185</v>
      </c>
      <c r="D506" s="3118" t="s">
        <v>4186</v>
      </c>
      <c r="E506" s="3071">
        <v>44.59</v>
      </c>
      <c r="F506" s="3071">
        <v>420000</v>
      </c>
      <c r="G506" s="3070" t="s">
        <v>3174</v>
      </c>
      <c r="H506" s="3070" t="s">
        <v>3174</v>
      </c>
      <c r="I506" s="3070">
        <f t="shared" si="8"/>
        <v>9419</v>
      </c>
      <c r="J506" s="3402"/>
      <c r="K506" s="3402"/>
      <c r="L506" s="3402"/>
      <c r="M506" s="3402"/>
      <c r="N506" s="3402"/>
    </row>
    <row r="507" spans="1:14" ht="24">
      <c r="A507" s="3398">
        <v>102</v>
      </c>
      <c r="B507" s="3071">
        <v>26</v>
      </c>
      <c r="C507" s="3072" t="s">
        <v>3497</v>
      </c>
      <c r="D507" s="3118" t="s">
        <v>4187</v>
      </c>
      <c r="E507" s="3119">
        <v>134.47999999999999</v>
      </c>
      <c r="F507" s="3119">
        <v>7893976</v>
      </c>
      <c r="G507" s="3070" t="s">
        <v>3173</v>
      </c>
      <c r="H507" s="3070" t="s">
        <v>3058</v>
      </c>
      <c r="I507" s="3070">
        <f t="shared" si="8"/>
        <v>58700</v>
      </c>
      <c r="J507" s="3402"/>
      <c r="K507" s="3402"/>
      <c r="L507" s="3402"/>
      <c r="M507" s="3402"/>
      <c r="N507" s="3402"/>
    </row>
    <row r="508" spans="1:14" ht="24">
      <c r="A508" s="3399"/>
      <c r="B508" s="3071">
        <v>26</v>
      </c>
      <c r="C508" s="3072" t="s">
        <v>3499</v>
      </c>
      <c r="D508" s="3118" t="s">
        <v>4188</v>
      </c>
      <c r="E508" s="3119">
        <v>84.73</v>
      </c>
      <c r="F508" s="3119">
        <v>2541900</v>
      </c>
      <c r="G508" s="3070" t="s">
        <v>3501</v>
      </c>
      <c r="H508" s="3070" t="s">
        <v>3230</v>
      </c>
      <c r="I508" s="3070">
        <f t="shared" si="8"/>
        <v>30000</v>
      </c>
      <c r="J508" s="3402"/>
      <c r="K508" s="3402"/>
      <c r="L508" s="3402"/>
      <c r="M508" s="3402"/>
      <c r="N508" s="3402"/>
    </row>
    <row r="509" spans="1:14">
      <c r="A509" s="3399"/>
      <c r="B509" s="3071">
        <v>26</v>
      </c>
      <c r="C509" s="3072">
        <v>-202</v>
      </c>
      <c r="D509" s="3118" t="s">
        <v>4189</v>
      </c>
      <c r="E509" s="3119">
        <v>90.38</v>
      </c>
      <c r="F509" s="3119">
        <v>2711400</v>
      </c>
      <c r="G509" s="3070" t="s">
        <v>3503</v>
      </c>
      <c r="H509" s="3070" t="s">
        <v>3230</v>
      </c>
      <c r="I509" s="3070">
        <f t="shared" si="8"/>
        <v>30000</v>
      </c>
      <c r="J509" s="3402"/>
      <c r="K509" s="3402"/>
      <c r="L509" s="3402"/>
      <c r="M509" s="3402"/>
      <c r="N509" s="3402"/>
    </row>
    <row r="510" spans="1:14">
      <c r="A510" s="3399"/>
      <c r="B510" s="3071">
        <v>26</v>
      </c>
      <c r="C510" s="3071" t="s">
        <v>3910</v>
      </c>
      <c r="D510" s="3118" t="s">
        <v>4190</v>
      </c>
      <c r="E510" s="3071"/>
      <c r="F510" s="3071"/>
      <c r="G510" s="3070" t="s">
        <v>3912</v>
      </c>
      <c r="H510" s="3070" t="s">
        <v>3174</v>
      </c>
      <c r="I510" s="3070" t="e">
        <f t="shared" si="8"/>
        <v>#DIV/0!</v>
      </c>
      <c r="J510" s="3402"/>
      <c r="K510" s="3402"/>
      <c r="L510" s="3402"/>
      <c r="M510" s="3402"/>
      <c r="N510" s="3402"/>
    </row>
    <row r="511" spans="1:14">
      <c r="A511" s="3400"/>
      <c r="B511" s="3071">
        <v>26</v>
      </c>
      <c r="C511" s="3071" t="s">
        <v>3910</v>
      </c>
      <c r="D511" s="3118" t="s">
        <v>4190</v>
      </c>
      <c r="E511" s="3071"/>
      <c r="F511" s="3071"/>
      <c r="G511" s="3070" t="s">
        <v>3912</v>
      </c>
      <c r="H511" s="3070" t="s">
        <v>3174</v>
      </c>
      <c r="I511" s="3070" t="e">
        <f t="shared" si="8"/>
        <v>#DIV/0!</v>
      </c>
      <c r="J511" s="3402"/>
      <c r="K511" s="3402"/>
      <c r="L511" s="3402"/>
      <c r="M511" s="3402"/>
      <c r="N511" s="3402"/>
    </row>
    <row r="512" spans="1:14" ht="24">
      <c r="A512" s="3398">
        <v>103</v>
      </c>
      <c r="B512" s="3071">
        <v>26</v>
      </c>
      <c r="C512" s="3072" t="s">
        <v>3533</v>
      </c>
      <c r="D512" s="3118" t="s">
        <v>4191</v>
      </c>
      <c r="E512" s="3119">
        <v>134.29</v>
      </c>
      <c r="F512" s="3119">
        <v>7731881</v>
      </c>
      <c r="G512" s="3070" t="s">
        <v>3173</v>
      </c>
      <c r="H512" s="3070" t="s">
        <v>3058</v>
      </c>
      <c r="I512" s="3070">
        <f t="shared" si="8"/>
        <v>57576</v>
      </c>
      <c r="J512" s="3402"/>
      <c r="K512" s="3402"/>
      <c r="L512" s="3402"/>
      <c r="M512" s="3402"/>
      <c r="N512" s="3402"/>
    </row>
    <row r="513" spans="1:14" ht="24">
      <c r="A513" s="3399"/>
      <c r="B513" s="3071">
        <v>26</v>
      </c>
      <c r="C513" s="3072" t="s">
        <v>3535</v>
      </c>
      <c r="D513" s="3118" t="s">
        <v>4192</v>
      </c>
      <c r="E513" s="3119">
        <v>84.45</v>
      </c>
      <c r="F513" s="3119">
        <v>2533500</v>
      </c>
      <c r="G513" s="3070" t="s">
        <v>3501</v>
      </c>
      <c r="H513" s="3070" t="s">
        <v>3230</v>
      </c>
      <c r="I513" s="3070">
        <f t="shared" si="8"/>
        <v>30000</v>
      </c>
      <c r="J513" s="3402"/>
      <c r="K513" s="3402"/>
      <c r="L513" s="3402"/>
      <c r="M513" s="3402"/>
      <c r="N513" s="3402"/>
    </row>
    <row r="514" spans="1:14">
      <c r="A514" s="3399"/>
      <c r="B514" s="3071">
        <v>26</v>
      </c>
      <c r="C514" s="3072">
        <v>-204</v>
      </c>
      <c r="D514" s="3118" t="s">
        <v>4193</v>
      </c>
      <c r="E514" s="3119">
        <v>90.38</v>
      </c>
      <c r="F514" s="3119">
        <v>2711400</v>
      </c>
      <c r="G514" s="3070" t="s">
        <v>3503</v>
      </c>
      <c r="H514" s="3070" t="s">
        <v>3230</v>
      </c>
      <c r="I514" s="3070">
        <f t="shared" si="8"/>
        <v>30000</v>
      </c>
      <c r="J514" s="3402"/>
      <c r="K514" s="3402"/>
      <c r="L514" s="3402"/>
      <c r="M514" s="3402"/>
      <c r="N514" s="3402"/>
    </row>
    <row r="515" spans="1:14">
      <c r="A515" s="3399"/>
      <c r="B515" s="3071">
        <v>26</v>
      </c>
      <c r="C515" s="3071" t="s">
        <v>3175</v>
      </c>
      <c r="D515" s="3118" t="s">
        <v>4194</v>
      </c>
      <c r="E515" s="3071">
        <v>44.59</v>
      </c>
      <c r="F515" s="3071">
        <v>420000</v>
      </c>
      <c r="G515" s="3070" t="s">
        <v>3174</v>
      </c>
      <c r="H515" s="3070" t="s">
        <v>3174</v>
      </c>
      <c r="I515" s="3070">
        <f t="shared" si="8"/>
        <v>9419</v>
      </c>
      <c r="J515" s="3402"/>
      <c r="K515" s="3402"/>
      <c r="L515" s="3402"/>
      <c r="M515" s="3402"/>
      <c r="N515" s="3402"/>
    </row>
    <row r="516" spans="1:14">
      <c r="A516" s="3400"/>
      <c r="B516" s="3071">
        <v>26</v>
      </c>
      <c r="C516" s="3071" t="s">
        <v>3176</v>
      </c>
      <c r="D516" s="3118" t="s">
        <v>4195</v>
      </c>
      <c r="E516" s="3071">
        <v>44.59</v>
      </c>
      <c r="F516" s="3071">
        <v>420000</v>
      </c>
      <c r="G516" s="3070" t="s">
        <v>3174</v>
      </c>
      <c r="H516" s="3070" t="s">
        <v>3174</v>
      </c>
      <c r="I516" s="3070">
        <f t="shared" si="8"/>
        <v>9419</v>
      </c>
      <c r="J516" s="3403"/>
      <c r="K516" s="3403"/>
      <c r="L516" s="3403"/>
      <c r="M516" s="3403"/>
      <c r="N516" s="3403"/>
    </row>
    <row r="517" spans="1:14" ht="24">
      <c r="A517" s="3398">
        <v>104</v>
      </c>
      <c r="B517" s="3071">
        <v>27</v>
      </c>
      <c r="C517" s="3072" t="s">
        <v>3508</v>
      </c>
      <c r="D517" s="3118" t="s">
        <v>4196</v>
      </c>
      <c r="E517" s="3119">
        <v>133.69</v>
      </c>
      <c r="F517" s="3119">
        <v>8493726</v>
      </c>
      <c r="G517" s="3070" t="s">
        <v>3173</v>
      </c>
      <c r="H517" s="3070" t="s">
        <v>3058</v>
      </c>
      <c r="I517" s="3070">
        <f t="shared" si="8"/>
        <v>63533</v>
      </c>
      <c r="J517" s="3401">
        <v>6</v>
      </c>
      <c r="K517" s="3401">
        <v>6</v>
      </c>
      <c r="L517" s="3401">
        <f>E517+E522+E527+E532+E537+E542</f>
        <v>802.50000000000011</v>
      </c>
      <c r="M517" s="3401">
        <f>E518+E519+E523+E524+E528+E529+E533+E534+E538+E539+E543+E544</f>
        <v>1101.78</v>
      </c>
      <c r="N517" s="3401">
        <f>L517+M517</f>
        <v>1904.2800000000002</v>
      </c>
    </row>
    <row r="518" spans="1:14" ht="24">
      <c r="A518" s="3399"/>
      <c r="B518" s="3071">
        <v>27</v>
      </c>
      <c r="C518" s="3072" t="s">
        <v>3510</v>
      </c>
      <c r="D518" s="3118" t="s">
        <v>4197</v>
      </c>
      <c r="E518" s="3119">
        <v>83.92</v>
      </c>
      <c r="F518" s="3119">
        <v>2517600</v>
      </c>
      <c r="G518" s="3070" t="s">
        <v>3501</v>
      </c>
      <c r="H518" s="3070" t="s">
        <v>3230</v>
      </c>
      <c r="I518" s="3070">
        <f t="shared" si="8"/>
        <v>30000</v>
      </c>
      <c r="J518" s="3402"/>
      <c r="K518" s="3402"/>
      <c r="L518" s="3402"/>
      <c r="M518" s="3402"/>
      <c r="N518" s="3402"/>
    </row>
    <row r="519" spans="1:14">
      <c r="A519" s="3399"/>
      <c r="B519" s="3071">
        <v>27</v>
      </c>
      <c r="C519" s="3072">
        <v>-201</v>
      </c>
      <c r="D519" s="3118" t="s">
        <v>4198</v>
      </c>
      <c r="E519" s="3119">
        <v>98.96</v>
      </c>
      <c r="F519" s="3119">
        <v>2968800</v>
      </c>
      <c r="G519" s="3070" t="s">
        <v>3503</v>
      </c>
      <c r="H519" s="3070" t="s">
        <v>3230</v>
      </c>
      <c r="I519" s="3070">
        <f t="shared" si="8"/>
        <v>30000</v>
      </c>
      <c r="J519" s="3402"/>
      <c r="K519" s="3402"/>
      <c r="L519" s="3402"/>
      <c r="M519" s="3402"/>
      <c r="N519" s="3402"/>
    </row>
    <row r="520" spans="1:14">
      <c r="A520" s="3399"/>
      <c r="B520" s="3071">
        <v>27</v>
      </c>
      <c r="C520" s="3071" t="s">
        <v>3910</v>
      </c>
      <c r="D520" s="3118" t="s">
        <v>4199</v>
      </c>
      <c r="E520" s="3071"/>
      <c r="F520" s="3071"/>
      <c r="G520" s="3070" t="s">
        <v>3912</v>
      </c>
      <c r="H520" s="3070" t="s">
        <v>3174</v>
      </c>
      <c r="I520" s="3070" t="e">
        <f t="shared" si="8"/>
        <v>#DIV/0!</v>
      </c>
      <c r="J520" s="3402"/>
      <c r="K520" s="3402"/>
      <c r="L520" s="3402"/>
      <c r="M520" s="3402"/>
      <c r="N520" s="3402"/>
    </row>
    <row r="521" spans="1:14">
      <c r="A521" s="3400"/>
      <c r="B521" s="3071">
        <v>27</v>
      </c>
      <c r="C521" s="3071" t="s">
        <v>3910</v>
      </c>
      <c r="D521" s="3118" t="s">
        <v>4199</v>
      </c>
      <c r="E521" s="3071"/>
      <c r="F521" s="3071"/>
      <c r="G521" s="3070" t="s">
        <v>3912</v>
      </c>
      <c r="H521" s="3070" t="s">
        <v>3174</v>
      </c>
      <c r="I521" s="3070" t="e">
        <f t="shared" si="8"/>
        <v>#DIV/0!</v>
      </c>
      <c r="J521" s="3402"/>
      <c r="K521" s="3402"/>
      <c r="L521" s="3402"/>
      <c r="M521" s="3402"/>
      <c r="N521" s="3402"/>
    </row>
    <row r="522" spans="1:14" ht="24">
      <c r="A522" s="3398">
        <v>105</v>
      </c>
      <c r="B522" s="3071">
        <v>27</v>
      </c>
      <c r="C522" s="3072" t="s">
        <v>3497</v>
      </c>
      <c r="D522" s="3118" t="s">
        <v>4200</v>
      </c>
      <c r="E522" s="3119">
        <v>133.68</v>
      </c>
      <c r="F522" s="3119">
        <v>7743146</v>
      </c>
      <c r="G522" s="3070" t="s">
        <v>3173</v>
      </c>
      <c r="H522" s="3070" t="s">
        <v>3058</v>
      </c>
      <c r="I522" s="3070">
        <f t="shared" si="8"/>
        <v>57923</v>
      </c>
      <c r="J522" s="3402"/>
      <c r="K522" s="3402"/>
      <c r="L522" s="3402"/>
      <c r="M522" s="3402"/>
      <c r="N522" s="3402"/>
    </row>
    <row r="523" spans="1:14" ht="24">
      <c r="A523" s="3399"/>
      <c r="B523" s="3071">
        <v>27</v>
      </c>
      <c r="C523" s="3072" t="s">
        <v>3499</v>
      </c>
      <c r="D523" s="3118" t="s">
        <v>4201</v>
      </c>
      <c r="E523" s="3119">
        <v>84.06</v>
      </c>
      <c r="F523" s="3119">
        <v>2521800</v>
      </c>
      <c r="G523" s="3070" t="s">
        <v>3501</v>
      </c>
      <c r="H523" s="3070" t="s">
        <v>3230</v>
      </c>
      <c r="I523" s="3070">
        <f t="shared" si="8"/>
        <v>30000</v>
      </c>
      <c r="J523" s="3402"/>
      <c r="K523" s="3402"/>
      <c r="L523" s="3402"/>
      <c r="M523" s="3402"/>
      <c r="N523" s="3402"/>
    </row>
    <row r="524" spans="1:14">
      <c r="A524" s="3399"/>
      <c r="B524" s="3071">
        <v>27</v>
      </c>
      <c r="C524" s="3072">
        <v>-202</v>
      </c>
      <c r="D524" s="3118" t="s">
        <v>4202</v>
      </c>
      <c r="E524" s="3119">
        <v>99.81</v>
      </c>
      <c r="F524" s="3119">
        <v>2994300</v>
      </c>
      <c r="G524" s="3070" t="s">
        <v>3503</v>
      </c>
      <c r="H524" s="3070" t="s">
        <v>3230</v>
      </c>
      <c r="I524" s="3070">
        <f t="shared" si="8"/>
        <v>30000</v>
      </c>
      <c r="J524" s="3402"/>
      <c r="K524" s="3402"/>
      <c r="L524" s="3402"/>
      <c r="M524" s="3402"/>
      <c r="N524" s="3402"/>
    </row>
    <row r="525" spans="1:14">
      <c r="A525" s="3399"/>
      <c r="B525" s="3071">
        <v>27</v>
      </c>
      <c r="C525" s="3071" t="s">
        <v>3910</v>
      </c>
      <c r="D525" s="3118" t="s">
        <v>4199</v>
      </c>
      <c r="E525" s="3071"/>
      <c r="F525" s="3071"/>
      <c r="G525" s="3070" t="s">
        <v>3912</v>
      </c>
      <c r="H525" s="3070" t="s">
        <v>3174</v>
      </c>
      <c r="I525" s="3070" t="e">
        <f t="shared" si="8"/>
        <v>#DIV/0!</v>
      </c>
      <c r="J525" s="3402"/>
      <c r="K525" s="3402"/>
      <c r="L525" s="3402"/>
      <c r="M525" s="3402"/>
      <c r="N525" s="3402"/>
    </row>
    <row r="526" spans="1:14">
      <c r="A526" s="3400"/>
      <c r="B526" s="3071">
        <v>27</v>
      </c>
      <c r="C526" s="3071" t="s">
        <v>3910</v>
      </c>
      <c r="D526" s="3118" t="s">
        <v>4199</v>
      </c>
      <c r="E526" s="3071"/>
      <c r="F526" s="3071"/>
      <c r="G526" s="3070" t="s">
        <v>3912</v>
      </c>
      <c r="H526" s="3070" t="s">
        <v>3174</v>
      </c>
      <c r="I526" s="3070" t="e">
        <f t="shared" si="8"/>
        <v>#DIV/0!</v>
      </c>
      <c r="J526" s="3402"/>
      <c r="K526" s="3402"/>
      <c r="L526" s="3402"/>
      <c r="M526" s="3402"/>
      <c r="N526" s="3402"/>
    </row>
    <row r="527" spans="1:14" ht="24">
      <c r="A527" s="3398">
        <v>106</v>
      </c>
      <c r="B527" s="3071">
        <v>27</v>
      </c>
      <c r="C527" s="3072" t="s">
        <v>3524</v>
      </c>
      <c r="D527" s="3118" t="s">
        <v>4203</v>
      </c>
      <c r="E527" s="3119">
        <v>133.88</v>
      </c>
      <c r="F527" s="3119">
        <v>7855810</v>
      </c>
      <c r="G527" s="3070" t="s">
        <v>3173</v>
      </c>
      <c r="H527" s="3070" t="s">
        <v>3058</v>
      </c>
      <c r="I527" s="3070">
        <f t="shared" si="8"/>
        <v>58678</v>
      </c>
      <c r="J527" s="3402"/>
      <c r="K527" s="3402"/>
      <c r="L527" s="3402"/>
      <c r="M527" s="3402"/>
      <c r="N527" s="3402"/>
    </row>
    <row r="528" spans="1:14" ht="24">
      <c r="A528" s="3399"/>
      <c r="B528" s="3071">
        <v>27</v>
      </c>
      <c r="C528" s="3072" t="s">
        <v>3526</v>
      </c>
      <c r="D528" s="3118" t="s">
        <v>4204</v>
      </c>
      <c r="E528" s="3119">
        <v>84.33</v>
      </c>
      <c r="F528" s="3119">
        <v>2529900</v>
      </c>
      <c r="G528" s="3070" t="s">
        <v>3501</v>
      </c>
      <c r="H528" s="3070" t="s">
        <v>3230</v>
      </c>
      <c r="I528" s="3070">
        <f t="shared" si="8"/>
        <v>30000</v>
      </c>
      <c r="J528" s="3402"/>
      <c r="K528" s="3402"/>
      <c r="L528" s="3402"/>
      <c r="M528" s="3402"/>
      <c r="N528" s="3402"/>
    </row>
    <row r="529" spans="1:14">
      <c r="A529" s="3399"/>
      <c r="B529" s="3071">
        <v>27</v>
      </c>
      <c r="C529" s="3072">
        <v>-203</v>
      </c>
      <c r="D529" s="3118" t="s">
        <v>4205</v>
      </c>
      <c r="E529" s="3119">
        <v>99.81</v>
      </c>
      <c r="F529" s="3119">
        <v>2994300</v>
      </c>
      <c r="G529" s="3070" t="s">
        <v>3503</v>
      </c>
      <c r="H529" s="3070" t="s">
        <v>3230</v>
      </c>
      <c r="I529" s="3070">
        <f t="shared" si="8"/>
        <v>30000</v>
      </c>
      <c r="J529" s="3402"/>
      <c r="K529" s="3402"/>
      <c r="L529" s="3402"/>
      <c r="M529" s="3402"/>
      <c r="N529" s="3402"/>
    </row>
    <row r="530" spans="1:14">
      <c r="A530" s="3399"/>
      <c r="B530" s="3071">
        <v>27</v>
      </c>
      <c r="C530" s="3071" t="s">
        <v>3910</v>
      </c>
      <c r="D530" s="3118" t="s">
        <v>4199</v>
      </c>
      <c r="E530" s="3071"/>
      <c r="F530" s="3071"/>
      <c r="G530" s="3070" t="s">
        <v>3912</v>
      </c>
      <c r="H530" s="3070" t="s">
        <v>3174</v>
      </c>
      <c r="I530" s="3070" t="e">
        <f t="shared" si="8"/>
        <v>#DIV/0!</v>
      </c>
      <c r="J530" s="3402"/>
      <c r="K530" s="3402"/>
      <c r="L530" s="3402"/>
      <c r="M530" s="3402"/>
      <c r="N530" s="3402"/>
    </row>
    <row r="531" spans="1:14">
      <c r="A531" s="3400"/>
      <c r="B531" s="3071">
        <v>27</v>
      </c>
      <c r="C531" s="3071" t="s">
        <v>3910</v>
      </c>
      <c r="D531" s="3118" t="s">
        <v>4199</v>
      </c>
      <c r="E531" s="3071"/>
      <c r="F531" s="3071"/>
      <c r="G531" s="3070" t="s">
        <v>3912</v>
      </c>
      <c r="H531" s="3070" t="s">
        <v>3174</v>
      </c>
      <c r="I531" s="3070" t="e">
        <f t="shared" si="8"/>
        <v>#DIV/0!</v>
      </c>
      <c r="J531" s="3402"/>
      <c r="K531" s="3402"/>
      <c r="L531" s="3402"/>
      <c r="M531" s="3402"/>
      <c r="N531" s="3402"/>
    </row>
    <row r="532" spans="1:14" ht="24">
      <c r="A532" s="3398">
        <v>107</v>
      </c>
      <c r="B532" s="3071">
        <v>27</v>
      </c>
      <c r="C532" s="3072" t="s">
        <v>3533</v>
      </c>
      <c r="D532" s="3118" t="s">
        <v>4206</v>
      </c>
      <c r="E532" s="3119">
        <v>133.69</v>
      </c>
      <c r="F532" s="3119">
        <v>8493726</v>
      </c>
      <c r="G532" s="3070" t="s">
        <v>3173</v>
      </c>
      <c r="H532" s="3070" t="s">
        <v>3058</v>
      </c>
      <c r="I532" s="3070">
        <f t="shared" si="8"/>
        <v>63533</v>
      </c>
      <c r="J532" s="3402"/>
      <c r="K532" s="3402"/>
      <c r="L532" s="3402"/>
      <c r="M532" s="3402"/>
      <c r="N532" s="3402"/>
    </row>
    <row r="533" spans="1:14" ht="24">
      <c r="A533" s="3399"/>
      <c r="B533" s="3071">
        <v>27</v>
      </c>
      <c r="C533" s="3072" t="s">
        <v>3535</v>
      </c>
      <c r="D533" s="3118" t="s">
        <v>4207</v>
      </c>
      <c r="E533" s="3119">
        <v>83.92</v>
      </c>
      <c r="F533" s="3119">
        <v>2517600</v>
      </c>
      <c r="G533" s="3070" t="s">
        <v>3501</v>
      </c>
      <c r="H533" s="3070" t="s">
        <v>3230</v>
      </c>
      <c r="I533" s="3070">
        <f t="shared" si="8"/>
        <v>30000</v>
      </c>
      <c r="J533" s="3402"/>
      <c r="K533" s="3402"/>
      <c r="L533" s="3402"/>
      <c r="M533" s="3402"/>
      <c r="N533" s="3402"/>
    </row>
    <row r="534" spans="1:14">
      <c r="A534" s="3399"/>
      <c r="B534" s="3071">
        <v>27</v>
      </c>
      <c r="C534" s="3072">
        <v>-204</v>
      </c>
      <c r="D534" s="3118" t="s">
        <v>4208</v>
      </c>
      <c r="E534" s="3119">
        <v>98.96</v>
      </c>
      <c r="F534" s="3119">
        <v>2968800</v>
      </c>
      <c r="G534" s="3070" t="s">
        <v>3503</v>
      </c>
      <c r="H534" s="3070" t="s">
        <v>3230</v>
      </c>
      <c r="I534" s="3070">
        <f t="shared" si="8"/>
        <v>30000</v>
      </c>
      <c r="J534" s="3402"/>
      <c r="K534" s="3402"/>
      <c r="L534" s="3402"/>
      <c r="M534" s="3402"/>
      <c r="N534" s="3402"/>
    </row>
    <row r="535" spans="1:14">
      <c r="A535" s="3399"/>
      <c r="B535" s="3071">
        <v>27</v>
      </c>
      <c r="C535" s="3071" t="s">
        <v>4209</v>
      </c>
      <c r="D535" s="3118" t="s">
        <v>4210</v>
      </c>
      <c r="E535" s="3071">
        <v>44.59</v>
      </c>
      <c r="F535" s="3071">
        <v>420000</v>
      </c>
      <c r="G535" s="3070" t="s">
        <v>3174</v>
      </c>
      <c r="H535" s="3070" t="s">
        <v>3174</v>
      </c>
      <c r="I535" s="3070">
        <f t="shared" si="8"/>
        <v>9419</v>
      </c>
      <c r="J535" s="3402"/>
      <c r="K535" s="3402"/>
      <c r="L535" s="3402"/>
      <c r="M535" s="3402"/>
      <c r="N535" s="3402"/>
    </row>
    <row r="536" spans="1:14">
      <c r="A536" s="3400"/>
      <c r="B536" s="3071">
        <v>27</v>
      </c>
      <c r="C536" s="3071" t="s">
        <v>4211</v>
      </c>
      <c r="D536" s="3118" t="s">
        <v>4212</v>
      </c>
      <c r="E536" s="3071">
        <v>44.56</v>
      </c>
      <c r="F536" s="3071">
        <v>420000</v>
      </c>
      <c r="G536" s="3070" t="s">
        <v>3174</v>
      </c>
      <c r="H536" s="3070" t="s">
        <v>3174</v>
      </c>
      <c r="I536" s="3070">
        <f t="shared" si="8"/>
        <v>9425</v>
      </c>
      <c r="J536" s="3402"/>
      <c r="K536" s="3402"/>
      <c r="L536" s="3402"/>
      <c r="M536" s="3402"/>
      <c r="N536" s="3402"/>
    </row>
    <row r="537" spans="1:14" ht="24">
      <c r="A537" s="3398">
        <v>108</v>
      </c>
      <c r="B537" s="3071">
        <v>27</v>
      </c>
      <c r="C537" s="3072" t="s">
        <v>3542</v>
      </c>
      <c r="D537" s="3118" t="s">
        <v>4213</v>
      </c>
      <c r="E537" s="3119">
        <v>133.68</v>
      </c>
      <c r="F537" s="3119">
        <v>7693150</v>
      </c>
      <c r="G537" s="3070" t="s">
        <v>3173</v>
      </c>
      <c r="H537" s="3070" t="s">
        <v>3058</v>
      </c>
      <c r="I537" s="3070">
        <f t="shared" si="8"/>
        <v>57549</v>
      </c>
      <c r="J537" s="3402"/>
      <c r="K537" s="3402"/>
      <c r="L537" s="3402"/>
      <c r="M537" s="3402"/>
      <c r="N537" s="3402"/>
    </row>
    <row r="538" spans="1:14" ht="24">
      <c r="A538" s="3399"/>
      <c r="B538" s="3071">
        <v>27</v>
      </c>
      <c r="C538" s="3072" t="s">
        <v>3544</v>
      </c>
      <c r="D538" s="3118" t="s">
        <v>4214</v>
      </c>
      <c r="E538" s="3119">
        <v>84.06</v>
      </c>
      <c r="F538" s="3119">
        <v>2521800</v>
      </c>
      <c r="G538" s="3070" t="s">
        <v>3501</v>
      </c>
      <c r="H538" s="3070" t="s">
        <v>3230</v>
      </c>
      <c r="I538" s="3070">
        <f t="shared" si="8"/>
        <v>30000</v>
      </c>
      <c r="J538" s="3402"/>
      <c r="K538" s="3402"/>
      <c r="L538" s="3402"/>
      <c r="M538" s="3402"/>
      <c r="N538" s="3402"/>
    </row>
    <row r="539" spans="1:14">
      <c r="A539" s="3399"/>
      <c r="B539" s="3071">
        <v>27</v>
      </c>
      <c r="C539" s="3072">
        <v>-205</v>
      </c>
      <c r="D539" s="3118" t="s">
        <v>4215</v>
      </c>
      <c r="E539" s="3119">
        <v>99.81</v>
      </c>
      <c r="F539" s="3119">
        <v>2994300</v>
      </c>
      <c r="G539" s="3070" t="s">
        <v>3503</v>
      </c>
      <c r="H539" s="3070" t="s">
        <v>3230</v>
      </c>
      <c r="I539" s="3070">
        <f t="shared" si="8"/>
        <v>30000</v>
      </c>
      <c r="J539" s="3402"/>
      <c r="K539" s="3402"/>
      <c r="L539" s="3402"/>
      <c r="M539" s="3402"/>
      <c r="N539" s="3402"/>
    </row>
    <row r="540" spans="1:14">
      <c r="A540" s="3399"/>
      <c r="B540" s="3071">
        <v>27</v>
      </c>
      <c r="C540" s="3071" t="s">
        <v>4216</v>
      </c>
      <c r="D540" s="3118" t="s">
        <v>4217</v>
      </c>
      <c r="E540" s="3071">
        <v>44.59</v>
      </c>
      <c r="F540" s="3071">
        <v>420000</v>
      </c>
      <c r="G540" s="3070" t="s">
        <v>3174</v>
      </c>
      <c r="H540" s="3070" t="s">
        <v>3174</v>
      </c>
      <c r="I540" s="3070">
        <f t="shared" si="8"/>
        <v>9419</v>
      </c>
      <c r="J540" s="3402"/>
      <c r="K540" s="3402"/>
      <c r="L540" s="3402"/>
      <c r="M540" s="3402"/>
      <c r="N540" s="3402"/>
    </row>
    <row r="541" spans="1:14">
      <c r="A541" s="3400"/>
      <c r="B541" s="3071">
        <v>27</v>
      </c>
      <c r="C541" s="3071" t="s">
        <v>4218</v>
      </c>
      <c r="D541" s="3118" t="s">
        <v>4219</v>
      </c>
      <c r="E541" s="3071">
        <v>44.59</v>
      </c>
      <c r="F541" s="3071">
        <v>420000</v>
      </c>
      <c r="G541" s="3070" t="s">
        <v>3174</v>
      </c>
      <c r="H541" s="3070" t="s">
        <v>3174</v>
      </c>
      <c r="I541" s="3070">
        <f t="shared" si="8"/>
        <v>9419</v>
      </c>
      <c r="J541" s="3402"/>
      <c r="K541" s="3402"/>
      <c r="L541" s="3402"/>
      <c r="M541" s="3402"/>
      <c r="N541" s="3402"/>
    </row>
    <row r="542" spans="1:14" ht="24">
      <c r="A542" s="3398">
        <v>109</v>
      </c>
      <c r="B542" s="3071">
        <v>27</v>
      </c>
      <c r="C542" s="3072" t="s">
        <v>3551</v>
      </c>
      <c r="D542" s="3118" t="s">
        <v>4220</v>
      </c>
      <c r="E542" s="3119">
        <v>133.88</v>
      </c>
      <c r="F542" s="3119">
        <v>7805739</v>
      </c>
      <c r="G542" s="3070" t="s">
        <v>3173</v>
      </c>
      <c r="H542" s="3070" t="s">
        <v>3058</v>
      </c>
      <c r="I542" s="3070">
        <f t="shared" si="8"/>
        <v>58304</v>
      </c>
      <c r="J542" s="3402"/>
      <c r="K542" s="3402"/>
      <c r="L542" s="3402"/>
      <c r="M542" s="3402"/>
      <c r="N542" s="3402"/>
    </row>
    <row r="543" spans="1:14" ht="24">
      <c r="A543" s="3399"/>
      <c r="B543" s="3071">
        <v>27</v>
      </c>
      <c r="C543" s="3072" t="s">
        <v>3553</v>
      </c>
      <c r="D543" s="3118" t="s">
        <v>4221</v>
      </c>
      <c r="E543" s="3119">
        <v>84.33</v>
      </c>
      <c r="F543" s="3119">
        <v>2529900</v>
      </c>
      <c r="G543" s="3070" t="s">
        <v>3501</v>
      </c>
      <c r="H543" s="3070" t="s">
        <v>3230</v>
      </c>
      <c r="I543" s="3070">
        <f t="shared" si="8"/>
        <v>30000</v>
      </c>
      <c r="J543" s="3402"/>
      <c r="K543" s="3402"/>
      <c r="L543" s="3402"/>
      <c r="M543" s="3402"/>
      <c r="N543" s="3402"/>
    </row>
    <row r="544" spans="1:14">
      <c r="A544" s="3399"/>
      <c r="B544" s="3071">
        <v>27</v>
      </c>
      <c r="C544" s="3072">
        <v>-206</v>
      </c>
      <c r="D544" s="3118" t="s">
        <v>4222</v>
      </c>
      <c r="E544" s="3119">
        <v>99.81</v>
      </c>
      <c r="F544" s="3119">
        <v>2994300</v>
      </c>
      <c r="G544" s="3070" t="s">
        <v>3503</v>
      </c>
      <c r="H544" s="3070" t="s">
        <v>3230</v>
      </c>
      <c r="I544" s="3070">
        <f t="shared" si="8"/>
        <v>30000</v>
      </c>
      <c r="J544" s="3402"/>
      <c r="K544" s="3402"/>
      <c r="L544" s="3402"/>
      <c r="M544" s="3402"/>
      <c r="N544" s="3402"/>
    </row>
    <row r="545" spans="1:14">
      <c r="A545" s="3399"/>
      <c r="B545" s="3071">
        <v>27</v>
      </c>
      <c r="C545" s="3071" t="s">
        <v>4223</v>
      </c>
      <c r="D545" s="3118" t="s">
        <v>4224</v>
      </c>
      <c r="E545" s="3071">
        <v>44.59</v>
      </c>
      <c r="F545" s="3071">
        <v>420000</v>
      </c>
      <c r="G545" s="3070" t="s">
        <v>3174</v>
      </c>
      <c r="H545" s="3070" t="s">
        <v>3174</v>
      </c>
      <c r="I545" s="3070">
        <f t="shared" si="8"/>
        <v>9419</v>
      </c>
      <c r="J545" s="3402"/>
      <c r="K545" s="3402"/>
      <c r="L545" s="3402"/>
      <c r="M545" s="3402"/>
      <c r="N545" s="3402"/>
    </row>
    <row r="546" spans="1:14">
      <c r="A546" s="3400"/>
      <c r="B546" s="3071">
        <v>27</v>
      </c>
      <c r="C546" s="3071" t="s">
        <v>4225</v>
      </c>
      <c r="D546" s="3118" t="s">
        <v>4226</v>
      </c>
      <c r="E546" s="3071">
        <v>44.59</v>
      </c>
      <c r="F546" s="3071">
        <v>420000</v>
      </c>
      <c r="G546" s="3070" t="s">
        <v>3174</v>
      </c>
      <c r="H546" s="3070" t="s">
        <v>3174</v>
      </c>
      <c r="I546" s="3070">
        <f t="shared" si="8"/>
        <v>9419</v>
      </c>
      <c r="J546" s="3403"/>
      <c r="K546" s="3403"/>
      <c r="L546" s="3403"/>
      <c r="M546" s="3403"/>
      <c r="N546" s="3403"/>
    </row>
    <row r="547" spans="1:14" ht="24">
      <c r="A547" s="3398">
        <v>110</v>
      </c>
      <c r="B547" s="3071">
        <v>28</v>
      </c>
      <c r="C547" s="3072" t="s">
        <v>3508</v>
      </c>
      <c r="D547" s="3118" t="s">
        <v>4227</v>
      </c>
      <c r="E547" s="3119">
        <v>133.41999999999999</v>
      </c>
      <c r="F547" s="3119">
        <v>8476572</v>
      </c>
      <c r="G547" s="3070" t="s">
        <v>3173</v>
      </c>
      <c r="H547" s="3070" t="s">
        <v>3058</v>
      </c>
      <c r="I547" s="3070">
        <f t="shared" si="8"/>
        <v>63533</v>
      </c>
      <c r="J547" s="3401">
        <v>6</v>
      </c>
      <c r="K547" s="3401">
        <v>4</v>
      </c>
      <c r="L547" s="3401">
        <f>E547+E552+E557+E562</f>
        <v>533.86999999999989</v>
      </c>
      <c r="M547" s="3401">
        <f>E548+E549+E553+E554+E558+E559+E563+E564</f>
        <v>669.99</v>
      </c>
      <c r="N547" s="3401">
        <f>L547+M547</f>
        <v>1203.8599999999999</v>
      </c>
    </row>
    <row r="548" spans="1:14" ht="24">
      <c r="A548" s="3399"/>
      <c r="B548" s="3071">
        <v>28</v>
      </c>
      <c r="C548" s="3072" t="s">
        <v>3510</v>
      </c>
      <c r="D548" s="3118" t="s">
        <v>4228</v>
      </c>
      <c r="E548" s="3119">
        <v>83.76</v>
      </c>
      <c r="F548" s="3119">
        <v>2512800</v>
      </c>
      <c r="G548" s="3070" t="s">
        <v>3501</v>
      </c>
      <c r="H548" s="3070" t="s">
        <v>3230</v>
      </c>
      <c r="I548" s="3070">
        <f t="shared" si="8"/>
        <v>30000</v>
      </c>
      <c r="J548" s="3402"/>
      <c r="K548" s="3402"/>
      <c r="L548" s="3402"/>
      <c r="M548" s="3402"/>
      <c r="N548" s="3402"/>
    </row>
    <row r="549" spans="1:14">
      <c r="A549" s="3399"/>
      <c r="B549" s="3071">
        <v>28</v>
      </c>
      <c r="C549" s="3072">
        <v>-201</v>
      </c>
      <c r="D549" s="3118" t="s">
        <v>4229</v>
      </c>
      <c r="E549" s="3119">
        <v>83.24</v>
      </c>
      <c r="F549" s="3119">
        <v>2497200</v>
      </c>
      <c r="G549" s="3070" t="s">
        <v>3503</v>
      </c>
      <c r="H549" s="3070" t="s">
        <v>3230</v>
      </c>
      <c r="I549" s="3070">
        <f t="shared" ref="I549:I612" si="9">ROUND(F549/E549,0)</f>
        <v>30000</v>
      </c>
      <c r="J549" s="3402"/>
      <c r="K549" s="3402"/>
      <c r="L549" s="3402"/>
      <c r="M549" s="3402"/>
      <c r="N549" s="3402"/>
    </row>
    <row r="550" spans="1:14">
      <c r="A550" s="3399"/>
      <c r="B550" s="3071">
        <v>28</v>
      </c>
      <c r="C550" s="3071" t="s">
        <v>4230</v>
      </c>
      <c r="D550" s="3118" t="s">
        <v>4231</v>
      </c>
      <c r="E550" s="3071">
        <v>44.59</v>
      </c>
      <c r="F550" s="3071">
        <v>420000</v>
      </c>
      <c r="G550" s="3070" t="s">
        <v>3174</v>
      </c>
      <c r="H550" s="3070" t="s">
        <v>3174</v>
      </c>
      <c r="I550" s="3070">
        <f t="shared" si="9"/>
        <v>9419</v>
      </c>
      <c r="J550" s="3402"/>
      <c r="K550" s="3402"/>
      <c r="L550" s="3402"/>
      <c r="M550" s="3402"/>
      <c r="N550" s="3402"/>
    </row>
    <row r="551" spans="1:14">
      <c r="A551" s="3400"/>
      <c r="B551" s="3071">
        <v>28</v>
      </c>
      <c r="C551" s="3071" t="s">
        <v>4232</v>
      </c>
      <c r="D551" s="3118" t="s">
        <v>4233</v>
      </c>
      <c r="E551" s="3071">
        <v>43.65</v>
      </c>
      <c r="F551" s="3071">
        <v>420000</v>
      </c>
      <c r="G551" s="3070" t="s">
        <v>3174</v>
      </c>
      <c r="H551" s="3070" t="s">
        <v>3174</v>
      </c>
      <c r="I551" s="3070">
        <f t="shared" si="9"/>
        <v>9622</v>
      </c>
      <c r="J551" s="3402"/>
      <c r="K551" s="3402"/>
      <c r="L551" s="3402"/>
      <c r="M551" s="3402"/>
      <c r="N551" s="3402"/>
    </row>
    <row r="552" spans="1:14" ht="24">
      <c r="A552" s="3398">
        <v>111</v>
      </c>
      <c r="B552" s="3071">
        <v>28</v>
      </c>
      <c r="C552" s="3072" t="s">
        <v>3524</v>
      </c>
      <c r="D552" s="3118" t="s">
        <v>4234</v>
      </c>
      <c r="E552" s="3119">
        <v>133.61000000000001</v>
      </c>
      <c r="F552" s="3119">
        <v>7838631</v>
      </c>
      <c r="G552" s="3070" t="s">
        <v>3173</v>
      </c>
      <c r="H552" s="3070" t="s">
        <v>3058</v>
      </c>
      <c r="I552" s="3070">
        <f t="shared" si="9"/>
        <v>58668</v>
      </c>
      <c r="J552" s="3402"/>
      <c r="K552" s="3402"/>
      <c r="L552" s="3402"/>
      <c r="M552" s="3402"/>
      <c r="N552" s="3402"/>
    </row>
    <row r="553" spans="1:14" ht="24">
      <c r="A553" s="3399"/>
      <c r="B553" s="3071">
        <v>28</v>
      </c>
      <c r="C553" s="3072" t="s">
        <v>3526</v>
      </c>
      <c r="D553" s="3118" t="s">
        <v>4235</v>
      </c>
      <c r="E553" s="3119">
        <v>84.17</v>
      </c>
      <c r="F553" s="3119">
        <v>2525100</v>
      </c>
      <c r="G553" s="3070" t="s">
        <v>3501</v>
      </c>
      <c r="H553" s="3070" t="s">
        <v>3230</v>
      </c>
      <c r="I553" s="3070">
        <f t="shared" si="9"/>
        <v>30000</v>
      </c>
      <c r="J553" s="3402"/>
      <c r="K553" s="3402"/>
      <c r="L553" s="3402"/>
      <c r="M553" s="3402"/>
      <c r="N553" s="3402"/>
    </row>
    <row r="554" spans="1:14">
      <c r="A554" s="3399"/>
      <c r="B554" s="3071">
        <v>28</v>
      </c>
      <c r="C554" s="3072">
        <v>-203</v>
      </c>
      <c r="D554" s="3118" t="s">
        <v>4236</v>
      </c>
      <c r="E554" s="3119">
        <v>83.96</v>
      </c>
      <c r="F554" s="3119">
        <v>2518800</v>
      </c>
      <c r="G554" s="3070" t="s">
        <v>3503</v>
      </c>
      <c r="H554" s="3070" t="s">
        <v>3230</v>
      </c>
      <c r="I554" s="3070">
        <f t="shared" si="9"/>
        <v>30000</v>
      </c>
      <c r="J554" s="3402"/>
      <c r="K554" s="3402"/>
      <c r="L554" s="3402"/>
      <c r="M554" s="3402"/>
      <c r="N554" s="3402"/>
    </row>
    <row r="555" spans="1:14">
      <c r="A555" s="3399"/>
      <c r="B555" s="3071">
        <v>28</v>
      </c>
      <c r="C555" s="3071" t="s">
        <v>3177</v>
      </c>
      <c r="D555" s="3118" t="s">
        <v>4237</v>
      </c>
      <c r="E555" s="3071">
        <v>44.59</v>
      </c>
      <c r="F555" s="3071">
        <v>420000</v>
      </c>
      <c r="G555" s="3070" t="s">
        <v>3174</v>
      </c>
      <c r="H555" s="3070" t="s">
        <v>3174</v>
      </c>
      <c r="I555" s="3070">
        <f t="shared" si="9"/>
        <v>9419</v>
      </c>
      <c r="J555" s="3402"/>
      <c r="K555" s="3402"/>
      <c r="L555" s="3402"/>
      <c r="M555" s="3402"/>
      <c r="N555" s="3402"/>
    </row>
    <row r="556" spans="1:14">
      <c r="A556" s="3400"/>
      <c r="B556" s="3071">
        <v>28</v>
      </c>
      <c r="C556" s="3071" t="s">
        <v>3178</v>
      </c>
      <c r="D556" s="3118" t="s">
        <v>4238</v>
      </c>
      <c r="E556" s="3071">
        <v>44.59</v>
      </c>
      <c r="F556" s="3071">
        <v>420000</v>
      </c>
      <c r="G556" s="3070" t="s">
        <v>3174</v>
      </c>
      <c r="H556" s="3070" t="s">
        <v>3174</v>
      </c>
      <c r="I556" s="3070">
        <f t="shared" si="9"/>
        <v>9419</v>
      </c>
      <c r="J556" s="3402"/>
      <c r="K556" s="3402"/>
      <c r="L556" s="3402"/>
      <c r="M556" s="3402"/>
      <c r="N556" s="3402"/>
    </row>
    <row r="557" spans="1:14" ht="24">
      <c r="A557" s="3398">
        <v>112</v>
      </c>
      <c r="B557" s="3071">
        <v>28</v>
      </c>
      <c r="C557" s="3072" t="s">
        <v>3533</v>
      </c>
      <c r="D557" s="3118" t="s">
        <v>4239</v>
      </c>
      <c r="E557" s="3119">
        <v>133.41999999999999</v>
      </c>
      <c r="F557" s="3119">
        <v>8476572</v>
      </c>
      <c r="G557" s="3070" t="s">
        <v>3173</v>
      </c>
      <c r="H557" s="3070" t="s">
        <v>3058</v>
      </c>
      <c r="I557" s="3070">
        <f t="shared" si="9"/>
        <v>63533</v>
      </c>
      <c r="J557" s="3402"/>
      <c r="K557" s="3402"/>
      <c r="L557" s="3402"/>
      <c r="M557" s="3402"/>
      <c r="N557" s="3402"/>
    </row>
    <row r="558" spans="1:14" ht="24">
      <c r="A558" s="3399"/>
      <c r="B558" s="3071">
        <v>28</v>
      </c>
      <c r="C558" s="3072" t="s">
        <v>3535</v>
      </c>
      <c r="D558" s="3118" t="s">
        <v>4240</v>
      </c>
      <c r="E558" s="3119">
        <v>83.76</v>
      </c>
      <c r="F558" s="3119">
        <v>2512800</v>
      </c>
      <c r="G558" s="3070" t="s">
        <v>3501</v>
      </c>
      <c r="H558" s="3070" t="s">
        <v>3230</v>
      </c>
      <c r="I558" s="3070">
        <f t="shared" si="9"/>
        <v>30000</v>
      </c>
      <c r="J558" s="3402"/>
      <c r="K558" s="3402"/>
      <c r="L558" s="3402"/>
      <c r="M558" s="3402"/>
      <c r="N558" s="3402"/>
    </row>
    <row r="559" spans="1:14">
      <c r="A559" s="3399"/>
      <c r="B559" s="3071">
        <v>28</v>
      </c>
      <c r="C559" s="3072">
        <v>-204</v>
      </c>
      <c r="D559" s="3118" t="s">
        <v>4241</v>
      </c>
      <c r="E559" s="3119">
        <v>83.24</v>
      </c>
      <c r="F559" s="3119">
        <v>2497200</v>
      </c>
      <c r="G559" s="3070" t="s">
        <v>3503</v>
      </c>
      <c r="H559" s="3070" t="s">
        <v>3230</v>
      </c>
      <c r="I559" s="3070">
        <f t="shared" si="9"/>
        <v>30000</v>
      </c>
      <c r="J559" s="3402"/>
      <c r="K559" s="3402"/>
      <c r="L559" s="3402"/>
      <c r="M559" s="3402"/>
      <c r="N559" s="3402"/>
    </row>
    <row r="560" spans="1:14">
      <c r="A560" s="3399"/>
      <c r="B560" s="3071">
        <v>28</v>
      </c>
      <c r="C560" s="3071" t="s">
        <v>4242</v>
      </c>
      <c r="D560" s="3118" t="s">
        <v>4243</v>
      </c>
      <c r="E560" s="3071">
        <v>43.65</v>
      </c>
      <c r="F560" s="3071">
        <v>420000</v>
      </c>
      <c r="G560" s="3070" t="s">
        <v>3174</v>
      </c>
      <c r="H560" s="3070" t="s">
        <v>3174</v>
      </c>
      <c r="I560" s="3070">
        <f t="shared" si="9"/>
        <v>9622</v>
      </c>
      <c r="J560" s="3402"/>
      <c r="K560" s="3402"/>
      <c r="L560" s="3402"/>
      <c r="M560" s="3402"/>
      <c r="N560" s="3402"/>
    </row>
    <row r="561" spans="1:14">
      <c r="A561" s="3400"/>
      <c r="B561" s="3071">
        <v>28</v>
      </c>
      <c r="C561" s="3071" t="s">
        <v>4244</v>
      </c>
      <c r="D561" s="3118" t="s">
        <v>4245</v>
      </c>
      <c r="E561" s="3071">
        <v>44.59</v>
      </c>
      <c r="F561" s="3071">
        <v>420000</v>
      </c>
      <c r="G561" s="3070" t="s">
        <v>3174</v>
      </c>
      <c r="H561" s="3070" t="s">
        <v>3174</v>
      </c>
      <c r="I561" s="3070">
        <f t="shared" si="9"/>
        <v>9419</v>
      </c>
      <c r="J561" s="3402"/>
      <c r="K561" s="3402"/>
      <c r="L561" s="3402"/>
      <c r="M561" s="3402"/>
      <c r="N561" s="3402"/>
    </row>
    <row r="562" spans="1:14" ht="24">
      <c r="A562" s="3398">
        <v>113</v>
      </c>
      <c r="B562" s="3071">
        <v>28</v>
      </c>
      <c r="C562" s="3072" t="s">
        <v>3542</v>
      </c>
      <c r="D562" s="3118" t="s">
        <v>4246</v>
      </c>
      <c r="E562" s="3119">
        <v>133.41999999999999</v>
      </c>
      <c r="F562" s="3119">
        <v>7826550</v>
      </c>
      <c r="G562" s="3070" t="s">
        <v>3173</v>
      </c>
      <c r="H562" s="3070" t="s">
        <v>3058</v>
      </c>
      <c r="I562" s="3070">
        <f t="shared" si="9"/>
        <v>58661</v>
      </c>
      <c r="J562" s="3402"/>
      <c r="K562" s="3402"/>
      <c r="L562" s="3402"/>
      <c r="M562" s="3402"/>
      <c r="N562" s="3402"/>
    </row>
    <row r="563" spans="1:14" ht="24">
      <c r="A563" s="3399"/>
      <c r="B563" s="3071">
        <v>28</v>
      </c>
      <c r="C563" s="3072" t="s">
        <v>3544</v>
      </c>
      <c r="D563" s="3118" t="s">
        <v>4247</v>
      </c>
      <c r="E563" s="3119">
        <v>83.9</v>
      </c>
      <c r="F563" s="3119">
        <v>2517000</v>
      </c>
      <c r="G563" s="3070" t="s">
        <v>3501</v>
      </c>
      <c r="H563" s="3070" t="s">
        <v>3230</v>
      </c>
      <c r="I563" s="3070">
        <f t="shared" si="9"/>
        <v>30000</v>
      </c>
      <c r="J563" s="3402"/>
      <c r="K563" s="3402"/>
      <c r="L563" s="3402"/>
      <c r="M563" s="3402"/>
      <c r="N563" s="3402"/>
    </row>
    <row r="564" spans="1:14">
      <c r="A564" s="3399"/>
      <c r="B564" s="3071">
        <v>28</v>
      </c>
      <c r="C564" s="3072">
        <v>-205</v>
      </c>
      <c r="D564" s="3118" t="s">
        <v>4248</v>
      </c>
      <c r="E564" s="3119">
        <v>83.96</v>
      </c>
      <c r="F564" s="3119">
        <v>2518800</v>
      </c>
      <c r="G564" s="3070" t="s">
        <v>3503</v>
      </c>
      <c r="H564" s="3070" t="s">
        <v>3230</v>
      </c>
      <c r="I564" s="3070">
        <f t="shared" si="9"/>
        <v>30000</v>
      </c>
      <c r="J564" s="3402"/>
      <c r="K564" s="3402"/>
      <c r="L564" s="3402"/>
      <c r="M564" s="3402"/>
      <c r="N564" s="3402"/>
    </row>
    <row r="565" spans="1:14">
      <c r="A565" s="3399"/>
      <c r="B565" s="3071">
        <v>28</v>
      </c>
      <c r="C565" s="3071" t="s">
        <v>3179</v>
      </c>
      <c r="D565" s="3118" t="s">
        <v>4249</v>
      </c>
      <c r="E565" s="3071">
        <v>43.65</v>
      </c>
      <c r="F565" s="3071">
        <v>420000</v>
      </c>
      <c r="G565" s="3070" t="s">
        <v>3174</v>
      </c>
      <c r="H565" s="3070" t="s">
        <v>3174</v>
      </c>
      <c r="I565" s="3070">
        <f t="shared" si="9"/>
        <v>9622</v>
      </c>
      <c r="J565" s="3402"/>
      <c r="K565" s="3402"/>
      <c r="L565" s="3402"/>
      <c r="M565" s="3402"/>
      <c r="N565" s="3402"/>
    </row>
    <row r="566" spans="1:14">
      <c r="A566" s="3400"/>
      <c r="B566" s="3071">
        <v>28</v>
      </c>
      <c r="C566" s="3071" t="s">
        <v>3180</v>
      </c>
      <c r="D566" s="3118" t="s">
        <v>4250</v>
      </c>
      <c r="E566" s="3071">
        <v>44.59</v>
      </c>
      <c r="F566" s="3071">
        <v>420000</v>
      </c>
      <c r="G566" s="3070" t="s">
        <v>3174</v>
      </c>
      <c r="H566" s="3070" t="s">
        <v>3174</v>
      </c>
      <c r="I566" s="3070">
        <f t="shared" si="9"/>
        <v>9419</v>
      </c>
      <c r="J566" s="3403"/>
      <c r="K566" s="3403"/>
      <c r="L566" s="3403"/>
      <c r="M566" s="3403"/>
      <c r="N566" s="3403"/>
    </row>
    <row r="567" spans="1:14" ht="24">
      <c r="A567" s="3398">
        <v>114</v>
      </c>
      <c r="B567" s="3071">
        <v>29</v>
      </c>
      <c r="C567" s="3072" t="s">
        <v>3508</v>
      </c>
      <c r="D567" s="3118" t="s">
        <v>4251</v>
      </c>
      <c r="E567" s="3119">
        <v>133.71</v>
      </c>
      <c r="F567" s="3119">
        <v>8494997</v>
      </c>
      <c r="G567" s="3070" t="s">
        <v>3173</v>
      </c>
      <c r="H567" s="3070" t="s">
        <v>3058</v>
      </c>
      <c r="I567" s="3070">
        <f t="shared" si="9"/>
        <v>63533</v>
      </c>
      <c r="J567" s="3401">
        <v>4</v>
      </c>
      <c r="K567" s="3401">
        <v>1</v>
      </c>
      <c r="L567" s="3401">
        <f>E567</f>
        <v>133.71</v>
      </c>
      <c r="M567" s="3401">
        <f>E568+E569</f>
        <v>167.31</v>
      </c>
      <c r="N567" s="3401">
        <f>L567+M567</f>
        <v>301.02</v>
      </c>
    </row>
    <row r="568" spans="1:14" ht="24">
      <c r="A568" s="3399"/>
      <c r="B568" s="3071">
        <v>29</v>
      </c>
      <c r="C568" s="3072" t="s">
        <v>3510</v>
      </c>
      <c r="D568" s="3118" t="s">
        <v>4252</v>
      </c>
      <c r="E568" s="3119">
        <v>83.93</v>
      </c>
      <c r="F568" s="3119">
        <v>2517900</v>
      </c>
      <c r="G568" s="3070" t="s">
        <v>3501</v>
      </c>
      <c r="H568" s="3070" t="s">
        <v>3230</v>
      </c>
      <c r="I568" s="3070">
        <f t="shared" si="9"/>
        <v>30000</v>
      </c>
      <c r="J568" s="3402"/>
      <c r="K568" s="3402"/>
      <c r="L568" s="3402"/>
      <c r="M568" s="3402"/>
      <c r="N568" s="3402"/>
    </row>
    <row r="569" spans="1:14">
      <c r="A569" s="3399"/>
      <c r="B569" s="3071">
        <v>29</v>
      </c>
      <c r="C569" s="3072">
        <v>-201</v>
      </c>
      <c r="D569" s="3118" t="s">
        <v>4253</v>
      </c>
      <c r="E569" s="3119">
        <v>83.38</v>
      </c>
      <c r="F569" s="3119">
        <v>2501400</v>
      </c>
      <c r="G569" s="3070" t="s">
        <v>3503</v>
      </c>
      <c r="H569" s="3070" t="s">
        <v>3230</v>
      </c>
      <c r="I569" s="3070">
        <f t="shared" si="9"/>
        <v>30000</v>
      </c>
      <c r="J569" s="3402"/>
      <c r="K569" s="3402"/>
      <c r="L569" s="3402"/>
      <c r="M569" s="3402"/>
      <c r="N569" s="3402"/>
    </row>
    <row r="570" spans="1:14">
      <c r="A570" s="3399"/>
      <c r="B570" s="3071">
        <v>29</v>
      </c>
      <c r="C570" s="3071" t="s">
        <v>4254</v>
      </c>
      <c r="D570" s="3118" t="s">
        <v>4255</v>
      </c>
      <c r="E570" s="3071">
        <v>44.59</v>
      </c>
      <c r="F570" s="3071">
        <v>420000</v>
      </c>
      <c r="G570" s="3070" t="s">
        <v>3174</v>
      </c>
      <c r="H570" s="3070" t="s">
        <v>3174</v>
      </c>
      <c r="I570" s="3070">
        <f t="shared" si="9"/>
        <v>9419</v>
      </c>
      <c r="J570" s="3402"/>
      <c r="K570" s="3402"/>
      <c r="L570" s="3402"/>
      <c r="M570" s="3402"/>
      <c r="N570" s="3402"/>
    </row>
    <row r="571" spans="1:14">
      <c r="A571" s="3400"/>
      <c r="B571" s="3071">
        <v>29</v>
      </c>
      <c r="C571" s="3071" t="s">
        <v>4256</v>
      </c>
      <c r="D571" s="3118" t="s">
        <v>4257</v>
      </c>
      <c r="E571" s="3071">
        <v>43.65</v>
      </c>
      <c r="F571" s="3071">
        <v>420000</v>
      </c>
      <c r="G571" s="3070" t="s">
        <v>3174</v>
      </c>
      <c r="H571" s="3070" t="s">
        <v>3174</v>
      </c>
      <c r="I571" s="3070">
        <f t="shared" si="9"/>
        <v>9622</v>
      </c>
      <c r="J571" s="3403"/>
      <c r="K571" s="3403"/>
      <c r="L571" s="3403"/>
      <c r="M571" s="3403"/>
      <c r="N571" s="3403"/>
    </row>
    <row r="572" spans="1:14" ht="24">
      <c r="A572" s="3398">
        <v>115</v>
      </c>
      <c r="B572" s="3071">
        <v>30</v>
      </c>
      <c r="C572" s="3072" t="s">
        <v>3508</v>
      </c>
      <c r="D572" s="3118" t="s">
        <v>4258</v>
      </c>
      <c r="E572" s="3119">
        <v>180.89</v>
      </c>
      <c r="F572" s="3119">
        <v>11492484</v>
      </c>
      <c r="G572" s="3070" t="s">
        <v>3173</v>
      </c>
      <c r="H572" s="3070" t="s">
        <v>3058</v>
      </c>
      <c r="I572" s="3070">
        <f t="shared" si="9"/>
        <v>63533</v>
      </c>
      <c r="J572" s="3401">
        <v>3</v>
      </c>
      <c r="K572" s="3401">
        <v>3</v>
      </c>
      <c r="L572" s="3401">
        <f>E572+E577+E582</f>
        <v>542.91999999999996</v>
      </c>
      <c r="M572" s="3401">
        <f>E573+E574+E578+E579+E583+E584</f>
        <v>683.42000000000007</v>
      </c>
      <c r="N572" s="3401">
        <f>L572+M572</f>
        <v>1226.3400000000001</v>
      </c>
    </row>
    <row r="573" spans="1:14" ht="24">
      <c r="A573" s="3399"/>
      <c r="B573" s="3071">
        <v>30</v>
      </c>
      <c r="C573" s="3072" t="s">
        <v>3510</v>
      </c>
      <c r="D573" s="3118" t="s">
        <v>4259</v>
      </c>
      <c r="E573" s="3119">
        <v>116.25</v>
      </c>
      <c r="F573" s="3119">
        <v>3487500</v>
      </c>
      <c r="G573" s="3070" t="s">
        <v>3501</v>
      </c>
      <c r="H573" s="3070" t="s">
        <v>3230</v>
      </c>
      <c r="I573" s="3070">
        <f t="shared" si="9"/>
        <v>30000</v>
      </c>
      <c r="J573" s="3402"/>
      <c r="K573" s="3402"/>
      <c r="L573" s="3402"/>
      <c r="M573" s="3402"/>
      <c r="N573" s="3402"/>
    </row>
    <row r="574" spans="1:14">
      <c r="A574" s="3399"/>
      <c r="B574" s="3071">
        <v>30</v>
      </c>
      <c r="C574" s="3072">
        <v>-201</v>
      </c>
      <c r="D574" s="3118" t="s">
        <v>4260</v>
      </c>
      <c r="E574" s="3119">
        <v>111.99</v>
      </c>
      <c r="F574" s="3119">
        <v>3359700</v>
      </c>
      <c r="G574" s="3070" t="s">
        <v>3503</v>
      </c>
      <c r="H574" s="3070" t="s">
        <v>3230</v>
      </c>
      <c r="I574" s="3070">
        <f t="shared" si="9"/>
        <v>30000</v>
      </c>
      <c r="J574" s="3402"/>
      <c r="K574" s="3402"/>
      <c r="L574" s="3402"/>
      <c r="M574" s="3402"/>
      <c r="N574" s="3402"/>
    </row>
    <row r="575" spans="1:14">
      <c r="A575" s="3399"/>
      <c r="B575" s="3071">
        <v>30</v>
      </c>
      <c r="C575" s="3071" t="s">
        <v>4261</v>
      </c>
      <c r="D575" s="3118" t="s">
        <v>4262</v>
      </c>
      <c r="E575" s="3071">
        <v>44.59</v>
      </c>
      <c r="F575" s="3071">
        <v>420000</v>
      </c>
      <c r="G575" s="3070" t="s">
        <v>3174</v>
      </c>
      <c r="H575" s="3070" t="s">
        <v>3174</v>
      </c>
      <c r="I575" s="3070">
        <f t="shared" si="9"/>
        <v>9419</v>
      </c>
      <c r="J575" s="3402"/>
      <c r="K575" s="3402"/>
      <c r="L575" s="3402"/>
      <c r="M575" s="3402"/>
      <c r="N575" s="3402"/>
    </row>
    <row r="576" spans="1:14">
      <c r="A576" s="3400"/>
      <c r="B576" s="3071">
        <v>30</v>
      </c>
      <c r="C576" s="3071" t="s">
        <v>4263</v>
      </c>
      <c r="D576" s="3118" t="s">
        <v>4264</v>
      </c>
      <c r="E576" s="3071">
        <v>44.59</v>
      </c>
      <c r="F576" s="3071">
        <v>420000</v>
      </c>
      <c r="G576" s="3070" t="s">
        <v>3174</v>
      </c>
      <c r="H576" s="3070" t="s">
        <v>3174</v>
      </c>
      <c r="I576" s="3070">
        <f t="shared" si="9"/>
        <v>9419</v>
      </c>
      <c r="J576" s="3402"/>
      <c r="K576" s="3402"/>
      <c r="L576" s="3402"/>
      <c r="M576" s="3402"/>
      <c r="N576" s="3402"/>
    </row>
    <row r="577" spans="1:14" ht="24">
      <c r="A577" s="3398">
        <v>116</v>
      </c>
      <c r="B577" s="3071">
        <v>30</v>
      </c>
      <c r="C577" s="3072" t="s">
        <v>3497</v>
      </c>
      <c r="D577" s="3118" t="s">
        <v>4265</v>
      </c>
      <c r="E577" s="3119">
        <v>180.89</v>
      </c>
      <c r="F577" s="3119">
        <v>11492484</v>
      </c>
      <c r="G577" s="3070" t="s">
        <v>3173</v>
      </c>
      <c r="H577" s="3070" t="s">
        <v>3058</v>
      </c>
      <c r="I577" s="3070">
        <f t="shared" si="9"/>
        <v>63533</v>
      </c>
      <c r="J577" s="3402"/>
      <c r="K577" s="3402"/>
      <c r="L577" s="3402"/>
      <c r="M577" s="3402"/>
      <c r="N577" s="3402"/>
    </row>
    <row r="578" spans="1:14" ht="24">
      <c r="A578" s="3399"/>
      <c r="B578" s="3071">
        <v>30</v>
      </c>
      <c r="C578" s="3072" t="s">
        <v>3499</v>
      </c>
      <c r="D578" s="3118" t="s">
        <v>4266</v>
      </c>
      <c r="E578" s="3119">
        <v>116.25</v>
      </c>
      <c r="F578" s="3119">
        <v>3487500</v>
      </c>
      <c r="G578" s="3070" t="s">
        <v>3501</v>
      </c>
      <c r="H578" s="3070" t="s">
        <v>3230</v>
      </c>
      <c r="I578" s="3070">
        <f t="shared" si="9"/>
        <v>30000</v>
      </c>
      <c r="J578" s="3402"/>
      <c r="K578" s="3402"/>
      <c r="L578" s="3402"/>
      <c r="M578" s="3402"/>
      <c r="N578" s="3402"/>
    </row>
    <row r="579" spans="1:14">
      <c r="A579" s="3399"/>
      <c r="B579" s="3071">
        <v>30</v>
      </c>
      <c r="C579" s="3072">
        <v>-202</v>
      </c>
      <c r="D579" s="3118" t="s">
        <v>4267</v>
      </c>
      <c r="E579" s="3119">
        <v>111.21</v>
      </c>
      <c r="F579" s="3119">
        <v>3336300</v>
      </c>
      <c r="G579" s="3070" t="s">
        <v>3503</v>
      </c>
      <c r="H579" s="3070" t="s">
        <v>3230</v>
      </c>
      <c r="I579" s="3070">
        <f t="shared" si="9"/>
        <v>30000</v>
      </c>
      <c r="J579" s="3402"/>
      <c r="K579" s="3402"/>
      <c r="L579" s="3402"/>
      <c r="M579" s="3402"/>
      <c r="N579" s="3402"/>
    </row>
    <row r="580" spans="1:14">
      <c r="A580" s="3399"/>
      <c r="B580" s="3071">
        <v>30</v>
      </c>
      <c r="C580" s="3071" t="s">
        <v>4268</v>
      </c>
      <c r="D580" s="3118" t="s">
        <v>4269</v>
      </c>
      <c r="E580" s="3071">
        <v>44.59</v>
      </c>
      <c r="F580" s="3071">
        <v>420000</v>
      </c>
      <c r="G580" s="3070" t="s">
        <v>3174</v>
      </c>
      <c r="H580" s="3070" t="s">
        <v>3174</v>
      </c>
      <c r="I580" s="3070">
        <f t="shared" si="9"/>
        <v>9419</v>
      </c>
      <c r="J580" s="3402"/>
      <c r="K580" s="3402"/>
      <c r="L580" s="3402"/>
      <c r="M580" s="3402"/>
      <c r="N580" s="3402"/>
    </row>
    <row r="581" spans="1:14">
      <c r="A581" s="3400"/>
      <c r="B581" s="3071">
        <v>30</v>
      </c>
      <c r="C581" s="3071" t="s">
        <v>4270</v>
      </c>
      <c r="D581" s="3118" t="s">
        <v>4271</v>
      </c>
      <c r="E581" s="3071">
        <v>44.59</v>
      </c>
      <c r="F581" s="3071">
        <v>420000</v>
      </c>
      <c r="G581" s="3070" t="s">
        <v>3174</v>
      </c>
      <c r="H581" s="3070" t="s">
        <v>3174</v>
      </c>
      <c r="I581" s="3070">
        <f t="shared" si="9"/>
        <v>9419</v>
      </c>
      <c r="J581" s="3402"/>
      <c r="K581" s="3402"/>
      <c r="L581" s="3402"/>
      <c r="M581" s="3402"/>
      <c r="N581" s="3402"/>
    </row>
    <row r="582" spans="1:14" ht="24">
      <c r="A582" s="3398">
        <v>117</v>
      </c>
      <c r="B582" s="3071">
        <v>30</v>
      </c>
      <c r="C582" s="3072" t="s">
        <v>3524</v>
      </c>
      <c r="D582" s="3118" t="s">
        <v>4272</v>
      </c>
      <c r="E582" s="3119">
        <v>181.14</v>
      </c>
      <c r="F582" s="3119">
        <v>11508367</v>
      </c>
      <c r="G582" s="3070" t="s">
        <v>3173</v>
      </c>
      <c r="H582" s="3070" t="s">
        <v>3058</v>
      </c>
      <c r="I582" s="3070">
        <f t="shared" si="9"/>
        <v>63533</v>
      </c>
      <c r="J582" s="3402"/>
      <c r="K582" s="3402"/>
      <c r="L582" s="3402"/>
      <c r="M582" s="3402"/>
      <c r="N582" s="3402"/>
    </row>
    <row r="583" spans="1:14" ht="24">
      <c r="A583" s="3399"/>
      <c r="B583" s="3071">
        <v>30</v>
      </c>
      <c r="C583" s="3072" t="s">
        <v>3526</v>
      </c>
      <c r="D583" s="3118" t="s">
        <v>4273</v>
      </c>
      <c r="E583" s="3119">
        <v>116.51</v>
      </c>
      <c r="F583" s="3119">
        <v>3495300</v>
      </c>
      <c r="G583" s="3070" t="s">
        <v>3501</v>
      </c>
      <c r="H583" s="3070" t="s">
        <v>3230</v>
      </c>
      <c r="I583" s="3070">
        <f t="shared" si="9"/>
        <v>30000</v>
      </c>
      <c r="J583" s="3402"/>
      <c r="K583" s="3402"/>
      <c r="L583" s="3402"/>
      <c r="M583" s="3402"/>
      <c r="N583" s="3402"/>
    </row>
    <row r="584" spans="1:14">
      <c r="A584" s="3399"/>
      <c r="B584" s="3071">
        <v>30</v>
      </c>
      <c r="C584" s="3072">
        <v>-203</v>
      </c>
      <c r="D584" s="3118" t="s">
        <v>4274</v>
      </c>
      <c r="E584" s="3119">
        <v>111.21</v>
      </c>
      <c r="F584" s="3119">
        <v>3336300</v>
      </c>
      <c r="G584" s="3070" t="s">
        <v>3503</v>
      </c>
      <c r="H584" s="3070" t="s">
        <v>3230</v>
      </c>
      <c r="I584" s="3070">
        <f t="shared" si="9"/>
        <v>30000</v>
      </c>
      <c r="J584" s="3402"/>
      <c r="K584" s="3402"/>
      <c r="L584" s="3402"/>
      <c r="M584" s="3402"/>
      <c r="N584" s="3402"/>
    </row>
    <row r="585" spans="1:14">
      <c r="A585" s="3399"/>
      <c r="B585" s="3071">
        <v>30</v>
      </c>
      <c r="C585" s="3071" t="s">
        <v>4275</v>
      </c>
      <c r="D585" s="3118" t="s">
        <v>4276</v>
      </c>
      <c r="E585" s="3071">
        <v>44.59</v>
      </c>
      <c r="F585" s="3071">
        <v>420000</v>
      </c>
      <c r="G585" s="3070" t="s">
        <v>3174</v>
      </c>
      <c r="H585" s="3070" t="s">
        <v>3174</v>
      </c>
      <c r="I585" s="3070">
        <f t="shared" si="9"/>
        <v>9419</v>
      </c>
      <c r="J585" s="3402"/>
      <c r="K585" s="3402"/>
      <c r="L585" s="3402"/>
      <c r="M585" s="3402"/>
      <c r="N585" s="3402"/>
    </row>
    <row r="586" spans="1:14">
      <c r="A586" s="3400"/>
      <c r="B586" s="3071">
        <v>30</v>
      </c>
      <c r="C586" s="3071" t="s">
        <v>4277</v>
      </c>
      <c r="D586" s="3118" t="s">
        <v>4278</v>
      </c>
      <c r="E586" s="3071">
        <v>44.59</v>
      </c>
      <c r="F586" s="3071">
        <v>420000</v>
      </c>
      <c r="G586" s="3070" t="s">
        <v>3174</v>
      </c>
      <c r="H586" s="3070" t="s">
        <v>3174</v>
      </c>
      <c r="I586" s="3070">
        <f t="shared" si="9"/>
        <v>9419</v>
      </c>
      <c r="J586" s="3403"/>
      <c r="K586" s="3403"/>
      <c r="L586" s="3403"/>
      <c r="M586" s="3403"/>
      <c r="N586" s="3403"/>
    </row>
    <row r="587" spans="1:14" ht="24">
      <c r="A587" s="3398">
        <v>118</v>
      </c>
      <c r="B587" s="3071">
        <v>31</v>
      </c>
      <c r="C587" s="3072" t="s">
        <v>3497</v>
      </c>
      <c r="D587" s="3118" t="s">
        <v>4279</v>
      </c>
      <c r="E587" s="3119">
        <v>181.79</v>
      </c>
      <c r="F587" s="3119">
        <v>11549664</v>
      </c>
      <c r="G587" s="3070" t="s">
        <v>3173</v>
      </c>
      <c r="H587" s="3070" t="s">
        <v>3058</v>
      </c>
      <c r="I587" s="3070">
        <f t="shared" si="9"/>
        <v>63533</v>
      </c>
      <c r="J587" s="3401">
        <v>2</v>
      </c>
      <c r="K587" s="3401">
        <v>1</v>
      </c>
      <c r="L587" s="3401">
        <f>E587</f>
        <v>181.79</v>
      </c>
      <c r="M587" s="3401">
        <f>E588+E589</f>
        <v>228.97</v>
      </c>
      <c r="N587" s="3401">
        <f>L587+M587</f>
        <v>410.76</v>
      </c>
    </row>
    <row r="588" spans="1:14" ht="24">
      <c r="A588" s="3399"/>
      <c r="B588" s="3071">
        <v>31</v>
      </c>
      <c r="C588" s="3072" t="s">
        <v>3499</v>
      </c>
      <c r="D588" s="3118" t="s">
        <v>4280</v>
      </c>
      <c r="E588" s="3119">
        <v>116.7</v>
      </c>
      <c r="F588" s="3119">
        <v>3501000</v>
      </c>
      <c r="G588" s="3070" t="s">
        <v>3501</v>
      </c>
      <c r="H588" s="3070" t="s">
        <v>3230</v>
      </c>
      <c r="I588" s="3070">
        <f t="shared" si="9"/>
        <v>30000</v>
      </c>
      <c r="J588" s="3402"/>
      <c r="K588" s="3402"/>
      <c r="L588" s="3402"/>
      <c r="M588" s="3402"/>
      <c r="N588" s="3402"/>
    </row>
    <row r="589" spans="1:14">
      <c r="A589" s="3399"/>
      <c r="B589" s="3071">
        <v>31</v>
      </c>
      <c r="C589" s="3072">
        <v>-202</v>
      </c>
      <c r="D589" s="3118" t="s">
        <v>4281</v>
      </c>
      <c r="E589" s="3119">
        <v>112.27</v>
      </c>
      <c r="F589" s="3119">
        <v>3368100</v>
      </c>
      <c r="G589" s="3070" t="s">
        <v>3503</v>
      </c>
      <c r="H589" s="3070" t="s">
        <v>3230</v>
      </c>
      <c r="I589" s="3070">
        <f t="shared" si="9"/>
        <v>30000</v>
      </c>
      <c r="J589" s="3402"/>
      <c r="K589" s="3402"/>
      <c r="L589" s="3402"/>
      <c r="M589" s="3402"/>
      <c r="N589" s="3402"/>
    </row>
    <row r="590" spans="1:14">
      <c r="A590" s="3399"/>
      <c r="B590" s="3071">
        <v>31</v>
      </c>
      <c r="C590" s="3071" t="s">
        <v>4282</v>
      </c>
      <c r="D590" s="3118" t="s">
        <v>4283</v>
      </c>
      <c r="E590" s="3071">
        <v>44.59</v>
      </c>
      <c r="F590" s="3071">
        <v>420000</v>
      </c>
      <c r="G590" s="3070" t="s">
        <v>3174</v>
      </c>
      <c r="H590" s="3070" t="s">
        <v>3174</v>
      </c>
      <c r="I590" s="3070">
        <f t="shared" si="9"/>
        <v>9419</v>
      </c>
      <c r="J590" s="3402"/>
      <c r="K590" s="3402"/>
      <c r="L590" s="3402"/>
      <c r="M590" s="3402"/>
      <c r="N590" s="3402"/>
    </row>
    <row r="591" spans="1:14">
      <c r="A591" s="3400"/>
      <c r="B591" s="3071">
        <v>31</v>
      </c>
      <c r="C591" s="3071" t="s">
        <v>4284</v>
      </c>
      <c r="D591" s="3118" t="s">
        <v>4285</v>
      </c>
      <c r="E591" s="3071">
        <v>44.59</v>
      </c>
      <c r="F591" s="3071">
        <v>420000</v>
      </c>
      <c r="G591" s="3070" t="s">
        <v>3174</v>
      </c>
      <c r="H591" s="3070" t="s">
        <v>3174</v>
      </c>
      <c r="I591" s="3070">
        <f t="shared" si="9"/>
        <v>9419</v>
      </c>
      <c r="J591" s="3403"/>
      <c r="K591" s="3403"/>
      <c r="L591" s="3403"/>
      <c r="M591" s="3403"/>
      <c r="N591" s="3403"/>
    </row>
    <row r="592" spans="1:14" ht="24">
      <c r="A592" s="3398">
        <v>119</v>
      </c>
      <c r="B592" s="3071">
        <v>32</v>
      </c>
      <c r="C592" s="3072" t="s">
        <v>3497</v>
      </c>
      <c r="D592" s="3118" t="s">
        <v>4286</v>
      </c>
      <c r="E592" s="3119">
        <v>180.67</v>
      </c>
      <c r="F592" s="3119">
        <v>11478507</v>
      </c>
      <c r="G592" s="3070" t="s">
        <v>3173</v>
      </c>
      <c r="H592" s="3070" t="s">
        <v>3058</v>
      </c>
      <c r="I592" s="3070">
        <f t="shared" si="9"/>
        <v>63533</v>
      </c>
      <c r="J592" s="3401">
        <v>3</v>
      </c>
      <c r="K592" s="3401">
        <v>2</v>
      </c>
      <c r="L592" s="3401">
        <f>E592+E597</f>
        <v>361.57</v>
      </c>
      <c r="M592" s="3401">
        <f>E593+E594+E598+E599</f>
        <v>455.57</v>
      </c>
      <c r="N592" s="3401">
        <f>L592+M592</f>
        <v>817.14</v>
      </c>
    </row>
    <row r="593" spans="1:14" ht="24">
      <c r="A593" s="3399"/>
      <c r="B593" s="3071">
        <v>32</v>
      </c>
      <c r="C593" s="3072" t="s">
        <v>3499</v>
      </c>
      <c r="D593" s="3118" t="s">
        <v>4287</v>
      </c>
      <c r="E593" s="3119">
        <v>116.1</v>
      </c>
      <c r="F593" s="3119">
        <v>3483000</v>
      </c>
      <c r="G593" s="3070" t="s">
        <v>3501</v>
      </c>
      <c r="H593" s="3070" t="s">
        <v>3230</v>
      </c>
      <c r="I593" s="3070">
        <f t="shared" si="9"/>
        <v>30000</v>
      </c>
      <c r="J593" s="3402"/>
      <c r="K593" s="3402"/>
      <c r="L593" s="3402"/>
      <c r="M593" s="3402"/>
      <c r="N593" s="3402"/>
    </row>
    <row r="594" spans="1:14">
      <c r="A594" s="3399"/>
      <c r="B594" s="3071">
        <v>32</v>
      </c>
      <c r="C594" s="3072">
        <v>-202</v>
      </c>
      <c r="D594" s="3118" t="s">
        <v>4288</v>
      </c>
      <c r="E594" s="3119">
        <v>111.16</v>
      </c>
      <c r="F594" s="3119">
        <v>3334800</v>
      </c>
      <c r="G594" s="3070" t="s">
        <v>3503</v>
      </c>
      <c r="H594" s="3070" t="s">
        <v>3230</v>
      </c>
      <c r="I594" s="3070">
        <f t="shared" si="9"/>
        <v>30000</v>
      </c>
      <c r="J594" s="3402"/>
      <c r="K594" s="3402"/>
      <c r="L594" s="3402"/>
      <c r="M594" s="3402"/>
      <c r="N594" s="3402"/>
    </row>
    <row r="595" spans="1:14">
      <c r="A595" s="3399"/>
      <c r="B595" s="3071">
        <v>32</v>
      </c>
      <c r="C595" s="3071" t="s">
        <v>4289</v>
      </c>
      <c r="D595" s="3118" t="s">
        <v>4290</v>
      </c>
      <c r="E595" s="3071">
        <v>44.59</v>
      </c>
      <c r="F595" s="3071">
        <v>420000</v>
      </c>
      <c r="G595" s="3070" t="s">
        <v>3174</v>
      </c>
      <c r="H595" s="3070" t="s">
        <v>3174</v>
      </c>
      <c r="I595" s="3070">
        <f t="shared" si="9"/>
        <v>9419</v>
      </c>
      <c r="J595" s="3402"/>
      <c r="K595" s="3402"/>
      <c r="L595" s="3402"/>
      <c r="M595" s="3402"/>
      <c r="N595" s="3402"/>
    </row>
    <row r="596" spans="1:14">
      <c r="A596" s="3400"/>
      <c r="B596" s="3071">
        <v>32</v>
      </c>
      <c r="C596" s="3071" t="s">
        <v>4291</v>
      </c>
      <c r="D596" s="3118" t="s">
        <v>4292</v>
      </c>
      <c r="E596" s="3071">
        <v>44.59</v>
      </c>
      <c r="F596" s="3071">
        <v>420000</v>
      </c>
      <c r="G596" s="3070" t="s">
        <v>3174</v>
      </c>
      <c r="H596" s="3070" t="s">
        <v>3174</v>
      </c>
      <c r="I596" s="3070">
        <f t="shared" si="9"/>
        <v>9419</v>
      </c>
      <c r="J596" s="3402"/>
      <c r="K596" s="3402"/>
      <c r="L596" s="3402"/>
      <c r="M596" s="3402"/>
      <c r="N596" s="3402"/>
    </row>
    <row r="597" spans="1:14" ht="24">
      <c r="A597" s="3398">
        <v>120</v>
      </c>
      <c r="B597" s="3071">
        <v>32</v>
      </c>
      <c r="C597" s="3072" t="s">
        <v>3524</v>
      </c>
      <c r="D597" s="3118" t="s">
        <v>4293</v>
      </c>
      <c r="E597" s="3119">
        <v>180.9</v>
      </c>
      <c r="F597" s="3119">
        <v>11493119</v>
      </c>
      <c r="G597" s="3070" t="s">
        <v>3173</v>
      </c>
      <c r="H597" s="3070" t="s">
        <v>3058</v>
      </c>
      <c r="I597" s="3070">
        <f t="shared" si="9"/>
        <v>63533</v>
      </c>
      <c r="J597" s="3402"/>
      <c r="K597" s="3402"/>
      <c r="L597" s="3402"/>
      <c r="M597" s="3402"/>
      <c r="N597" s="3402"/>
    </row>
    <row r="598" spans="1:14" ht="24">
      <c r="A598" s="3399"/>
      <c r="B598" s="3071">
        <v>32</v>
      </c>
      <c r="C598" s="3072" t="s">
        <v>3526</v>
      </c>
      <c r="D598" s="3118" t="s">
        <v>4294</v>
      </c>
      <c r="E598" s="3119">
        <v>116.37</v>
      </c>
      <c r="F598" s="3119">
        <v>3491100</v>
      </c>
      <c r="G598" s="3070" t="s">
        <v>3501</v>
      </c>
      <c r="H598" s="3070" t="s">
        <v>3230</v>
      </c>
      <c r="I598" s="3070">
        <f t="shared" si="9"/>
        <v>30000</v>
      </c>
      <c r="J598" s="3402"/>
      <c r="K598" s="3402"/>
      <c r="L598" s="3402"/>
      <c r="M598" s="3402"/>
      <c r="N598" s="3402"/>
    </row>
    <row r="599" spans="1:14">
      <c r="A599" s="3399"/>
      <c r="B599" s="3071">
        <v>32</v>
      </c>
      <c r="C599" s="3072">
        <v>-203</v>
      </c>
      <c r="D599" s="3118" t="s">
        <v>4295</v>
      </c>
      <c r="E599" s="3119">
        <v>111.94</v>
      </c>
      <c r="F599" s="3119">
        <v>3358200</v>
      </c>
      <c r="G599" s="3070" t="s">
        <v>3503</v>
      </c>
      <c r="H599" s="3070" t="s">
        <v>3230</v>
      </c>
      <c r="I599" s="3070">
        <f t="shared" si="9"/>
        <v>30000</v>
      </c>
      <c r="J599" s="3402"/>
      <c r="K599" s="3402"/>
      <c r="L599" s="3402"/>
      <c r="M599" s="3402"/>
      <c r="N599" s="3402"/>
    </row>
    <row r="600" spans="1:14">
      <c r="A600" s="3399"/>
      <c r="B600" s="3071">
        <v>32</v>
      </c>
      <c r="C600" s="3071" t="s">
        <v>4296</v>
      </c>
      <c r="D600" s="3118" t="s">
        <v>4297</v>
      </c>
      <c r="E600" s="3071">
        <v>44.59</v>
      </c>
      <c r="F600" s="3071">
        <v>420000</v>
      </c>
      <c r="G600" s="3070" t="s">
        <v>3174</v>
      </c>
      <c r="H600" s="3070" t="s">
        <v>3174</v>
      </c>
      <c r="I600" s="3070">
        <f t="shared" si="9"/>
        <v>9419</v>
      </c>
      <c r="J600" s="3402"/>
      <c r="K600" s="3402"/>
      <c r="L600" s="3402"/>
      <c r="M600" s="3402"/>
      <c r="N600" s="3402"/>
    </row>
    <row r="601" spans="1:14">
      <c r="A601" s="3400"/>
      <c r="B601" s="3071">
        <v>32</v>
      </c>
      <c r="C601" s="3071" t="s">
        <v>4298</v>
      </c>
      <c r="D601" s="3118" t="s">
        <v>4299</v>
      </c>
      <c r="E601" s="3071">
        <v>44.59</v>
      </c>
      <c r="F601" s="3071">
        <v>420000</v>
      </c>
      <c r="G601" s="3070" t="s">
        <v>3174</v>
      </c>
      <c r="H601" s="3070" t="s">
        <v>3174</v>
      </c>
      <c r="I601" s="3070">
        <f t="shared" si="9"/>
        <v>9419</v>
      </c>
      <c r="J601" s="3403"/>
      <c r="K601" s="3403"/>
      <c r="L601" s="3403"/>
      <c r="M601" s="3403"/>
      <c r="N601" s="3403"/>
    </row>
    <row r="602" spans="1:14" ht="24">
      <c r="A602" s="3398">
        <v>121</v>
      </c>
      <c r="B602" s="3071">
        <v>33</v>
      </c>
      <c r="C602" s="3072" t="s">
        <v>3508</v>
      </c>
      <c r="D602" s="3118" t="s">
        <v>4300</v>
      </c>
      <c r="E602" s="3119">
        <v>133.31</v>
      </c>
      <c r="F602" s="3119">
        <v>8469584</v>
      </c>
      <c r="G602" s="3070" t="s">
        <v>3173</v>
      </c>
      <c r="H602" s="3070" t="s">
        <v>3058</v>
      </c>
      <c r="I602" s="3070">
        <f t="shared" si="9"/>
        <v>63533</v>
      </c>
      <c r="J602" s="3401">
        <v>6</v>
      </c>
      <c r="K602" s="3401">
        <v>6</v>
      </c>
      <c r="L602" s="3401">
        <f>E602+E607+E612+E617+E622+E627</f>
        <v>800.22</v>
      </c>
      <c r="M602" s="3401">
        <f>E603+E604+E608+E609+E613+E614+E618+E619+E623+E624+E628+E629</f>
        <v>1005.44</v>
      </c>
      <c r="N602" s="3401">
        <f>L602+M602</f>
        <v>1805.66</v>
      </c>
    </row>
    <row r="603" spans="1:14" ht="24">
      <c r="A603" s="3399"/>
      <c r="B603" s="3071">
        <v>33</v>
      </c>
      <c r="C603" s="3072" t="s">
        <v>3510</v>
      </c>
      <c r="D603" s="3118" t="s">
        <v>4301</v>
      </c>
      <c r="E603" s="3119">
        <v>83.69</v>
      </c>
      <c r="F603" s="3119">
        <v>2510700</v>
      </c>
      <c r="G603" s="3070" t="s">
        <v>3501</v>
      </c>
      <c r="H603" s="3070" t="s">
        <v>3230</v>
      </c>
      <c r="I603" s="3070">
        <f t="shared" si="9"/>
        <v>30000</v>
      </c>
      <c r="J603" s="3402"/>
      <c r="K603" s="3402"/>
      <c r="L603" s="3402"/>
      <c r="M603" s="3402"/>
      <c r="N603" s="3402"/>
    </row>
    <row r="604" spans="1:14">
      <c r="A604" s="3399"/>
      <c r="B604" s="3071">
        <v>33</v>
      </c>
      <c r="C604" s="3072">
        <v>-201</v>
      </c>
      <c r="D604" s="3118" t="s">
        <v>4302</v>
      </c>
      <c r="E604" s="3119">
        <v>83.22</v>
      </c>
      <c r="F604" s="3119">
        <v>2496600</v>
      </c>
      <c r="G604" s="3070" t="s">
        <v>3503</v>
      </c>
      <c r="H604" s="3070" t="s">
        <v>3230</v>
      </c>
      <c r="I604" s="3070">
        <f t="shared" si="9"/>
        <v>30000</v>
      </c>
      <c r="J604" s="3402"/>
      <c r="K604" s="3402"/>
      <c r="L604" s="3402"/>
      <c r="M604" s="3402"/>
      <c r="N604" s="3402"/>
    </row>
    <row r="605" spans="1:14">
      <c r="A605" s="3399"/>
      <c r="B605" s="3071">
        <v>33</v>
      </c>
      <c r="C605" s="3071" t="s">
        <v>4303</v>
      </c>
      <c r="D605" s="3118" t="s">
        <v>4304</v>
      </c>
      <c r="E605" s="3071">
        <v>44.59</v>
      </c>
      <c r="F605" s="3071">
        <v>420000</v>
      </c>
      <c r="G605" s="3070" t="s">
        <v>3174</v>
      </c>
      <c r="H605" s="3070" t="s">
        <v>3174</v>
      </c>
      <c r="I605" s="3070">
        <f t="shared" si="9"/>
        <v>9419</v>
      </c>
      <c r="J605" s="3402"/>
      <c r="K605" s="3402"/>
      <c r="L605" s="3402"/>
      <c r="M605" s="3402"/>
      <c r="N605" s="3402"/>
    </row>
    <row r="606" spans="1:14">
      <c r="A606" s="3400"/>
      <c r="B606" s="3071">
        <v>33</v>
      </c>
      <c r="C606" s="3071" t="s">
        <v>4305</v>
      </c>
      <c r="D606" s="3118" t="s">
        <v>4306</v>
      </c>
      <c r="E606" s="3071">
        <v>44.59</v>
      </c>
      <c r="F606" s="3071">
        <v>420000</v>
      </c>
      <c r="G606" s="3070" t="s">
        <v>3174</v>
      </c>
      <c r="H606" s="3070" t="s">
        <v>3174</v>
      </c>
      <c r="I606" s="3070">
        <f t="shared" si="9"/>
        <v>9419</v>
      </c>
      <c r="J606" s="3402"/>
      <c r="K606" s="3402"/>
      <c r="L606" s="3402"/>
      <c r="M606" s="3402"/>
      <c r="N606" s="3402"/>
    </row>
    <row r="607" spans="1:14" ht="24">
      <c r="A607" s="3398">
        <v>122</v>
      </c>
      <c r="B607" s="3071">
        <v>33</v>
      </c>
      <c r="C607" s="3072" t="s">
        <v>3497</v>
      </c>
      <c r="D607" s="3118" t="s">
        <v>4307</v>
      </c>
      <c r="E607" s="3119">
        <v>133.30000000000001</v>
      </c>
      <c r="F607" s="3119">
        <v>7818978</v>
      </c>
      <c r="G607" s="3070" t="s">
        <v>3173</v>
      </c>
      <c r="H607" s="3070" t="s">
        <v>3058</v>
      </c>
      <c r="I607" s="3070">
        <f t="shared" si="9"/>
        <v>58657</v>
      </c>
      <c r="J607" s="3402"/>
      <c r="K607" s="3402"/>
      <c r="L607" s="3402"/>
      <c r="M607" s="3402"/>
      <c r="N607" s="3402"/>
    </row>
    <row r="608" spans="1:14" ht="24">
      <c r="A608" s="3399"/>
      <c r="B608" s="3071">
        <v>33</v>
      </c>
      <c r="C608" s="3072" t="s">
        <v>3499</v>
      </c>
      <c r="D608" s="3118" t="s">
        <v>4308</v>
      </c>
      <c r="E608" s="3119">
        <v>83.83</v>
      </c>
      <c r="F608" s="3119">
        <v>2514900</v>
      </c>
      <c r="G608" s="3070" t="s">
        <v>3501</v>
      </c>
      <c r="H608" s="3070" t="s">
        <v>3230</v>
      </c>
      <c r="I608" s="3070">
        <f t="shared" si="9"/>
        <v>30000</v>
      </c>
      <c r="J608" s="3402"/>
      <c r="K608" s="3402"/>
      <c r="L608" s="3402"/>
      <c r="M608" s="3402"/>
      <c r="N608" s="3402"/>
    </row>
    <row r="609" spans="1:14">
      <c r="A609" s="3399"/>
      <c r="B609" s="3071">
        <v>33</v>
      </c>
      <c r="C609" s="3072">
        <v>-202</v>
      </c>
      <c r="D609" s="3118" t="s">
        <v>4309</v>
      </c>
      <c r="E609" s="3119">
        <v>83.94</v>
      </c>
      <c r="F609" s="3119">
        <v>2518200</v>
      </c>
      <c r="G609" s="3070" t="s">
        <v>3503</v>
      </c>
      <c r="H609" s="3070" t="s">
        <v>3230</v>
      </c>
      <c r="I609" s="3070">
        <f t="shared" si="9"/>
        <v>30000</v>
      </c>
      <c r="J609" s="3402"/>
      <c r="K609" s="3402"/>
      <c r="L609" s="3402"/>
      <c r="M609" s="3402"/>
      <c r="N609" s="3402"/>
    </row>
    <row r="610" spans="1:14">
      <c r="A610" s="3399"/>
      <c r="B610" s="3071">
        <v>33</v>
      </c>
      <c r="C610" s="3071" t="s">
        <v>4310</v>
      </c>
      <c r="D610" s="3118" t="s">
        <v>4311</v>
      </c>
      <c r="E610" s="3071">
        <v>44.59</v>
      </c>
      <c r="F610" s="3071">
        <v>420000</v>
      </c>
      <c r="G610" s="3070" t="s">
        <v>3174</v>
      </c>
      <c r="H610" s="3070" t="s">
        <v>3174</v>
      </c>
      <c r="I610" s="3070">
        <f t="shared" si="9"/>
        <v>9419</v>
      </c>
      <c r="J610" s="3402"/>
      <c r="K610" s="3402"/>
      <c r="L610" s="3402"/>
      <c r="M610" s="3402"/>
      <c r="N610" s="3402"/>
    </row>
    <row r="611" spans="1:14">
      <c r="A611" s="3400"/>
      <c r="B611" s="3071">
        <v>33</v>
      </c>
      <c r="C611" s="3071" t="s">
        <v>4312</v>
      </c>
      <c r="D611" s="3118" t="s">
        <v>4313</v>
      </c>
      <c r="E611" s="3071">
        <v>44.59</v>
      </c>
      <c r="F611" s="3071">
        <v>420000</v>
      </c>
      <c r="G611" s="3070" t="s">
        <v>3174</v>
      </c>
      <c r="H611" s="3070" t="s">
        <v>3174</v>
      </c>
      <c r="I611" s="3070">
        <f t="shared" si="9"/>
        <v>9419</v>
      </c>
      <c r="J611" s="3402"/>
      <c r="K611" s="3402"/>
      <c r="L611" s="3402"/>
      <c r="M611" s="3402"/>
      <c r="N611" s="3402"/>
    </row>
    <row r="612" spans="1:14" ht="24">
      <c r="A612" s="3398">
        <v>123</v>
      </c>
      <c r="B612" s="3071">
        <v>33</v>
      </c>
      <c r="C612" s="3072" t="s">
        <v>3524</v>
      </c>
      <c r="D612" s="3118" t="s">
        <v>4314</v>
      </c>
      <c r="E612" s="3119">
        <v>133.5</v>
      </c>
      <c r="F612" s="3119">
        <v>7831644</v>
      </c>
      <c r="G612" s="3070" t="s">
        <v>3173</v>
      </c>
      <c r="H612" s="3070" t="s">
        <v>3058</v>
      </c>
      <c r="I612" s="3070">
        <f t="shared" si="9"/>
        <v>58664</v>
      </c>
      <c r="J612" s="3402"/>
      <c r="K612" s="3402"/>
      <c r="L612" s="3402"/>
      <c r="M612" s="3402"/>
      <c r="N612" s="3402"/>
    </row>
    <row r="613" spans="1:14" ht="24">
      <c r="A613" s="3399"/>
      <c r="B613" s="3071">
        <v>33</v>
      </c>
      <c r="C613" s="3072" t="s">
        <v>3526</v>
      </c>
      <c r="D613" s="3118" t="s">
        <v>4315</v>
      </c>
      <c r="E613" s="3119">
        <v>84.1</v>
      </c>
      <c r="F613" s="3119">
        <v>2523000</v>
      </c>
      <c r="G613" s="3070" t="s">
        <v>3501</v>
      </c>
      <c r="H613" s="3070" t="s">
        <v>3230</v>
      </c>
      <c r="I613" s="3070">
        <f t="shared" ref="I613:I676" si="10">ROUND(F613/E613,0)</f>
        <v>30000</v>
      </c>
      <c r="J613" s="3402"/>
      <c r="K613" s="3402"/>
      <c r="L613" s="3402"/>
      <c r="M613" s="3402"/>
      <c r="N613" s="3402"/>
    </row>
    <row r="614" spans="1:14">
      <c r="A614" s="3399"/>
      <c r="B614" s="3071">
        <v>33</v>
      </c>
      <c r="C614" s="3072">
        <v>-203</v>
      </c>
      <c r="D614" s="3118" t="s">
        <v>4316</v>
      </c>
      <c r="E614" s="3119">
        <v>83.94</v>
      </c>
      <c r="F614" s="3119">
        <v>2518200</v>
      </c>
      <c r="G614" s="3070" t="s">
        <v>3503</v>
      </c>
      <c r="H614" s="3070" t="s">
        <v>3230</v>
      </c>
      <c r="I614" s="3070">
        <f t="shared" si="10"/>
        <v>30000</v>
      </c>
      <c r="J614" s="3402"/>
      <c r="K614" s="3402"/>
      <c r="L614" s="3402"/>
      <c r="M614" s="3402"/>
      <c r="N614" s="3402"/>
    </row>
    <row r="615" spans="1:14">
      <c r="A615" s="3399"/>
      <c r="B615" s="3071">
        <v>33</v>
      </c>
      <c r="C615" s="3071" t="s">
        <v>4317</v>
      </c>
      <c r="D615" s="3118" t="s">
        <v>4318</v>
      </c>
      <c r="E615" s="3071">
        <v>44.59</v>
      </c>
      <c r="F615" s="3071">
        <v>420000</v>
      </c>
      <c r="G615" s="3070" t="s">
        <v>3174</v>
      </c>
      <c r="H615" s="3070" t="s">
        <v>3174</v>
      </c>
      <c r="I615" s="3070">
        <f t="shared" si="10"/>
        <v>9419</v>
      </c>
      <c r="J615" s="3402"/>
      <c r="K615" s="3402"/>
      <c r="L615" s="3402"/>
      <c r="M615" s="3402"/>
      <c r="N615" s="3402"/>
    </row>
    <row r="616" spans="1:14">
      <c r="A616" s="3400"/>
      <c r="B616" s="3071">
        <v>33</v>
      </c>
      <c r="C616" s="3071" t="s">
        <v>4319</v>
      </c>
      <c r="D616" s="3118" t="s">
        <v>4320</v>
      </c>
      <c r="E616" s="3071">
        <v>44.59</v>
      </c>
      <c r="F616" s="3071">
        <v>420000</v>
      </c>
      <c r="G616" s="3070" t="s">
        <v>3174</v>
      </c>
      <c r="H616" s="3070" t="s">
        <v>3174</v>
      </c>
      <c r="I616" s="3070">
        <f t="shared" si="10"/>
        <v>9419</v>
      </c>
      <c r="J616" s="3402"/>
      <c r="K616" s="3402"/>
      <c r="L616" s="3402"/>
      <c r="M616" s="3402"/>
      <c r="N616" s="3402"/>
    </row>
    <row r="617" spans="1:14" ht="24">
      <c r="A617" s="3398">
        <v>124</v>
      </c>
      <c r="B617" s="3071">
        <v>33</v>
      </c>
      <c r="C617" s="3072" t="s">
        <v>3533</v>
      </c>
      <c r="D617" s="3118" t="s">
        <v>4321</v>
      </c>
      <c r="E617" s="3119">
        <v>133.31</v>
      </c>
      <c r="F617" s="3119">
        <v>8469584</v>
      </c>
      <c r="G617" s="3070" t="s">
        <v>3173</v>
      </c>
      <c r="H617" s="3070" t="s">
        <v>3058</v>
      </c>
      <c r="I617" s="3070">
        <f t="shared" si="10"/>
        <v>63533</v>
      </c>
      <c r="J617" s="3402"/>
      <c r="K617" s="3402"/>
      <c r="L617" s="3402"/>
      <c r="M617" s="3402"/>
      <c r="N617" s="3402"/>
    </row>
    <row r="618" spans="1:14" ht="24">
      <c r="A618" s="3399"/>
      <c r="B618" s="3071">
        <v>33</v>
      </c>
      <c r="C618" s="3072" t="s">
        <v>3535</v>
      </c>
      <c r="D618" s="3118" t="s">
        <v>4322</v>
      </c>
      <c r="E618" s="3119">
        <v>83.69</v>
      </c>
      <c r="F618" s="3119">
        <v>2510700</v>
      </c>
      <c r="G618" s="3070" t="s">
        <v>3501</v>
      </c>
      <c r="H618" s="3070" t="s">
        <v>3230</v>
      </c>
      <c r="I618" s="3070">
        <f t="shared" si="10"/>
        <v>30000</v>
      </c>
      <c r="J618" s="3402"/>
      <c r="K618" s="3402"/>
      <c r="L618" s="3402"/>
      <c r="M618" s="3402"/>
      <c r="N618" s="3402"/>
    </row>
    <row r="619" spans="1:14">
      <c r="A619" s="3399"/>
      <c r="B619" s="3071">
        <v>33</v>
      </c>
      <c r="C619" s="3072">
        <v>-204</v>
      </c>
      <c r="D619" s="3118" t="s">
        <v>4323</v>
      </c>
      <c r="E619" s="3119">
        <v>83.22</v>
      </c>
      <c r="F619" s="3119">
        <v>2496600</v>
      </c>
      <c r="G619" s="3070" t="s">
        <v>3503</v>
      </c>
      <c r="H619" s="3070" t="s">
        <v>3230</v>
      </c>
      <c r="I619" s="3070">
        <f t="shared" si="10"/>
        <v>30000</v>
      </c>
      <c r="J619" s="3402"/>
      <c r="K619" s="3402"/>
      <c r="L619" s="3402"/>
      <c r="M619" s="3402"/>
      <c r="N619" s="3402"/>
    </row>
    <row r="620" spans="1:14">
      <c r="A620" s="3399"/>
      <c r="B620" s="3071">
        <v>33</v>
      </c>
      <c r="C620" s="3071" t="s">
        <v>4324</v>
      </c>
      <c r="D620" s="3118" t="s">
        <v>4325</v>
      </c>
      <c r="E620" s="3071">
        <v>44.59</v>
      </c>
      <c r="F620" s="3071">
        <v>420000</v>
      </c>
      <c r="G620" s="3070" t="s">
        <v>3174</v>
      </c>
      <c r="H620" s="3070" t="s">
        <v>3174</v>
      </c>
      <c r="I620" s="3070">
        <f t="shared" si="10"/>
        <v>9419</v>
      </c>
      <c r="J620" s="3402"/>
      <c r="K620" s="3402"/>
      <c r="L620" s="3402"/>
      <c r="M620" s="3402"/>
      <c r="N620" s="3402"/>
    </row>
    <row r="621" spans="1:14">
      <c r="A621" s="3400"/>
      <c r="B621" s="3071">
        <v>33</v>
      </c>
      <c r="C621" s="3071" t="s">
        <v>4326</v>
      </c>
      <c r="D621" s="3118" t="s">
        <v>4327</v>
      </c>
      <c r="E621" s="3071">
        <v>44.59</v>
      </c>
      <c r="F621" s="3071">
        <v>420000</v>
      </c>
      <c r="G621" s="3070" t="s">
        <v>3174</v>
      </c>
      <c r="H621" s="3070" t="s">
        <v>3174</v>
      </c>
      <c r="I621" s="3070">
        <f t="shared" si="10"/>
        <v>9419</v>
      </c>
      <c r="J621" s="3402"/>
      <c r="K621" s="3402"/>
      <c r="L621" s="3402"/>
      <c r="M621" s="3402"/>
      <c r="N621" s="3402"/>
    </row>
    <row r="622" spans="1:14" ht="24">
      <c r="A622" s="3398">
        <v>125</v>
      </c>
      <c r="B622" s="3071">
        <v>33</v>
      </c>
      <c r="C622" s="3072" t="s">
        <v>3542</v>
      </c>
      <c r="D622" s="3118" t="s">
        <v>4328</v>
      </c>
      <c r="E622" s="3119">
        <v>133.30000000000001</v>
      </c>
      <c r="F622" s="3119">
        <v>7818978</v>
      </c>
      <c r="G622" s="3070" t="s">
        <v>3173</v>
      </c>
      <c r="H622" s="3070" t="s">
        <v>3058</v>
      </c>
      <c r="I622" s="3070">
        <f t="shared" si="10"/>
        <v>58657</v>
      </c>
      <c r="J622" s="3402"/>
      <c r="K622" s="3402"/>
      <c r="L622" s="3402"/>
      <c r="M622" s="3402"/>
      <c r="N622" s="3402"/>
    </row>
    <row r="623" spans="1:14" ht="24">
      <c r="A623" s="3399"/>
      <c r="B623" s="3071">
        <v>33</v>
      </c>
      <c r="C623" s="3072" t="s">
        <v>3544</v>
      </c>
      <c r="D623" s="3118" t="s">
        <v>4329</v>
      </c>
      <c r="E623" s="3119">
        <v>83.83</v>
      </c>
      <c r="F623" s="3119">
        <v>2514900</v>
      </c>
      <c r="G623" s="3070" t="s">
        <v>3501</v>
      </c>
      <c r="H623" s="3070" t="s">
        <v>3230</v>
      </c>
      <c r="I623" s="3070">
        <f t="shared" si="10"/>
        <v>30000</v>
      </c>
      <c r="J623" s="3402"/>
      <c r="K623" s="3402"/>
      <c r="L623" s="3402"/>
      <c r="M623" s="3402"/>
      <c r="N623" s="3402"/>
    </row>
    <row r="624" spans="1:14">
      <c r="A624" s="3399"/>
      <c r="B624" s="3071">
        <v>33</v>
      </c>
      <c r="C624" s="3072">
        <v>-205</v>
      </c>
      <c r="D624" s="3118" t="s">
        <v>4330</v>
      </c>
      <c r="E624" s="3119">
        <v>83.94</v>
      </c>
      <c r="F624" s="3119">
        <v>2518200</v>
      </c>
      <c r="G624" s="3070" t="s">
        <v>3503</v>
      </c>
      <c r="H624" s="3070" t="s">
        <v>3230</v>
      </c>
      <c r="I624" s="3070">
        <f t="shared" si="10"/>
        <v>30000</v>
      </c>
      <c r="J624" s="3402"/>
      <c r="K624" s="3402"/>
      <c r="L624" s="3402"/>
      <c r="M624" s="3402"/>
      <c r="N624" s="3402"/>
    </row>
    <row r="625" spans="1:14">
      <c r="A625" s="3399"/>
      <c r="B625" s="3071">
        <v>33</v>
      </c>
      <c r="C625" s="3071" t="s">
        <v>4331</v>
      </c>
      <c r="D625" s="3118" t="s">
        <v>4332</v>
      </c>
      <c r="E625" s="3071">
        <v>44.59</v>
      </c>
      <c r="F625" s="3071">
        <v>420000</v>
      </c>
      <c r="G625" s="3070" t="s">
        <v>3174</v>
      </c>
      <c r="H625" s="3070" t="s">
        <v>3174</v>
      </c>
      <c r="I625" s="3070">
        <f t="shared" si="10"/>
        <v>9419</v>
      </c>
      <c r="J625" s="3402"/>
      <c r="K625" s="3402"/>
      <c r="L625" s="3402"/>
      <c r="M625" s="3402"/>
      <c r="N625" s="3402"/>
    </row>
    <row r="626" spans="1:14">
      <c r="A626" s="3400"/>
      <c r="B626" s="3071">
        <v>33</v>
      </c>
      <c r="C626" s="3071" t="s">
        <v>4333</v>
      </c>
      <c r="D626" s="3118" t="s">
        <v>4334</v>
      </c>
      <c r="E626" s="3071">
        <v>44.59</v>
      </c>
      <c r="F626" s="3071">
        <v>420000</v>
      </c>
      <c r="G626" s="3070" t="s">
        <v>3174</v>
      </c>
      <c r="H626" s="3070" t="s">
        <v>3174</v>
      </c>
      <c r="I626" s="3070">
        <f t="shared" si="10"/>
        <v>9419</v>
      </c>
      <c r="J626" s="3402"/>
      <c r="K626" s="3402"/>
      <c r="L626" s="3402"/>
      <c r="M626" s="3402"/>
      <c r="N626" s="3402"/>
    </row>
    <row r="627" spans="1:14" ht="24">
      <c r="A627" s="3398">
        <v>126</v>
      </c>
      <c r="B627" s="3071">
        <v>33</v>
      </c>
      <c r="C627" s="3072" t="s">
        <v>3551</v>
      </c>
      <c r="D627" s="3118" t="s">
        <v>4335</v>
      </c>
      <c r="E627" s="3119">
        <v>133.5</v>
      </c>
      <c r="F627" s="3119">
        <v>7931635</v>
      </c>
      <c r="G627" s="3070" t="s">
        <v>3173</v>
      </c>
      <c r="H627" s="3070" t="s">
        <v>3058</v>
      </c>
      <c r="I627" s="3070">
        <f t="shared" si="10"/>
        <v>59413</v>
      </c>
      <c r="J627" s="3402"/>
      <c r="K627" s="3402"/>
      <c r="L627" s="3402"/>
      <c r="M627" s="3402"/>
      <c r="N627" s="3402"/>
    </row>
    <row r="628" spans="1:14" ht="24">
      <c r="A628" s="3399"/>
      <c r="B628" s="3071">
        <v>33</v>
      </c>
      <c r="C628" s="3072" t="s">
        <v>3553</v>
      </c>
      <c r="D628" s="3118" t="s">
        <v>4336</v>
      </c>
      <c r="E628" s="3119">
        <v>84.1</v>
      </c>
      <c r="F628" s="3119">
        <v>2523000</v>
      </c>
      <c r="G628" s="3070" t="s">
        <v>3501</v>
      </c>
      <c r="H628" s="3070" t="s">
        <v>3230</v>
      </c>
      <c r="I628" s="3070">
        <f t="shared" si="10"/>
        <v>30000</v>
      </c>
      <c r="J628" s="3402"/>
      <c r="K628" s="3402"/>
      <c r="L628" s="3402"/>
      <c r="M628" s="3402"/>
      <c r="N628" s="3402"/>
    </row>
    <row r="629" spans="1:14">
      <c r="A629" s="3399"/>
      <c r="B629" s="3071">
        <v>33</v>
      </c>
      <c r="C629" s="3072">
        <v>-206</v>
      </c>
      <c r="D629" s="3118" t="s">
        <v>4337</v>
      </c>
      <c r="E629" s="3119">
        <v>83.94</v>
      </c>
      <c r="F629" s="3119">
        <v>2518200</v>
      </c>
      <c r="G629" s="3070" t="s">
        <v>3503</v>
      </c>
      <c r="H629" s="3070" t="s">
        <v>3230</v>
      </c>
      <c r="I629" s="3070">
        <f t="shared" si="10"/>
        <v>30000</v>
      </c>
      <c r="J629" s="3402"/>
      <c r="K629" s="3402"/>
      <c r="L629" s="3402"/>
      <c r="M629" s="3402"/>
      <c r="N629" s="3402"/>
    </row>
    <row r="630" spans="1:14">
      <c r="A630" s="3399"/>
      <c r="B630" s="3071">
        <v>33</v>
      </c>
      <c r="C630" s="3071" t="s">
        <v>4338</v>
      </c>
      <c r="D630" s="3118" t="s">
        <v>4339</v>
      </c>
      <c r="E630" s="3071">
        <v>44.59</v>
      </c>
      <c r="F630" s="3071">
        <v>420000</v>
      </c>
      <c r="G630" s="3070" t="s">
        <v>3174</v>
      </c>
      <c r="H630" s="3070" t="s">
        <v>3174</v>
      </c>
      <c r="I630" s="3070">
        <f t="shared" si="10"/>
        <v>9419</v>
      </c>
      <c r="J630" s="3402"/>
      <c r="K630" s="3402"/>
      <c r="L630" s="3402"/>
      <c r="M630" s="3402"/>
      <c r="N630" s="3402"/>
    </row>
    <row r="631" spans="1:14">
      <c r="A631" s="3400"/>
      <c r="B631" s="3071">
        <v>33</v>
      </c>
      <c r="C631" s="3071" t="s">
        <v>4340</v>
      </c>
      <c r="D631" s="3118" t="s">
        <v>4341</v>
      </c>
      <c r="E631" s="3071">
        <v>44.59</v>
      </c>
      <c r="F631" s="3071">
        <v>420000</v>
      </c>
      <c r="G631" s="3070" t="s">
        <v>3174</v>
      </c>
      <c r="H631" s="3070" t="s">
        <v>3174</v>
      </c>
      <c r="I631" s="3070">
        <f t="shared" si="10"/>
        <v>9419</v>
      </c>
      <c r="J631" s="3403"/>
      <c r="K631" s="3403"/>
      <c r="L631" s="3403"/>
      <c r="M631" s="3403"/>
      <c r="N631" s="3403"/>
    </row>
    <row r="632" spans="1:14" ht="24">
      <c r="A632" s="3398">
        <v>127</v>
      </c>
      <c r="B632" s="3071">
        <v>34</v>
      </c>
      <c r="C632" s="3072" t="s">
        <v>3508</v>
      </c>
      <c r="D632" s="3118" t="s">
        <v>4342</v>
      </c>
      <c r="E632" s="3119">
        <v>138.41</v>
      </c>
      <c r="F632" s="3119">
        <v>8793602</v>
      </c>
      <c r="G632" s="3070" t="s">
        <v>3173</v>
      </c>
      <c r="H632" s="3070" t="s">
        <v>3058</v>
      </c>
      <c r="I632" s="3070">
        <f t="shared" si="10"/>
        <v>63533</v>
      </c>
      <c r="J632" s="3401">
        <v>4</v>
      </c>
      <c r="K632" s="3401">
        <v>4</v>
      </c>
      <c r="L632" s="3401">
        <f>E632+E637+E642+E647</f>
        <v>553.85</v>
      </c>
      <c r="M632" s="3401">
        <f>E633+E634+E638+E639+E643+E644+E648+E649</f>
        <v>811.61</v>
      </c>
      <c r="N632" s="3401">
        <f>L632+M632</f>
        <v>1365.46</v>
      </c>
    </row>
    <row r="633" spans="1:14" ht="24">
      <c r="A633" s="3399"/>
      <c r="B633" s="3071">
        <v>34</v>
      </c>
      <c r="C633" s="3072" t="s">
        <v>3510</v>
      </c>
      <c r="D633" s="3118" t="s">
        <v>4343</v>
      </c>
      <c r="E633" s="3119">
        <v>86.29</v>
      </c>
      <c r="F633" s="3119">
        <v>2588700</v>
      </c>
      <c r="G633" s="3070" t="s">
        <v>3501</v>
      </c>
      <c r="H633" s="3070" t="s">
        <v>3230</v>
      </c>
      <c r="I633" s="3070">
        <f t="shared" si="10"/>
        <v>30000</v>
      </c>
      <c r="J633" s="3402"/>
      <c r="K633" s="3402"/>
      <c r="L633" s="3402"/>
      <c r="M633" s="3402"/>
      <c r="N633" s="3402"/>
    </row>
    <row r="634" spans="1:14">
      <c r="A634" s="3399"/>
      <c r="B634" s="3071">
        <v>34</v>
      </c>
      <c r="C634" s="3072">
        <v>-201</v>
      </c>
      <c r="D634" s="3118" t="s">
        <v>4344</v>
      </c>
      <c r="E634" s="3119">
        <v>115.68</v>
      </c>
      <c r="F634" s="3119">
        <v>3470400</v>
      </c>
      <c r="G634" s="3070" t="s">
        <v>3503</v>
      </c>
      <c r="H634" s="3070" t="s">
        <v>3230</v>
      </c>
      <c r="I634" s="3070">
        <f t="shared" si="10"/>
        <v>30000</v>
      </c>
      <c r="J634" s="3402"/>
      <c r="K634" s="3402"/>
      <c r="L634" s="3402"/>
      <c r="M634" s="3402"/>
      <c r="N634" s="3402"/>
    </row>
    <row r="635" spans="1:14">
      <c r="A635" s="3399"/>
      <c r="B635" s="3071">
        <v>34</v>
      </c>
      <c r="C635" s="3071" t="s">
        <v>3910</v>
      </c>
      <c r="D635" s="3118" t="s">
        <v>4345</v>
      </c>
      <c r="E635" s="3071"/>
      <c r="F635" s="3071"/>
      <c r="G635" s="3070" t="s">
        <v>3912</v>
      </c>
      <c r="H635" s="3070" t="s">
        <v>3174</v>
      </c>
      <c r="I635" s="3070" t="e">
        <f t="shared" si="10"/>
        <v>#DIV/0!</v>
      </c>
      <c r="J635" s="3402"/>
      <c r="K635" s="3402"/>
      <c r="L635" s="3402"/>
      <c r="M635" s="3402"/>
      <c r="N635" s="3402"/>
    </row>
    <row r="636" spans="1:14">
      <c r="A636" s="3400"/>
      <c r="B636" s="3071">
        <v>34</v>
      </c>
      <c r="C636" s="3071" t="s">
        <v>3910</v>
      </c>
      <c r="D636" s="3118" t="s">
        <v>4345</v>
      </c>
      <c r="E636" s="3071"/>
      <c r="F636" s="3071"/>
      <c r="G636" s="3070" t="s">
        <v>3912</v>
      </c>
      <c r="H636" s="3070" t="s">
        <v>3174</v>
      </c>
      <c r="I636" s="3070" t="e">
        <f t="shared" si="10"/>
        <v>#DIV/0!</v>
      </c>
      <c r="J636" s="3402"/>
      <c r="K636" s="3402"/>
      <c r="L636" s="3402"/>
      <c r="M636" s="3402"/>
      <c r="N636" s="3402"/>
    </row>
    <row r="637" spans="1:14" ht="24">
      <c r="A637" s="3398">
        <v>128</v>
      </c>
      <c r="B637" s="3071">
        <v>34</v>
      </c>
      <c r="C637" s="3072" t="s">
        <v>3497</v>
      </c>
      <c r="D637" s="3118" t="s">
        <v>4346</v>
      </c>
      <c r="E637" s="3119">
        <v>138.41</v>
      </c>
      <c r="F637" s="3119">
        <v>8793602</v>
      </c>
      <c r="G637" s="3070" t="s">
        <v>3173</v>
      </c>
      <c r="H637" s="3070" t="s">
        <v>3058</v>
      </c>
      <c r="I637" s="3070">
        <f t="shared" si="10"/>
        <v>63533</v>
      </c>
      <c r="J637" s="3402"/>
      <c r="K637" s="3402"/>
      <c r="L637" s="3402"/>
      <c r="M637" s="3402"/>
      <c r="N637" s="3402"/>
    </row>
    <row r="638" spans="1:14" ht="24">
      <c r="A638" s="3399"/>
      <c r="B638" s="3071">
        <v>34</v>
      </c>
      <c r="C638" s="3072" t="s">
        <v>3499</v>
      </c>
      <c r="D638" s="3118" t="s">
        <v>4347</v>
      </c>
      <c r="E638" s="3119">
        <v>86.45</v>
      </c>
      <c r="F638" s="3119">
        <v>2593500</v>
      </c>
      <c r="G638" s="3070" t="s">
        <v>3501</v>
      </c>
      <c r="H638" s="3070" t="s">
        <v>3230</v>
      </c>
      <c r="I638" s="3070">
        <f t="shared" si="10"/>
        <v>30000</v>
      </c>
      <c r="J638" s="3402"/>
      <c r="K638" s="3402"/>
      <c r="L638" s="3402"/>
      <c r="M638" s="3402"/>
      <c r="N638" s="3402"/>
    </row>
    <row r="639" spans="1:14">
      <c r="A639" s="3399"/>
      <c r="B639" s="3071">
        <v>34</v>
      </c>
      <c r="C639" s="3072">
        <v>-202</v>
      </c>
      <c r="D639" s="3118" t="s">
        <v>4348</v>
      </c>
      <c r="E639" s="3119">
        <v>116.67</v>
      </c>
      <c r="F639" s="3119">
        <v>3500100</v>
      </c>
      <c r="G639" s="3070" t="s">
        <v>3503</v>
      </c>
      <c r="H639" s="3070" t="s">
        <v>3230</v>
      </c>
      <c r="I639" s="3070">
        <f t="shared" si="10"/>
        <v>30000</v>
      </c>
      <c r="J639" s="3402"/>
      <c r="K639" s="3402"/>
      <c r="L639" s="3402"/>
      <c r="M639" s="3402"/>
      <c r="N639" s="3402"/>
    </row>
    <row r="640" spans="1:14">
      <c r="A640" s="3399"/>
      <c r="B640" s="3071">
        <v>34</v>
      </c>
      <c r="C640" s="3071" t="s">
        <v>3910</v>
      </c>
      <c r="D640" s="3118" t="s">
        <v>4345</v>
      </c>
      <c r="E640" s="3071"/>
      <c r="F640" s="3071"/>
      <c r="G640" s="3070" t="s">
        <v>3912</v>
      </c>
      <c r="H640" s="3070" t="s">
        <v>3174</v>
      </c>
      <c r="I640" s="3070" t="e">
        <f t="shared" si="10"/>
        <v>#DIV/0!</v>
      </c>
      <c r="J640" s="3402"/>
      <c r="K640" s="3402"/>
      <c r="L640" s="3402"/>
      <c r="M640" s="3402"/>
      <c r="N640" s="3402"/>
    </row>
    <row r="641" spans="1:14">
      <c r="A641" s="3400"/>
      <c r="B641" s="3071">
        <v>34</v>
      </c>
      <c r="C641" s="3071" t="s">
        <v>3910</v>
      </c>
      <c r="D641" s="3118" t="s">
        <v>4345</v>
      </c>
      <c r="E641" s="3071"/>
      <c r="F641" s="3071"/>
      <c r="G641" s="3070" t="s">
        <v>3912</v>
      </c>
      <c r="H641" s="3070" t="s">
        <v>3174</v>
      </c>
      <c r="I641" s="3070" t="e">
        <f t="shared" si="10"/>
        <v>#DIV/0!</v>
      </c>
      <c r="J641" s="3402"/>
      <c r="K641" s="3402"/>
      <c r="L641" s="3402"/>
      <c r="M641" s="3402"/>
      <c r="N641" s="3402"/>
    </row>
    <row r="642" spans="1:14" ht="24">
      <c r="A642" s="3398">
        <v>129</v>
      </c>
      <c r="B642" s="3071">
        <v>34</v>
      </c>
      <c r="C642" s="3072" t="s">
        <v>3524</v>
      </c>
      <c r="D642" s="3118" t="s">
        <v>4349</v>
      </c>
      <c r="E642" s="3119">
        <v>138.41</v>
      </c>
      <c r="F642" s="3119">
        <v>8793602</v>
      </c>
      <c r="G642" s="3070" t="s">
        <v>3173</v>
      </c>
      <c r="H642" s="3070" t="s">
        <v>3058</v>
      </c>
      <c r="I642" s="3070">
        <f t="shared" si="10"/>
        <v>63533</v>
      </c>
      <c r="J642" s="3402"/>
      <c r="K642" s="3402"/>
      <c r="L642" s="3402"/>
      <c r="M642" s="3402"/>
      <c r="N642" s="3402"/>
    </row>
    <row r="643" spans="1:14" ht="24">
      <c r="A643" s="3399"/>
      <c r="B643" s="3071">
        <v>34</v>
      </c>
      <c r="C643" s="3072" t="s">
        <v>3526</v>
      </c>
      <c r="D643" s="3118" t="s">
        <v>4350</v>
      </c>
      <c r="E643" s="3119">
        <v>86.45</v>
      </c>
      <c r="F643" s="3119">
        <v>2593500</v>
      </c>
      <c r="G643" s="3070" t="s">
        <v>3501</v>
      </c>
      <c r="H643" s="3070" t="s">
        <v>3230</v>
      </c>
      <c r="I643" s="3070">
        <f t="shared" si="10"/>
        <v>30000</v>
      </c>
      <c r="J643" s="3402"/>
      <c r="K643" s="3402"/>
      <c r="L643" s="3402"/>
      <c r="M643" s="3402"/>
      <c r="N643" s="3402"/>
    </row>
    <row r="644" spans="1:14">
      <c r="A644" s="3399"/>
      <c r="B644" s="3071">
        <v>34</v>
      </c>
      <c r="C644" s="3072">
        <v>-203</v>
      </c>
      <c r="D644" s="3118" t="s">
        <v>4351</v>
      </c>
      <c r="E644" s="3119">
        <v>116.67</v>
      </c>
      <c r="F644" s="3119">
        <v>3500100</v>
      </c>
      <c r="G644" s="3070" t="s">
        <v>3503</v>
      </c>
      <c r="H644" s="3070" t="s">
        <v>3230</v>
      </c>
      <c r="I644" s="3070">
        <f t="shared" si="10"/>
        <v>30000</v>
      </c>
      <c r="J644" s="3402"/>
      <c r="K644" s="3402"/>
      <c r="L644" s="3402"/>
      <c r="M644" s="3402"/>
      <c r="N644" s="3402"/>
    </row>
    <row r="645" spans="1:14">
      <c r="A645" s="3399"/>
      <c r="B645" s="3071">
        <v>34</v>
      </c>
      <c r="C645" s="3071" t="s">
        <v>3910</v>
      </c>
      <c r="D645" s="3118" t="s">
        <v>4345</v>
      </c>
      <c r="E645" s="3071"/>
      <c r="F645" s="3071"/>
      <c r="G645" s="3070" t="s">
        <v>3912</v>
      </c>
      <c r="H645" s="3070" t="s">
        <v>3174</v>
      </c>
      <c r="I645" s="3070" t="e">
        <f t="shared" si="10"/>
        <v>#DIV/0!</v>
      </c>
      <c r="J645" s="3402"/>
      <c r="K645" s="3402"/>
      <c r="L645" s="3402"/>
      <c r="M645" s="3402"/>
      <c r="N645" s="3402"/>
    </row>
    <row r="646" spans="1:14">
      <c r="A646" s="3400"/>
      <c r="B646" s="3071">
        <v>34</v>
      </c>
      <c r="C646" s="3071" t="s">
        <v>3910</v>
      </c>
      <c r="D646" s="3118" t="s">
        <v>4345</v>
      </c>
      <c r="E646" s="3071"/>
      <c r="F646" s="3071"/>
      <c r="G646" s="3070" t="s">
        <v>3912</v>
      </c>
      <c r="H646" s="3070" t="s">
        <v>3174</v>
      </c>
      <c r="I646" s="3070" t="e">
        <f t="shared" si="10"/>
        <v>#DIV/0!</v>
      </c>
      <c r="J646" s="3402"/>
      <c r="K646" s="3402"/>
      <c r="L646" s="3402"/>
      <c r="M646" s="3402"/>
      <c r="N646" s="3402"/>
    </row>
    <row r="647" spans="1:14" ht="24">
      <c r="A647" s="3398">
        <v>130</v>
      </c>
      <c r="B647" s="3071">
        <v>34</v>
      </c>
      <c r="C647" s="3072" t="s">
        <v>3533</v>
      </c>
      <c r="D647" s="3118" t="s">
        <v>4352</v>
      </c>
      <c r="E647" s="3119">
        <v>138.62</v>
      </c>
      <c r="F647" s="3119">
        <v>8806944</v>
      </c>
      <c r="G647" s="3070" t="s">
        <v>3173</v>
      </c>
      <c r="H647" s="3070" t="s">
        <v>3058</v>
      </c>
      <c r="I647" s="3070">
        <f t="shared" si="10"/>
        <v>63533</v>
      </c>
      <c r="J647" s="3402"/>
      <c r="K647" s="3402"/>
      <c r="L647" s="3402"/>
      <c r="M647" s="3402"/>
      <c r="N647" s="3402"/>
    </row>
    <row r="648" spans="1:14" ht="24">
      <c r="A648" s="3399"/>
      <c r="B648" s="3071">
        <v>34</v>
      </c>
      <c r="C648" s="3072" t="s">
        <v>3535</v>
      </c>
      <c r="D648" s="3118" t="s">
        <v>4353</v>
      </c>
      <c r="E648" s="3119">
        <v>86.73</v>
      </c>
      <c r="F648" s="3119">
        <v>2601900</v>
      </c>
      <c r="G648" s="3070" t="s">
        <v>3501</v>
      </c>
      <c r="H648" s="3070" t="s">
        <v>3230</v>
      </c>
      <c r="I648" s="3070">
        <f t="shared" si="10"/>
        <v>30000</v>
      </c>
      <c r="J648" s="3402"/>
      <c r="K648" s="3402"/>
      <c r="L648" s="3402"/>
      <c r="M648" s="3402"/>
      <c r="N648" s="3402"/>
    </row>
    <row r="649" spans="1:14">
      <c r="A649" s="3399"/>
      <c r="B649" s="3071">
        <v>34</v>
      </c>
      <c r="C649" s="3072">
        <v>-204</v>
      </c>
      <c r="D649" s="3118" t="s">
        <v>4354</v>
      </c>
      <c r="E649" s="3119">
        <v>116.67</v>
      </c>
      <c r="F649" s="3119">
        <v>3500100</v>
      </c>
      <c r="G649" s="3070" t="s">
        <v>3503</v>
      </c>
      <c r="H649" s="3070" t="s">
        <v>3230</v>
      </c>
      <c r="I649" s="3070">
        <f t="shared" si="10"/>
        <v>30000</v>
      </c>
      <c r="J649" s="3402"/>
      <c r="K649" s="3402"/>
      <c r="L649" s="3402"/>
      <c r="M649" s="3402"/>
      <c r="N649" s="3402"/>
    </row>
    <row r="650" spans="1:14">
      <c r="A650" s="3399"/>
      <c r="B650" s="3071">
        <v>34</v>
      </c>
      <c r="C650" s="3071" t="s">
        <v>3910</v>
      </c>
      <c r="D650" s="3118" t="s">
        <v>4345</v>
      </c>
      <c r="E650" s="3071"/>
      <c r="F650" s="3071"/>
      <c r="G650" s="3070" t="s">
        <v>3912</v>
      </c>
      <c r="H650" s="3070" t="s">
        <v>3174</v>
      </c>
      <c r="I650" s="3070" t="e">
        <f t="shared" si="10"/>
        <v>#DIV/0!</v>
      </c>
      <c r="J650" s="3402"/>
      <c r="K650" s="3402"/>
      <c r="L650" s="3402"/>
      <c r="M650" s="3402"/>
      <c r="N650" s="3402"/>
    </row>
    <row r="651" spans="1:14">
      <c r="A651" s="3400"/>
      <c r="B651" s="3071">
        <v>34</v>
      </c>
      <c r="C651" s="3071" t="s">
        <v>3910</v>
      </c>
      <c r="D651" s="3118" t="s">
        <v>4345</v>
      </c>
      <c r="E651" s="3071"/>
      <c r="F651" s="3071"/>
      <c r="G651" s="3070" t="s">
        <v>3912</v>
      </c>
      <c r="H651" s="3070" t="s">
        <v>3174</v>
      </c>
      <c r="I651" s="3070" t="e">
        <f t="shared" si="10"/>
        <v>#DIV/0!</v>
      </c>
      <c r="J651" s="3403"/>
      <c r="K651" s="3403"/>
      <c r="L651" s="3403"/>
      <c r="M651" s="3403"/>
      <c r="N651" s="3403"/>
    </row>
    <row r="652" spans="1:14" ht="24">
      <c r="A652" s="3398">
        <v>131</v>
      </c>
      <c r="B652" s="3071">
        <v>35</v>
      </c>
      <c r="C652" s="3072" t="s">
        <v>3508</v>
      </c>
      <c r="D652" s="3118" t="s">
        <v>4355</v>
      </c>
      <c r="E652" s="3119">
        <v>133.09</v>
      </c>
      <c r="F652" s="3119">
        <v>8455606</v>
      </c>
      <c r="G652" s="3070" t="s">
        <v>3173</v>
      </c>
      <c r="H652" s="3070" t="s">
        <v>3058</v>
      </c>
      <c r="I652" s="3070">
        <f t="shared" si="10"/>
        <v>63533</v>
      </c>
      <c r="J652" s="3401">
        <v>10</v>
      </c>
      <c r="K652" s="3401">
        <v>9</v>
      </c>
      <c r="L652" s="3401">
        <f>E652+E657+E662+E667+E672+E677+E682+E687+E692</f>
        <v>1198.17</v>
      </c>
      <c r="M652" s="3401">
        <f>E653+E654+E658+E659+E663+E664+E668+E669+E673+E674+E678+E679+E683+E684+E688+E689+E693+E694</f>
        <v>1536.0600000000002</v>
      </c>
      <c r="N652" s="3401">
        <f>L652+M652</f>
        <v>2734.2300000000005</v>
      </c>
    </row>
    <row r="653" spans="1:14" ht="24">
      <c r="A653" s="3399"/>
      <c r="B653" s="3071">
        <v>35</v>
      </c>
      <c r="C653" s="3072" t="s">
        <v>3510</v>
      </c>
      <c r="D653" s="3118" t="s">
        <v>4356</v>
      </c>
      <c r="E653" s="3119">
        <v>83.68</v>
      </c>
      <c r="F653" s="3119">
        <v>2510400</v>
      </c>
      <c r="G653" s="3070" t="s">
        <v>3501</v>
      </c>
      <c r="H653" s="3070" t="s">
        <v>3230</v>
      </c>
      <c r="I653" s="3070">
        <f t="shared" si="10"/>
        <v>30000</v>
      </c>
      <c r="J653" s="3402"/>
      <c r="K653" s="3402"/>
      <c r="L653" s="3402"/>
      <c r="M653" s="3402"/>
      <c r="N653" s="3402"/>
    </row>
    <row r="654" spans="1:14">
      <c r="A654" s="3399"/>
      <c r="B654" s="3071">
        <v>35</v>
      </c>
      <c r="C654" s="3072">
        <v>-201</v>
      </c>
      <c r="D654" s="3118" t="s">
        <v>4357</v>
      </c>
      <c r="E654" s="3119">
        <v>86.24</v>
      </c>
      <c r="F654" s="3119">
        <v>2587200</v>
      </c>
      <c r="G654" s="3070" t="s">
        <v>3503</v>
      </c>
      <c r="H654" s="3070" t="s">
        <v>3230</v>
      </c>
      <c r="I654" s="3070">
        <f t="shared" si="10"/>
        <v>30000</v>
      </c>
      <c r="J654" s="3402"/>
      <c r="K654" s="3402"/>
      <c r="L654" s="3402"/>
      <c r="M654" s="3402"/>
      <c r="N654" s="3402"/>
    </row>
    <row r="655" spans="1:14">
      <c r="A655" s="3399"/>
      <c r="B655" s="3071">
        <v>35</v>
      </c>
      <c r="C655" s="3071" t="s">
        <v>3910</v>
      </c>
      <c r="D655" s="3118" t="s">
        <v>4358</v>
      </c>
      <c r="E655" s="3071"/>
      <c r="F655" s="3071"/>
      <c r="G655" s="3070" t="s">
        <v>3912</v>
      </c>
      <c r="H655" s="3070" t="s">
        <v>3174</v>
      </c>
      <c r="I655" s="3070" t="e">
        <f t="shared" si="10"/>
        <v>#DIV/0!</v>
      </c>
      <c r="J655" s="3402"/>
      <c r="K655" s="3402"/>
      <c r="L655" s="3402"/>
      <c r="M655" s="3402"/>
      <c r="N655" s="3402"/>
    </row>
    <row r="656" spans="1:14">
      <c r="A656" s="3400"/>
      <c r="B656" s="3071">
        <v>35</v>
      </c>
      <c r="C656" s="3071" t="s">
        <v>3910</v>
      </c>
      <c r="D656" s="3118" t="s">
        <v>4358</v>
      </c>
      <c r="E656" s="3071"/>
      <c r="F656" s="3071"/>
      <c r="G656" s="3070" t="s">
        <v>3912</v>
      </c>
      <c r="H656" s="3070" t="s">
        <v>3174</v>
      </c>
      <c r="I656" s="3070" t="e">
        <f t="shared" si="10"/>
        <v>#DIV/0!</v>
      </c>
      <c r="J656" s="3402"/>
      <c r="K656" s="3402"/>
      <c r="L656" s="3402"/>
      <c r="M656" s="3402"/>
      <c r="N656" s="3402"/>
    </row>
    <row r="657" spans="1:14" ht="24">
      <c r="A657" s="3398">
        <v>132</v>
      </c>
      <c r="B657" s="3071">
        <v>35</v>
      </c>
      <c r="C657" s="3072" t="s">
        <v>3497</v>
      </c>
      <c r="D657" s="3118" t="s">
        <v>4359</v>
      </c>
      <c r="E657" s="3119">
        <v>133.08000000000001</v>
      </c>
      <c r="F657" s="3119">
        <v>7554951</v>
      </c>
      <c r="G657" s="3070" t="s">
        <v>3173</v>
      </c>
      <c r="H657" s="3070" t="s">
        <v>3058</v>
      </c>
      <c r="I657" s="3070">
        <f t="shared" si="10"/>
        <v>56770</v>
      </c>
      <c r="J657" s="3402"/>
      <c r="K657" s="3402"/>
      <c r="L657" s="3402"/>
      <c r="M657" s="3402"/>
      <c r="N657" s="3402"/>
    </row>
    <row r="658" spans="1:14" ht="24">
      <c r="A658" s="3399"/>
      <c r="B658" s="3071">
        <v>35</v>
      </c>
      <c r="C658" s="3072" t="s">
        <v>3499</v>
      </c>
      <c r="D658" s="3118" t="s">
        <v>4360</v>
      </c>
      <c r="E658" s="3119">
        <v>83.68</v>
      </c>
      <c r="F658" s="3119">
        <v>2510400</v>
      </c>
      <c r="G658" s="3070" t="s">
        <v>3501</v>
      </c>
      <c r="H658" s="3070" t="s">
        <v>3230</v>
      </c>
      <c r="I658" s="3070">
        <f t="shared" si="10"/>
        <v>30000</v>
      </c>
      <c r="J658" s="3402"/>
      <c r="K658" s="3402"/>
      <c r="L658" s="3402"/>
      <c r="M658" s="3402"/>
      <c r="N658" s="3402"/>
    </row>
    <row r="659" spans="1:14">
      <c r="A659" s="3399"/>
      <c r="B659" s="3071">
        <v>35</v>
      </c>
      <c r="C659" s="3072">
        <v>-202</v>
      </c>
      <c r="D659" s="3118" t="s">
        <v>4361</v>
      </c>
      <c r="E659" s="3119">
        <v>86.99</v>
      </c>
      <c r="F659" s="3119">
        <v>2609700</v>
      </c>
      <c r="G659" s="3070" t="s">
        <v>3503</v>
      </c>
      <c r="H659" s="3070" t="s">
        <v>3230</v>
      </c>
      <c r="I659" s="3070">
        <f t="shared" si="10"/>
        <v>30000</v>
      </c>
      <c r="J659" s="3402"/>
      <c r="K659" s="3402"/>
      <c r="L659" s="3402"/>
      <c r="M659" s="3402"/>
      <c r="N659" s="3402"/>
    </row>
    <row r="660" spans="1:14">
      <c r="A660" s="3399"/>
      <c r="B660" s="3071">
        <v>35</v>
      </c>
      <c r="C660" s="3071" t="s">
        <v>4362</v>
      </c>
      <c r="D660" s="3118" t="s">
        <v>4363</v>
      </c>
      <c r="E660" s="3071">
        <v>44.59</v>
      </c>
      <c r="F660" s="3071">
        <v>420000</v>
      </c>
      <c r="G660" s="3070" t="s">
        <v>3174</v>
      </c>
      <c r="H660" s="3070" t="s">
        <v>3174</v>
      </c>
      <c r="I660" s="3070">
        <f t="shared" si="10"/>
        <v>9419</v>
      </c>
      <c r="J660" s="3402"/>
      <c r="K660" s="3402"/>
      <c r="L660" s="3402"/>
      <c r="M660" s="3402"/>
      <c r="N660" s="3402"/>
    </row>
    <row r="661" spans="1:14">
      <c r="A661" s="3400"/>
      <c r="B661" s="3071">
        <v>35</v>
      </c>
      <c r="C661" s="3071" t="s">
        <v>4364</v>
      </c>
      <c r="D661" s="3118" t="s">
        <v>4365</v>
      </c>
      <c r="E661" s="3071">
        <v>44.59</v>
      </c>
      <c r="F661" s="3071">
        <v>420000</v>
      </c>
      <c r="G661" s="3070" t="s">
        <v>3174</v>
      </c>
      <c r="H661" s="3070" t="s">
        <v>3174</v>
      </c>
      <c r="I661" s="3070">
        <f t="shared" si="10"/>
        <v>9419</v>
      </c>
      <c r="J661" s="3402"/>
      <c r="K661" s="3402"/>
      <c r="L661" s="3402"/>
      <c r="M661" s="3402"/>
      <c r="N661" s="3402"/>
    </row>
    <row r="662" spans="1:14" ht="24">
      <c r="A662" s="3398">
        <v>133</v>
      </c>
      <c r="B662" s="3071">
        <v>35</v>
      </c>
      <c r="C662" s="3072" t="s">
        <v>3524</v>
      </c>
      <c r="D662" s="3118" t="s">
        <v>4366</v>
      </c>
      <c r="E662" s="3119">
        <v>133.09</v>
      </c>
      <c r="F662" s="3119">
        <v>7555652</v>
      </c>
      <c r="G662" s="3070" t="s">
        <v>3173</v>
      </c>
      <c r="H662" s="3070" t="s">
        <v>3058</v>
      </c>
      <c r="I662" s="3070">
        <f t="shared" si="10"/>
        <v>56771</v>
      </c>
      <c r="J662" s="3402"/>
      <c r="K662" s="3402"/>
      <c r="L662" s="3402"/>
      <c r="M662" s="3402"/>
      <c r="N662" s="3402"/>
    </row>
    <row r="663" spans="1:14" ht="24">
      <c r="A663" s="3399"/>
      <c r="B663" s="3071">
        <v>35</v>
      </c>
      <c r="C663" s="3072" t="s">
        <v>3526</v>
      </c>
      <c r="D663" s="3118" t="s">
        <v>4367</v>
      </c>
      <c r="E663" s="3119">
        <v>83.68</v>
      </c>
      <c r="F663" s="3119">
        <v>2510400</v>
      </c>
      <c r="G663" s="3070" t="s">
        <v>3501</v>
      </c>
      <c r="H663" s="3070" t="s">
        <v>3230</v>
      </c>
      <c r="I663" s="3070">
        <f t="shared" si="10"/>
        <v>30000</v>
      </c>
      <c r="J663" s="3402"/>
      <c r="K663" s="3402"/>
      <c r="L663" s="3402"/>
      <c r="M663" s="3402"/>
      <c r="N663" s="3402"/>
    </row>
    <row r="664" spans="1:14">
      <c r="A664" s="3399"/>
      <c r="B664" s="3071">
        <v>35</v>
      </c>
      <c r="C664" s="3072">
        <v>-203</v>
      </c>
      <c r="D664" s="3118" t="s">
        <v>4368</v>
      </c>
      <c r="E664" s="3119">
        <v>86.99</v>
      </c>
      <c r="F664" s="3119">
        <v>2609700</v>
      </c>
      <c r="G664" s="3070" t="s">
        <v>3503</v>
      </c>
      <c r="H664" s="3070" t="s">
        <v>3230</v>
      </c>
      <c r="I664" s="3070">
        <f t="shared" si="10"/>
        <v>30000</v>
      </c>
      <c r="J664" s="3402"/>
      <c r="K664" s="3402"/>
      <c r="L664" s="3402"/>
      <c r="M664" s="3402"/>
      <c r="N664" s="3402"/>
    </row>
    <row r="665" spans="1:14">
      <c r="A665" s="3399"/>
      <c r="B665" s="3071">
        <v>35</v>
      </c>
      <c r="C665" s="3071" t="s">
        <v>4369</v>
      </c>
      <c r="D665" s="3118" t="s">
        <v>4370</v>
      </c>
      <c r="E665" s="3071">
        <v>44.59</v>
      </c>
      <c r="F665" s="3071">
        <v>420000</v>
      </c>
      <c r="G665" s="3070" t="s">
        <v>3174</v>
      </c>
      <c r="H665" s="3070" t="s">
        <v>3174</v>
      </c>
      <c r="I665" s="3070">
        <f t="shared" si="10"/>
        <v>9419</v>
      </c>
      <c r="J665" s="3402"/>
      <c r="K665" s="3402"/>
      <c r="L665" s="3402"/>
      <c r="M665" s="3402"/>
      <c r="N665" s="3402"/>
    </row>
    <row r="666" spans="1:14">
      <c r="A666" s="3400"/>
      <c r="B666" s="3071">
        <v>35</v>
      </c>
      <c r="C666" s="3071" t="s">
        <v>4371</v>
      </c>
      <c r="D666" s="3118" t="s">
        <v>4372</v>
      </c>
      <c r="E666" s="3071">
        <v>44.59</v>
      </c>
      <c r="F666" s="3071">
        <v>420000</v>
      </c>
      <c r="G666" s="3070" t="s">
        <v>3174</v>
      </c>
      <c r="H666" s="3070" t="s">
        <v>3174</v>
      </c>
      <c r="I666" s="3070">
        <f t="shared" si="10"/>
        <v>9419</v>
      </c>
      <c r="J666" s="3402"/>
      <c r="K666" s="3402"/>
      <c r="L666" s="3402"/>
      <c r="M666" s="3402"/>
      <c r="N666" s="3402"/>
    </row>
    <row r="667" spans="1:14" ht="24">
      <c r="A667" s="3398">
        <v>134</v>
      </c>
      <c r="B667" s="3071">
        <v>35</v>
      </c>
      <c r="C667" s="3072" t="s">
        <v>3533</v>
      </c>
      <c r="D667" s="3118" t="s">
        <v>4373</v>
      </c>
      <c r="E667" s="3119">
        <v>133.08000000000001</v>
      </c>
      <c r="F667" s="3119">
        <v>7554951</v>
      </c>
      <c r="G667" s="3070" t="s">
        <v>3173</v>
      </c>
      <c r="H667" s="3070" t="s">
        <v>3058</v>
      </c>
      <c r="I667" s="3070">
        <f t="shared" si="10"/>
        <v>56770</v>
      </c>
      <c r="J667" s="3402"/>
      <c r="K667" s="3402"/>
      <c r="L667" s="3402"/>
      <c r="M667" s="3402"/>
      <c r="N667" s="3402"/>
    </row>
    <row r="668" spans="1:14" ht="24">
      <c r="A668" s="3399"/>
      <c r="B668" s="3071">
        <v>35</v>
      </c>
      <c r="C668" s="3072" t="s">
        <v>3535</v>
      </c>
      <c r="D668" s="3118" t="s">
        <v>4374</v>
      </c>
      <c r="E668" s="3119">
        <v>83.69</v>
      </c>
      <c r="F668" s="3119">
        <v>2510700</v>
      </c>
      <c r="G668" s="3070" t="s">
        <v>3501</v>
      </c>
      <c r="H668" s="3070" t="s">
        <v>3230</v>
      </c>
      <c r="I668" s="3070">
        <f t="shared" si="10"/>
        <v>30000</v>
      </c>
      <c r="J668" s="3402"/>
      <c r="K668" s="3402"/>
      <c r="L668" s="3402"/>
      <c r="M668" s="3402"/>
      <c r="N668" s="3402"/>
    </row>
    <row r="669" spans="1:14">
      <c r="A669" s="3399"/>
      <c r="B669" s="3071">
        <v>35</v>
      </c>
      <c r="C669" s="3072">
        <v>-204</v>
      </c>
      <c r="D669" s="3118" t="s">
        <v>4375</v>
      </c>
      <c r="E669" s="3119">
        <v>86.99</v>
      </c>
      <c r="F669" s="3119">
        <v>2609700</v>
      </c>
      <c r="G669" s="3070" t="s">
        <v>3503</v>
      </c>
      <c r="H669" s="3070" t="s">
        <v>3230</v>
      </c>
      <c r="I669" s="3070">
        <f t="shared" si="10"/>
        <v>30000</v>
      </c>
      <c r="J669" s="3402"/>
      <c r="K669" s="3402"/>
      <c r="L669" s="3402"/>
      <c r="M669" s="3402"/>
      <c r="N669" s="3402"/>
    </row>
    <row r="670" spans="1:14">
      <c r="A670" s="3399"/>
      <c r="B670" s="3071">
        <v>35</v>
      </c>
      <c r="C670" s="3071" t="s">
        <v>4376</v>
      </c>
      <c r="D670" s="3118" t="s">
        <v>4377</v>
      </c>
      <c r="E670" s="3071">
        <v>44.59</v>
      </c>
      <c r="F670" s="3071">
        <v>420000</v>
      </c>
      <c r="G670" s="3070" t="s">
        <v>3174</v>
      </c>
      <c r="H670" s="3070" t="s">
        <v>3174</v>
      </c>
      <c r="I670" s="3070">
        <f t="shared" si="10"/>
        <v>9419</v>
      </c>
      <c r="J670" s="3402"/>
      <c r="K670" s="3402"/>
      <c r="L670" s="3402"/>
      <c r="M670" s="3402"/>
      <c r="N670" s="3402"/>
    </row>
    <row r="671" spans="1:14">
      <c r="A671" s="3400"/>
      <c r="B671" s="3071">
        <v>35</v>
      </c>
      <c r="C671" s="3071" t="s">
        <v>4378</v>
      </c>
      <c r="D671" s="3118" t="s">
        <v>4379</v>
      </c>
      <c r="E671" s="3071">
        <v>44.59</v>
      </c>
      <c r="F671" s="3071">
        <v>420000</v>
      </c>
      <c r="G671" s="3070" t="s">
        <v>3174</v>
      </c>
      <c r="H671" s="3070" t="s">
        <v>3174</v>
      </c>
      <c r="I671" s="3070">
        <f t="shared" si="10"/>
        <v>9419</v>
      </c>
      <c r="J671" s="3402"/>
      <c r="K671" s="3402"/>
      <c r="L671" s="3402"/>
      <c r="M671" s="3402"/>
      <c r="N671" s="3402"/>
    </row>
    <row r="672" spans="1:14" ht="24">
      <c r="A672" s="3398">
        <v>135</v>
      </c>
      <c r="B672" s="3071">
        <v>35</v>
      </c>
      <c r="C672" s="3072" t="s">
        <v>3542</v>
      </c>
      <c r="D672" s="3118" t="s">
        <v>4380</v>
      </c>
      <c r="E672" s="3119">
        <v>133.28</v>
      </c>
      <c r="F672" s="3119">
        <v>7867651</v>
      </c>
      <c r="G672" s="3070" t="s">
        <v>3173</v>
      </c>
      <c r="H672" s="3070" t="s">
        <v>3058</v>
      </c>
      <c r="I672" s="3070">
        <f t="shared" si="10"/>
        <v>59031</v>
      </c>
      <c r="J672" s="3402"/>
      <c r="K672" s="3402"/>
      <c r="L672" s="3402"/>
      <c r="M672" s="3402"/>
      <c r="N672" s="3402"/>
    </row>
    <row r="673" spans="1:14" ht="24">
      <c r="A673" s="3399"/>
      <c r="B673" s="3071">
        <v>35</v>
      </c>
      <c r="C673" s="3072" t="s">
        <v>3544</v>
      </c>
      <c r="D673" s="3118" t="s">
        <v>4381</v>
      </c>
      <c r="E673" s="3119">
        <v>84.06</v>
      </c>
      <c r="F673" s="3119">
        <v>2521800</v>
      </c>
      <c r="G673" s="3070" t="s">
        <v>3501</v>
      </c>
      <c r="H673" s="3070" t="s">
        <v>3230</v>
      </c>
      <c r="I673" s="3070">
        <f t="shared" si="10"/>
        <v>30000</v>
      </c>
      <c r="J673" s="3402"/>
      <c r="K673" s="3402"/>
      <c r="L673" s="3402"/>
      <c r="M673" s="3402"/>
      <c r="N673" s="3402"/>
    </row>
    <row r="674" spans="1:14">
      <c r="A674" s="3399"/>
      <c r="B674" s="3071">
        <v>35</v>
      </c>
      <c r="C674" s="3072">
        <v>-205</v>
      </c>
      <c r="D674" s="3118" t="s">
        <v>4382</v>
      </c>
      <c r="E674" s="3119">
        <v>86.99</v>
      </c>
      <c r="F674" s="3119">
        <v>2609700</v>
      </c>
      <c r="G674" s="3070" t="s">
        <v>3503</v>
      </c>
      <c r="H674" s="3070" t="s">
        <v>3230</v>
      </c>
      <c r="I674" s="3070">
        <f t="shared" si="10"/>
        <v>30000</v>
      </c>
      <c r="J674" s="3402"/>
      <c r="K674" s="3402"/>
      <c r="L674" s="3402"/>
      <c r="M674" s="3402"/>
      <c r="N674" s="3402"/>
    </row>
    <row r="675" spans="1:14">
      <c r="A675" s="3399"/>
      <c r="B675" s="3071">
        <v>35</v>
      </c>
      <c r="C675" s="3071" t="s">
        <v>4383</v>
      </c>
      <c r="D675" s="3118" t="s">
        <v>4384</v>
      </c>
      <c r="E675" s="3071">
        <v>44.59</v>
      </c>
      <c r="F675" s="3071">
        <v>420000</v>
      </c>
      <c r="G675" s="3070" t="s">
        <v>3174</v>
      </c>
      <c r="H675" s="3070" t="s">
        <v>3174</v>
      </c>
      <c r="I675" s="3070">
        <f t="shared" si="10"/>
        <v>9419</v>
      </c>
      <c r="J675" s="3402"/>
      <c r="K675" s="3402"/>
      <c r="L675" s="3402"/>
      <c r="M675" s="3402"/>
      <c r="N675" s="3402"/>
    </row>
    <row r="676" spans="1:14">
      <c r="A676" s="3400"/>
      <c r="B676" s="3071">
        <v>35</v>
      </c>
      <c r="C676" s="3071" t="s">
        <v>4385</v>
      </c>
      <c r="D676" s="3118" t="s">
        <v>4386</v>
      </c>
      <c r="E676" s="3071">
        <v>44.59</v>
      </c>
      <c r="F676" s="3071">
        <v>420000</v>
      </c>
      <c r="G676" s="3070" t="s">
        <v>3174</v>
      </c>
      <c r="H676" s="3070" t="s">
        <v>3174</v>
      </c>
      <c r="I676" s="3070">
        <f t="shared" si="10"/>
        <v>9419</v>
      </c>
      <c r="J676" s="3402"/>
      <c r="K676" s="3402"/>
      <c r="L676" s="3402"/>
      <c r="M676" s="3402"/>
      <c r="N676" s="3402"/>
    </row>
    <row r="677" spans="1:14" ht="24">
      <c r="A677" s="3398">
        <v>136</v>
      </c>
      <c r="B677" s="3071">
        <v>35</v>
      </c>
      <c r="C677" s="3072" t="s">
        <v>3560</v>
      </c>
      <c r="D677" s="3118" t="s">
        <v>4387</v>
      </c>
      <c r="E677" s="3119">
        <v>133.09</v>
      </c>
      <c r="F677" s="3119">
        <v>7655602</v>
      </c>
      <c r="G677" s="3070" t="s">
        <v>3173</v>
      </c>
      <c r="H677" s="3070" t="s">
        <v>3058</v>
      </c>
      <c r="I677" s="3070">
        <f t="shared" ref="I677:I725" si="11">ROUND(F677/E677,0)</f>
        <v>57522</v>
      </c>
      <c r="J677" s="3402"/>
      <c r="K677" s="3402"/>
      <c r="L677" s="3402"/>
      <c r="M677" s="3402"/>
      <c r="N677" s="3402"/>
    </row>
    <row r="678" spans="1:14" ht="24">
      <c r="A678" s="3399"/>
      <c r="B678" s="3071">
        <v>35</v>
      </c>
      <c r="C678" s="3072" t="s">
        <v>3562</v>
      </c>
      <c r="D678" s="3118" t="s">
        <v>4388</v>
      </c>
      <c r="E678" s="3119">
        <v>83.68</v>
      </c>
      <c r="F678" s="3119">
        <v>2510400</v>
      </c>
      <c r="G678" s="3070" t="s">
        <v>3501</v>
      </c>
      <c r="H678" s="3070" t="s">
        <v>3230</v>
      </c>
      <c r="I678" s="3070">
        <f t="shared" si="11"/>
        <v>30000</v>
      </c>
      <c r="J678" s="3402"/>
      <c r="K678" s="3402"/>
      <c r="L678" s="3402"/>
      <c r="M678" s="3402"/>
      <c r="N678" s="3402"/>
    </row>
    <row r="679" spans="1:14">
      <c r="A679" s="3399"/>
      <c r="B679" s="3071">
        <v>35</v>
      </c>
      <c r="C679" s="3072">
        <v>-207</v>
      </c>
      <c r="D679" s="3118" t="s">
        <v>4389</v>
      </c>
      <c r="E679" s="3119">
        <v>86.99</v>
      </c>
      <c r="F679" s="3119">
        <v>2609700</v>
      </c>
      <c r="G679" s="3070" t="s">
        <v>3503</v>
      </c>
      <c r="H679" s="3070" t="s">
        <v>3230</v>
      </c>
      <c r="I679" s="3070">
        <f t="shared" si="11"/>
        <v>30000</v>
      </c>
      <c r="J679" s="3402"/>
      <c r="K679" s="3402"/>
      <c r="L679" s="3402"/>
      <c r="M679" s="3402"/>
      <c r="N679" s="3402"/>
    </row>
    <row r="680" spans="1:14">
      <c r="A680" s="3399"/>
      <c r="B680" s="3071">
        <v>35</v>
      </c>
      <c r="C680" s="3071" t="s">
        <v>4390</v>
      </c>
      <c r="D680" s="3118" t="s">
        <v>4391</v>
      </c>
      <c r="E680" s="3071">
        <v>44.63</v>
      </c>
      <c r="F680" s="3071">
        <v>420000</v>
      </c>
      <c r="G680" s="3070" t="s">
        <v>3174</v>
      </c>
      <c r="H680" s="3070" t="s">
        <v>3174</v>
      </c>
      <c r="I680" s="3070">
        <f t="shared" si="11"/>
        <v>9411</v>
      </c>
      <c r="J680" s="3402"/>
      <c r="K680" s="3402"/>
      <c r="L680" s="3402"/>
      <c r="M680" s="3402"/>
      <c r="N680" s="3402"/>
    </row>
    <row r="681" spans="1:14">
      <c r="A681" s="3400"/>
      <c r="B681" s="3071">
        <v>35</v>
      </c>
      <c r="C681" s="3071" t="s">
        <v>4392</v>
      </c>
      <c r="D681" s="3118" t="s">
        <v>4393</v>
      </c>
      <c r="E681" s="3071">
        <v>44.59</v>
      </c>
      <c r="F681" s="3071">
        <v>420000</v>
      </c>
      <c r="G681" s="3070" t="s">
        <v>3174</v>
      </c>
      <c r="H681" s="3070" t="s">
        <v>3174</v>
      </c>
      <c r="I681" s="3070">
        <f t="shared" si="11"/>
        <v>9419</v>
      </c>
      <c r="J681" s="3402"/>
      <c r="K681" s="3402"/>
      <c r="L681" s="3402"/>
      <c r="M681" s="3402"/>
      <c r="N681" s="3402"/>
    </row>
    <row r="682" spans="1:14" ht="24">
      <c r="A682" s="3398">
        <v>137</v>
      </c>
      <c r="B682" s="3071">
        <v>35</v>
      </c>
      <c r="C682" s="3072" t="s">
        <v>3611</v>
      </c>
      <c r="D682" s="3118" t="s">
        <v>4394</v>
      </c>
      <c r="E682" s="3119">
        <v>133.09</v>
      </c>
      <c r="F682" s="3119">
        <v>7755553</v>
      </c>
      <c r="G682" s="3070" t="s">
        <v>3173</v>
      </c>
      <c r="H682" s="3070" t="s">
        <v>3058</v>
      </c>
      <c r="I682" s="3070">
        <f t="shared" si="11"/>
        <v>58273</v>
      </c>
      <c r="J682" s="3402"/>
      <c r="K682" s="3402"/>
      <c r="L682" s="3402"/>
      <c r="M682" s="3402"/>
      <c r="N682" s="3402"/>
    </row>
    <row r="683" spans="1:14" ht="24">
      <c r="A683" s="3399"/>
      <c r="B683" s="3071">
        <v>35</v>
      </c>
      <c r="C683" s="3072" t="s">
        <v>3613</v>
      </c>
      <c r="D683" s="3118" t="s">
        <v>4395</v>
      </c>
      <c r="E683" s="3119">
        <v>83.68</v>
      </c>
      <c r="F683" s="3119">
        <v>2510400</v>
      </c>
      <c r="G683" s="3070" t="s">
        <v>3501</v>
      </c>
      <c r="H683" s="3070" t="s">
        <v>3230</v>
      </c>
      <c r="I683" s="3070">
        <f t="shared" si="11"/>
        <v>30000</v>
      </c>
      <c r="J683" s="3402"/>
      <c r="K683" s="3402"/>
      <c r="L683" s="3402"/>
      <c r="M683" s="3402"/>
      <c r="N683" s="3402"/>
    </row>
    <row r="684" spans="1:14">
      <c r="A684" s="3399"/>
      <c r="B684" s="3071">
        <v>35</v>
      </c>
      <c r="C684" s="3072">
        <v>-208</v>
      </c>
      <c r="D684" s="3118" t="s">
        <v>4396</v>
      </c>
      <c r="E684" s="3119">
        <v>86.99</v>
      </c>
      <c r="F684" s="3119">
        <v>2609700</v>
      </c>
      <c r="G684" s="3070" t="s">
        <v>3503</v>
      </c>
      <c r="H684" s="3070" t="s">
        <v>3230</v>
      </c>
      <c r="I684" s="3070">
        <f t="shared" si="11"/>
        <v>30000</v>
      </c>
      <c r="J684" s="3402"/>
      <c r="K684" s="3402"/>
      <c r="L684" s="3402"/>
      <c r="M684" s="3402"/>
      <c r="N684" s="3402"/>
    </row>
    <row r="685" spans="1:14">
      <c r="A685" s="3399"/>
      <c r="B685" s="3071">
        <v>35</v>
      </c>
      <c r="C685" s="3071" t="s">
        <v>4397</v>
      </c>
      <c r="D685" s="3118" t="s">
        <v>4398</v>
      </c>
      <c r="E685" s="3071">
        <v>44.59</v>
      </c>
      <c r="F685" s="3071">
        <v>420000</v>
      </c>
      <c r="G685" s="3070" t="s">
        <v>3174</v>
      </c>
      <c r="H685" s="3070" t="s">
        <v>3174</v>
      </c>
      <c r="I685" s="3070">
        <f t="shared" si="11"/>
        <v>9419</v>
      </c>
      <c r="J685" s="3402"/>
      <c r="K685" s="3402"/>
      <c r="L685" s="3402"/>
      <c r="M685" s="3402"/>
      <c r="N685" s="3402"/>
    </row>
    <row r="686" spans="1:14">
      <c r="A686" s="3400"/>
      <c r="B686" s="3071">
        <v>35</v>
      </c>
      <c r="C686" s="3071" t="s">
        <v>4399</v>
      </c>
      <c r="D686" s="3118" t="s">
        <v>4400</v>
      </c>
      <c r="E686" s="3071">
        <v>44.59</v>
      </c>
      <c r="F686" s="3071">
        <v>420000</v>
      </c>
      <c r="G686" s="3070" t="s">
        <v>3174</v>
      </c>
      <c r="H686" s="3070" t="s">
        <v>3174</v>
      </c>
      <c r="I686" s="3070">
        <f t="shared" si="11"/>
        <v>9419</v>
      </c>
      <c r="J686" s="3402"/>
      <c r="K686" s="3402"/>
      <c r="L686" s="3402"/>
      <c r="M686" s="3402"/>
      <c r="N686" s="3402"/>
    </row>
    <row r="687" spans="1:14" ht="24">
      <c r="A687" s="3398">
        <v>138</v>
      </c>
      <c r="B687" s="3071">
        <v>35</v>
      </c>
      <c r="C687" s="3072" t="s">
        <v>4401</v>
      </c>
      <c r="D687" s="3118" t="s">
        <v>4402</v>
      </c>
      <c r="E687" s="3119">
        <v>133.09</v>
      </c>
      <c r="F687" s="3119">
        <v>7655602</v>
      </c>
      <c r="G687" s="3070" t="s">
        <v>3173</v>
      </c>
      <c r="H687" s="3070" t="s">
        <v>3058</v>
      </c>
      <c r="I687" s="3070">
        <f t="shared" si="11"/>
        <v>57522</v>
      </c>
      <c r="J687" s="3402"/>
      <c r="K687" s="3402"/>
      <c r="L687" s="3402"/>
      <c r="M687" s="3402"/>
      <c r="N687" s="3402"/>
    </row>
    <row r="688" spans="1:14" ht="24">
      <c r="A688" s="3399"/>
      <c r="B688" s="3071">
        <v>35</v>
      </c>
      <c r="C688" s="3072" t="s">
        <v>4403</v>
      </c>
      <c r="D688" s="3118" t="s">
        <v>4404</v>
      </c>
      <c r="E688" s="3119">
        <v>83.69</v>
      </c>
      <c r="F688" s="3119">
        <v>2510700</v>
      </c>
      <c r="G688" s="3070" t="s">
        <v>3501</v>
      </c>
      <c r="H688" s="3070" t="s">
        <v>3230</v>
      </c>
      <c r="I688" s="3070">
        <f t="shared" si="11"/>
        <v>30000</v>
      </c>
      <c r="J688" s="3402"/>
      <c r="K688" s="3402"/>
      <c r="L688" s="3402"/>
      <c r="M688" s="3402"/>
      <c r="N688" s="3402"/>
    </row>
    <row r="689" spans="1:14">
      <c r="A689" s="3399"/>
      <c r="B689" s="3071">
        <v>35</v>
      </c>
      <c r="C689" s="3072">
        <v>-209</v>
      </c>
      <c r="D689" s="3118" t="s">
        <v>4405</v>
      </c>
      <c r="E689" s="3119">
        <v>86.99</v>
      </c>
      <c r="F689" s="3119">
        <v>2609700</v>
      </c>
      <c r="G689" s="3070" t="s">
        <v>3503</v>
      </c>
      <c r="H689" s="3070" t="s">
        <v>3230</v>
      </c>
      <c r="I689" s="3070">
        <f t="shared" si="11"/>
        <v>30000</v>
      </c>
      <c r="J689" s="3402"/>
      <c r="K689" s="3402"/>
      <c r="L689" s="3402"/>
      <c r="M689" s="3402"/>
      <c r="N689" s="3402"/>
    </row>
    <row r="690" spans="1:14">
      <c r="A690" s="3399"/>
      <c r="B690" s="3071">
        <v>35</v>
      </c>
      <c r="C690" s="3071" t="s">
        <v>4406</v>
      </c>
      <c r="D690" s="3118" t="s">
        <v>4407</v>
      </c>
      <c r="E690" s="3071">
        <v>44.59</v>
      </c>
      <c r="F690" s="3071">
        <v>420000</v>
      </c>
      <c r="G690" s="3070" t="s">
        <v>3174</v>
      </c>
      <c r="H690" s="3070" t="s">
        <v>3174</v>
      </c>
      <c r="I690" s="3070">
        <f t="shared" si="11"/>
        <v>9419</v>
      </c>
      <c r="J690" s="3402"/>
      <c r="K690" s="3402"/>
      <c r="L690" s="3402"/>
      <c r="M690" s="3402"/>
      <c r="N690" s="3402"/>
    </row>
    <row r="691" spans="1:14">
      <c r="A691" s="3400"/>
      <c r="B691" s="3071">
        <v>35</v>
      </c>
      <c r="C691" s="3071" t="s">
        <v>4408</v>
      </c>
      <c r="D691" s="3118" t="s">
        <v>4409</v>
      </c>
      <c r="E691" s="3071">
        <v>44.59</v>
      </c>
      <c r="F691" s="3071">
        <v>420000</v>
      </c>
      <c r="G691" s="3070" t="s">
        <v>3174</v>
      </c>
      <c r="H691" s="3070" t="s">
        <v>3174</v>
      </c>
      <c r="I691" s="3070">
        <f t="shared" si="11"/>
        <v>9419</v>
      </c>
      <c r="J691" s="3402"/>
      <c r="K691" s="3402"/>
      <c r="L691" s="3402"/>
      <c r="M691" s="3402"/>
      <c r="N691" s="3402"/>
    </row>
    <row r="692" spans="1:14" ht="24">
      <c r="A692" s="3398">
        <v>139</v>
      </c>
      <c r="B692" s="3071">
        <v>35</v>
      </c>
      <c r="C692" s="3072" t="s">
        <v>4410</v>
      </c>
      <c r="D692" s="3118" t="s">
        <v>4411</v>
      </c>
      <c r="E692" s="3119">
        <v>133.28</v>
      </c>
      <c r="F692" s="3119">
        <v>7767691</v>
      </c>
      <c r="G692" s="3070" t="s">
        <v>3173</v>
      </c>
      <c r="H692" s="3070" t="s">
        <v>3058</v>
      </c>
      <c r="I692" s="3070">
        <f t="shared" si="11"/>
        <v>58281</v>
      </c>
      <c r="J692" s="3402"/>
      <c r="K692" s="3402"/>
      <c r="L692" s="3402"/>
      <c r="M692" s="3402"/>
      <c r="N692" s="3402"/>
    </row>
    <row r="693" spans="1:14" ht="24">
      <c r="A693" s="3399"/>
      <c r="B693" s="3071">
        <v>35</v>
      </c>
      <c r="C693" s="3072" t="s">
        <v>4412</v>
      </c>
      <c r="D693" s="3118" t="s">
        <v>4413</v>
      </c>
      <c r="E693" s="3119">
        <v>84.06</v>
      </c>
      <c r="F693" s="3119">
        <v>2521800</v>
      </c>
      <c r="G693" s="3070" t="s">
        <v>3501</v>
      </c>
      <c r="H693" s="3070" t="s">
        <v>3230</v>
      </c>
      <c r="I693" s="3070">
        <f t="shared" si="11"/>
        <v>30000</v>
      </c>
      <c r="J693" s="3402"/>
      <c r="K693" s="3402"/>
      <c r="L693" s="3402"/>
      <c r="M693" s="3402"/>
      <c r="N693" s="3402"/>
    </row>
    <row r="694" spans="1:14">
      <c r="A694" s="3399"/>
      <c r="B694" s="3071">
        <v>35</v>
      </c>
      <c r="C694" s="3072">
        <v>-210</v>
      </c>
      <c r="D694" s="3118" t="s">
        <v>4414</v>
      </c>
      <c r="E694" s="3119">
        <v>86.99</v>
      </c>
      <c r="F694" s="3119">
        <v>2609700</v>
      </c>
      <c r="G694" s="3070" t="s">
        <v>3503</v>
      </c>
      <c r="H694" s="3070" t="s">
        <v>3230</v>
      </c>
      <c r="I694" s="3070">
        <f t="shared" si="11"/>
        <v>30000</v>
      </c>
      <c r="J694" s="3402"/>
      <c r="K694" s="3402"/>
      <c r="L694" s="3402"/>
      <c r="M694" s="3402"/>
      <c r="N694" s="3402"/>
    </row>
    <row r="695" spans="1:14">
      <c r="A695" s="3399"/>
      <c r="B695" s="3071">
        <v>35</v>
      </c>
      <c r="C695" s="3071" t="s">
        <v>4415</v>
      </c>
      <c r="D695" s="3118" t="s">
        <v>4416</v>
      </c>
      <c r="E695" s="3071">
        <v>44.59</v>
      </c>
      <c r="F695" s="3071">
        <v>420000</v>
      </c>
      <c r="G695" s="3070" t="s">
        <v>3174</v>
      </c>
      <c r="H695" s="3070" t="s">
        <v>3174</v>
      </c>
      <c r="I695" s="3070">
        <f t="shared" si="11"/>
        <v>9419</v>
      </c>
      <c r="J695" s="3402"/>
      <c r="K695" s="3402"/>
      <c r="L695" s="3402"/>
      <c r="M695" s="3402"/>
      <c r="N695" s="3402"/>
    </row>
    <row r="696" spans="1:14">
      <c r="A696" s="3400"/>
      <c r="B696" s="3071">
        <v>35</v>
      </c>
      <c r="C696" s="3071" t="s">
        <v>4417</v>
      </c>
      <c r="D696" s="3118" t="s">
        <v>4418</v>
      </c>
      <c r="E696" s="3071">
        <v>44.59</v>
      </c>
      <c r="F696" s="3071">
        <v>420000</v>
      </c>
      <c r="G696" s="3070" t="s">
        <v>3174</v>
      </c>
      <c r="H696" s="3070" t="s">
        <v>3174</v>
      </c>
      <c r="I696" s="3070">
        <f t="shared" si="11"/>
        <v>9419</v>
      </c>
      <c r="J696" s="3403"/>
      <c r="K696" s="3403"/>
      <c r="L696" s="3403"/>
      <c r="M696" s="3403"/>
      <c r="N696" s="3403"/>
    </row>
    <row r="697" spans="1:14" ht="24">
      <c r="A697" s="3398">
        <v>140</v>
      </c>
      <c r="B697" s="3071">
        <v>36</v>
      </c>
      <c r="C697" s="3072" t="s">
        <v>3524</v>
      </c>
      <c r="D697" s="3118" t="s">
        <v>4419</v>
      </c>
      <c r="E697" s="3119">
        <v>133.75</v>
      </c>
      <c r="F697" s="3119">
        <v>8497538</v>
      </c>
      <c r="G697" s="3070" t="s">
        <v>3173</v>
      </c>
      <c r="H697" s="3070" t="s">
        <v>3058</v>
      </c>
      <c r="I697" s="3070">
        <f t="shared" si="11"/>
        <v>63533</v>
      </c>
      <c r="J697" s="3401">
        <v>9</v>
      </c>
      <c r="K697" s="3401">
        <v>6</v>
      </c>
      <c r="L697" s="3401">
        <f>+E697+E702+E707+E712+E717+E722</f>
        <v>804.53</v>
      </c>
      <c r="M697" s="3401">
        <f>+E698+E699+E703+E704+E708+E709++E713+E714+E718+E719+E723+E724</f>
        <v>1009.9</v>
      </c>
      <c r="N697" s="3401">
        <f>L697+M697</f>
        <v>1814.4299999999998</v>
      </c>
    </row>
    <row r="698" spans="1:14" ht="24">
      <c r="A698" s="3399"/>
      <c r="B698" s="3071">
        <v>36</v>
      </c>
      <c r="C698" s="3072" t="s">
        <v>3526</v>
      </c>
      <c r="D698" s="3118" t="s">
        <v>4420</v>
      </c>
      <c r="E698" s="3119">
        <v>84.11</v>
      </c>
      <c r="F698" s="3119">
        <v>2523300</v>
      </c>
      <c r="G698" s="3070" t="s">
        <v>3501</v>
      </c>
      <c r="H698" s="3070" t="s">
        <v>3230</v>
      </c>
      <c r="I698" s="3070">
        <f t="shared" si="11"/>
        <v>30000</v>
      </c>
      <c r="J698" s="3402"/>
      <c r="K698" s="3402"/>
      <c r="L698" s="3402"/>
      <c r="M698" s="3402"/>
      <c r="N698" s="3402"/>
    </row>
    <row r="699" spans="1:14">
      <c r="A699" s="3399"/>
      <c r="B699" s="3071">
        <v>36</v>
      </c>
      <c r="C699" s="3072">
        <v>-203</v>
      </c>
      <c r="D699" s="3118" t="s">
        <v>4421</v>
      </c>
      <c r="E699" s="3119">
        <v>84.15</v>
      </c>
      <c r="F699" s="3119">
        <v>2524500</v>
      </c>
      <c r="G699" s="3070" t="s">
        <v>3503</v>
      </c>
      <c r="H699" s="3070" t="s">
        <v>3230</v>
      </c>
      <c r="I699" s="3070">
        <f t="shared" si="11"/>
        <v>30000</v>
      </c>
      <c r="J699" s="3402"/>
      <c r="K699" s="3402"/>
      <c r="L699" s="3402"/>
      <c r="M699" s="3402"/>
      <c r="N699" s="3402"/>
    </row>
    <row r="700" spans="1:14">
      <c r="A700" s="3399"/>
      <c r="B700" s="3071">
        <v>36</v>
      </c>
      <c r="C700" s="3071" t="s">
        <v>3183</v>
      </c>
      <c r="D700" s="3118" t="s">
        <v>4422</v>
      </c>
      <c r="E700" s="3071">
        <v>44.59</v>
      </c>
      <c r="F700" s="3071">
        <v>420000</v>
      </c>
      <c r="G700" s="3070" t="s">
        <v>3174</v>
      </c>
      <c r="H700" s="3070" t="s">
        <v>3174</v>
      </c>
      <c r="I700" s="3070">
        <f t="shared" si="11"/>
        <v>9419</v>
      </c>
      <c r="J700" s="3402"/>
      <c r="K700" s="3402"/>
      <c r="L700" s="3402"/>
      <c r="M700" s="3402"/>
      <c r="N700" s="3402"/>
    </row>
    <row r="701" spans="1:14">
      <c r="A701" s="3400"/>
      <c r="B701" s="3071">
        <v>36</v>
      </c>
      <c r="C701" s="3071" t="s">
        <v>3184</v>
      </c>
      <c r="D701" s="3118" t="s">
        <v>4423</v>
      </c>
      <c r="E701" s="3071">
        <v>44.59</v>
      </c>
      <c r="F701" s="3071">
        <v>420000</v>
      </c>
      <c r="G701" s="3070" t="s">
        <v>3174</v>
      </c>
      <c r="H701" s="3070" t="s">
        <v>3174</v>
      </c>
      <c r="I701" s="3070">
        <f t="shared" si="11"/>
        <v>9419</v>
      </c>
      <c r="J701" s="3402"/>
      <c r="K701" s="3402"/>
      <c r="L701" s="3402"/>
      <c r="M701" s="3402"/>
      <c r="N701" s="3402"/>
    </row>
    <row r="702" spans="1:14" ht="24">
      <c r="A702" s="3398">
        <v>141</v>
      </c>
      <c r="B702" s="3071">
        <v>36</v>
      </c>
      <c r="C702" s="3072" t="s">
        <v>3533</v>
      </c>
      <c r="D702" s="3118" t="s">
        <v>4424</v>
      </c>
      <c r="E702" s="3119">
        <v>133.94999999999999</v>
      </c>
      <c r="F702" s="3119">
        <v>7710295</v>
      </c>
      <c r="G702" s="3070" t="s">
        <v>3173</v>
      </c>
      <c r="H702" s="3070" t="s">
        <v>3058</v>
      </c>
      <c r="I702" s="3070">
        <f t="shared" si="11"/>
        <v>57561</v>
      </c>
      <c r="J702" s="3402"/>
      <c r="K702" s="3402"/>
      <c r="L702" s="3402"/>
      <c r="M702" s="3402"/>
      <c r="N702" s="3402"/>
    </row>
    <row r="703" spans="1:14" ht="24">
      <c r="A703" s="3399"/>
      <c r="B703" s="3071">
        <v>36</v>
      </c>
      <c r="C703" s="3072" t="s">
        <v>3535</v>
      </c>
      <c r="D703" s="3118" t="s">
        <v>4425</v>
      </c>
      <c r="E703" s="3119">
        <v>84.48</v>
      </c>
      <c r="F703" s="3119">
        <v>2534400</v>
      </c>
      <c r="G703" s="3070" t="s">
        <v>3501</v>
      </c>
      <c r="H703" s="3070" t="s">
        <v>3230</v>
      </c>
      <c r="I703" s="3070">
        <f t="shared" si="11"/>
        <v>30000</v>
      </c>
      <c r="J703" s="3402"/>
      <c r="K703" s="3402"/>
      <c r="L703" s="3402"/>
      <c r="M703" s="3402"/>
      <c r="N703" s="3402"/>
    </row>
    <row r="704" spans="1:14">
      <c r="A704" s="3399"/>
      <c r="B704" s="3071">
        <v>36</v>
      </c>
      <c r="C704" s="3072">
        <v>-204</v>
      </c>
      <c r="D704" s="3118" t="s">
        <v>4426</v>
      </c>
      <c r="E704" s="3119">
        <v>84.15</v>
      </c>
      <c r="F704" s="3119">
        <v>2524500</v>
      </c>
      <c r="G704" s="3070" t="s">
        <v>3503</v>
      </c>
      <c r="H704" s="3070" t="s">
        <v>3230</v>
      </c>
      <c r="I704" s="3070">
        <f t="shared" si="11"/>
        <v>30000</v>
      </c>
      <c r="J704" s="3402"/>
      <c r="K704" s="3402"/>
      <c r="L704" s="3402"/>
      <c r="M704" s="3402"/>
      <c r="N704" s="3402"/>
    </row>
    <row r="705" spans="1:14">
      <c r="A705" s="3399"/>
      <c r="B705" s="3071">
        <v>36</v>
      </c>
      <c r="C705" s="3071" t="s">
        <v>4427</v>
      </c>
      <c r="D705" s="3118" t="s">
        <v>4428</v>
      </c>
      <c r="E705" s="3071">
        <v>44.59</v>
      </c>
      <c r="F705" s="3071">
        <v>420000</v>
      </c>
      <c r="G705" s="3070" t="s">
        <v>3174</v>
      </c>
      <c r="H705" s="3070" t="s">
        <v>3174</v>
      </c>
      <c r="I705" s="3070">
        <f t="shared" si="11"/>
        <v>9419</v>
      </c>
      <c r="J705" s="3402"/>
      <c r="K705" s="3402"/>
      <c r="L705" s="3402"/>
      <c r="M705" s="3402"/>
      <c r="N705" s="3402"/>
    </row>
    <row r="706" spans="1:14">
      <c r="A706" s="3400"/>
      <c r="B706" s="3071">
        <v>36</v>
      </c>
      <c r="C706" s="3071" t="s">
        <v>4429</v>
      </c>
      <c r="D706" s="3118" t="s">
        <v>4430</v>
      </c>
      <c r="E706" s="3071">
        <v>44.59</v>
      </c>
      <c r="F706" s="3071">
        <v>420000</v>
      </c>
      <c r="G706" s="3070" t="s">
        <v>3174</v>
      </c>
      <c r="H706" s="3070" t="s">
        <v>3174</v>
      </c>
      <c r="I706" s="3070">
        <f t="shared" si="11"/>
        <v>9419</v>
      </c>
      <c r="J706" s="3402"/>
      <c r="K706" s="3402"/>
      <c r="L706" s="3402"/>
      <c r="M706" s="3402"/>
      <c r="N706" s="3402"/>
    </row>
    <row r="707" spans="1:14" ht="24">
      <c r="A707" s="3398">
        <v>142</v>
      </c>
      <c r="B707" s="3071">
        <v>36</v>
      </c>
      <c r="C707" s="3072" t="s">
        <v>3542</v>
      </c>
      <c r="D707" s="3118" t="s">
        <v>4431</v>
      </c>
      <c r="E707" s="3119">
        <v>133.76</v>
      </c>
      <c r="F707" s="3119">
        <v>8498174</v>
      </c>
      <c r="G707" s="3070" t="s">
        <v>3173</v>
      </c>
      <c r="H707" s="3070" t="s">
        <v>3058</v>
      </c>
      <c r="I707" s="3070">
        <f t="shared" si="11"/>
        <v>63533</v>
      </c>
      <c r="J707" s="3402"/>
      <c r="K707" s="3402"/>
      <c r="L707" s="3402"/>
      <c r="M707" s="3402"/>
      <c r="N707" s="3402"/>
    </row>
    <row r="708" spans="1:14" ht="24">
      <c r="A708" s="3399"/>
      <c r="B708" s="3071">
        <v>36</v>
      </c>
      <c r="C708" s="3072" t="s">
        <v>3544</v>
      </c>
      <c r="D708" s="3118" t="s">
        <v>4432</v>
      </c>
      <c r="E708" s="3119">
        <v>84.1</v>
      </c>
      <c r="F708" s="3119">
        <v>2523000</v>
      </c>
      <c r="G708" s="3070" t="s">
        <v>3501</v>
      </c>
      <c r="H708" s="3070" t="s">
        <v>3230</v>
      </c>
      <c r="I708" s="3070">
        <f t="shared" si="11"/>
        <v>30000</v>
      </c>
      <c r="J708" s="3402"/>
      <c r="K708" s="3402"/>
      <c r="L708" s="3402"/>
      <c r="M708" s="3402"/>
      <c r="N708" s="3402"/>
    </row>
    <row r="709" spans="1:14">
      <c r="A709" s="3399"/>
      <c r="B709" s="3071">
        <v>36</v>
      </c>
      <c r="C709" s="3072">
        <v>-205</v>
      </c>
      <c r="D709" s="3118" t="s">
        <v>4433</v>
      </c>
      <c r="E709" s="3119">
        <v>83.43</v>
      </c>
      <c r="F709" s="3119">
        <v>2502900</v>
      </c>
      <c r="G709" s="3070" t="s">
        <v>3503</v>
      </c>
      <c r="H709" s="3070" t="s">
        <v>3230</v>
      </c>
      <c r="I709" s="3070">
        <f t="shared" si="11"/>
        <v>30000</v>
      </c>
      <c r="J709" s="3402"/>
      <c r="K709" s="3402"/>
      <c r="L709" s="3402"/>
      <c r="M709" s="3402"/>
      <c r="N709" s="3402"/>
    </row>
    <row r="710" spans="1:14">
      <c r="A710" s="3399"/>
      <c r="B710" s="3071">
        <v>36</v>
      </c>
      <c r="C710" s="3071" t="s">
        <v>4434</v>
      </c>
      <c r="D710" s="3118" t="s">
        <v>4435</v>
      </c>
      <c r="E710" s="3071">
        <v>44.59</v>
      </c>
      <c r="F710" s="3071">
        <v>420000</v>
      </c>
      <c r="G710" s="3070" t="s">
        <v>3174</v>
      </c>
      <c r="H710" s="3070" t="s">
        <v>3174</v>
      </c>
      <c r="I710" s="3070">
        <f t="shared" si="11"/>
        <v>9419</v>
      </c>
      <c r="J710" s="3402"/>
      <c r="K710" s="3402"/>
      <c r="L710" s="3402"/>
      <c r="M710" s="3402"/>
      <c r="N710" s="3402"/>
    </row>
    <row r="711" spans="1:14">
      <c r="A711" s="3400"/>
      <c r="B711" s="3071">
        <v>36</v>
      </c>
      <c r="C711" s="3071" t="s">
        <v>4436</v>
      </c>
      <c r="D711" s="3118" t="s">
        <v>4437</v>
      </c>
      <c r="E711" s="3071">
        <v>44.59</v>
      </c>
      <c r="F711" s="3071">
        <v>420000</v>
      </c>
      <c r="G711" s="3070" t="s">
        <v>3174</v>
      </c>
      <c r="H711" s="3070" t="s">
        <v>3174</v>
      </c>
      <c r="I711" s="3070">
        <f t="shared" si="11"/>
        <v>9419</v>
      </c>
      <c r="J711" s="3402"/>
      <c r="K711" s="3402"/>
      <c r="L711" s="3402"/>
      <c r="M711" s="3402"/>
      <c r="N711" s="3402"/>
    </row>
    <row r="712" spans="1:14" ht="24">
      <c r="A712" s="3398">
        <v>143</v>
      </c>
      <c r="B712" s="3071">
        <v>36</v>
      </c>
      <c r="C712" s="3072" t="s">
        <v>3560</v>
      </c>
      <c r="D712" s="3118" t="s">
        <v>4438</v>
      </c>
      <c r="E712" s="3119">
        <v>135.36000000000001</v>
      </c>
      <c r="F712" s="3119">
        <v>8599826</v>
      </c>
      <c r="G712" s="3070" t="s">
        <v>3173</v>
      </c>
      <c r="H712" s="3070" t="s">
        <v>3058</v>
      </c>
      <c r="I712" s="3070">
        <f t="shared" si="11"/>
        <v>63533</v>
      </c>
      <c r="J712" s="3402"/>
      <c r="K712" s="3402"/>
      <c r="L712" s="3402"/>
      <c r="M712" s="3402"/>
      <c r="N712" s="3402"/>
    </row>
    <row r="713" spans="1:14" ht="24">
      <c r="A713" s="3399"/>
      <c r="B713" s="3071">
        <v>36</v>
      </c>
      <c r="C713" s="3072" t="s">
        <v>3562</v>
      </c>
      <c r="D713" s="3118" t="s">
        <v>4439</v>
      </c>
      <c r="E713" s="3119">
        <v>84.44</v>
      </c>
      <c r="F713" s="3119">
        <v>2533200</v>
      </c>
      <c r="G713" s="3070" t="s">
        <v>3501</v>
      </c>
      <c r="H713" s="3070" t="s">
        <v>3230</v>
      </c>
      <c r="I713" s="3070">
        <f t="shared" si="11"/>
        <v>30000</v>
      </c>
      <c r="J713" s="3402"/>
      <c r="K713" s="3402"/>
      <c r="L713" s="3402"/>
      <c r="M713" s="3402"/>
      <c r="N713" s="3402"/>
    </row>
    <row r="714" spans="1:14">
      <c r="A714" s="3399"/>
      <c r="B714" s="3071">
        <v>36</v>
      </c>
      <c r="C714" s="3072">
        <v>-207</v>
      </c>
      <c r="D714" s="3118" t="s">
        <v>4440</v>
      </c>
      <c r="E714" s="3119">
        <v>84.15</v>
      </c>
      <c r="F714" s="3119">
        <v>2524500</v>
      </c>
      <c r="G714" s="3070" t="s">
        <v>3503</v>
      </c>
      <c r="H714" s="3070" t="s">
        <v>3230</v>
      </c>
      <c r="I714" s="3070">
        <f t="shared" si="11"/>
        <v>30000</v>
      </c>
      <c r="J714" s="3402"/>
      <c r="K714" s="3402"/>
      <c r="L714" s="3402"/>
      <c r="M714" s="3402"/>
      <c r="N714" s="3402"/>
    </row>
    <row r="715" spans="1:14">
      <c r="A715" s="3399"/>
      <c r="B715" s="3071">
        <v>36</v>
      </c>
      <c r="C715" s="3071" t="s">
        <v>4441</v>
      </c>
      <c r="D715" s="3118" t="s">
        <v>4442</v>
      </c>
      <c r="E715" s="3071">
        <v>44.59</v>
      </c>
      <c r="F715" s="3071">
        <v>420000</v>
      </c>
      <c r="G715" s="3070" t="s">
        <v>3174</v>
      </c>
      <c r="H715" s="3070" t="s">
        <v>3174</v>
      </c>
      <c r="I715" s="3070">
        <f t="shared" si="11"/>
        <v>9419</v>
      </c>
      <c r="J715" s="3402"/>
      <c r="K715" s="3402"/>
      <c r="L715" s="3402"/>
      <c r="M715" s="3402"/>
      <c r="N715" s="3402"/>
    </row>
    <row r="716" spans="1:14">
      <c r="A716" s="3400"/>
      <c r="B716" s="3071">
        <v>36</v>
      </c>
      <c r="C716" s="3071" t="s">
        <v>4443</v>
      </c>
      <c r="D716" s="3118" t="s">
        <v>4444</v>
      </c>
      <c r="E716" s="3071">
        <v>44.59</v>
      </c>
      <c r="F716" s="3071">
        <v>420000</v>
      </c>
      <c r="G716" s="3070" t="s">
        <v>3174</v>
      </c>
      <c r="H716" s="3070" t="s">
        <v>3174</v>
      </c>
      <c r="I716" s="3070">
        <f t="shared" si="11"/>
        <v>9419</v>
      </c>
      <c r="J716" s="3402"/>
      <c r="K716" s="3402"/>
      <c r="L716" s="3402"/>
      <c r="M716" s="3402"/>
      <c r="N716" s="3402"/>
    </row>
    <row r="717" spans="1:14" ht="24">
      <c r="A717" s="3398">
        <v>144</v>
      </c>
      <c r="B717" s="3071">
        <v>36</v>
      </c>
      <c r="C717" s="3072" t="s">
        <v>3611</v>
      </c>
      <c r="D717" s="3118" t="s">
        <v>4445</v>
      </c>
      <c r="E717" s="3119">
        <v>133.76</v>
      </c>
      <c r="F717" s="3119">
        <v>7698155</v>
      </c>
      <c r="G717" s="3070" t="s">
        <v>3173</v>
      </c>
      <c r="H717" s="3070" t="s">
        <v>3058</v>
      </c>
      <c r="I717" s="3070">
        <f t="shared" si="11"/>
        <v>57552</v>
      </c>
      <c r="J717" s="3402"/>
      <c r="K717" s="3402"/>
      <c r="L717" s="3402"/>
      <c r="M717" s="3402"/>
      <c r="N717" s="3402"/>
    </row>
    <row r="718" spans="1:14" ht="24">
      <c r="A718" s="3399"/>
      <c r="B718" s="3071">
        <v>36</v>
      </c>
      <c r="C718" s="3072" t="s">
        <v>3613</v>
      </c>
      <c r="D718" s="3118" t="s">
        <v>4446</v>
      </c>
      <c r="E718" s="3119">
        <v>84.11</v>
      </c>
      <c r="F718" s="3119">
        <v>2523300</v>
      </c>
      <c r="G718" s="3070" t="s">
        <v>3501</v>
      </c>
      <c r="H718" s="3070" t="s">
        <v>3230</v>
      </c>
      <c r="I718" s="3070">
        <f t="shared" si="11"/>
        <v>30000</v>
      </c>
      <c r="J718" s="3402"/>
      <c r="K718" s="3402"/>
      <c r="L718" s="3402"/>
      <c r="M718" s="3402"/>
      <c r="N718" s="3402"/>
    </row>
    <row r="719" spans="1:14">
      <c r="A719" s="3399"/>
      <c r="B719" s="3071">
        <v>36</v>
      </c>
      <c r="C719" s="3072">
        <v>-208</v>
      </c>
      <c r="D719" s="3118" t="s">
        <v>4447</v>
      </c>
      <c r="E719" s="3119">
        <v>84.15</v>
      </c>
      <c r="F719" s="3119">
        <v>2524500</v>
      </c>
      <c r="G719" s="3070" t="s">
        <v>3503</v>
      </c>
      <c r="H719" s="3070" t="s">
        <v>3230</v>
      </c>
      <c r="I719" s="3070">
        <f t="shared" si="11"/>
        <v>30000</v>
      </c>
      <c r="J719" s="3402"/>
      <c r="K719" s="3402"/>
      <c r="L719" s="3402"/>
      <c r="M719" s="3402"/>
      <c r="N719" s="3402"/>
    </row>
    <row r="720" spans="1:14">
      <c r="A720" s="3399"/>
      <c r="B720" s="3071">
        <v>36</v>
      </c>
      <c r="C720" s="3071" t="s">
        <v>4448</v>
      </c>
      <c r="D720" s="3118" t="s">
        <v>4449</v>
      </c>
      <c r="E720" s="3071">
        <v>44.59</v>
      </c>
      <c r="F720" s="3071">
        <v>420000</v>
      </c>
      <c r="G720" s="3070" t="s">
        <v>3174</v>
      </c>
      <c r="H720" s="3070" t="s">
        <v>3174</v>
      </c>
      <c r="I720" s="3070">
        <f t="shared" si="11"/>
        <v>9419</v>
      </c>
      <c r="J720" s="3402"/>
      <c r="K720" s="3402"/>
      <c r="L720" s="3402"/>
      <c r="M720" s="3402"/>
      <c r="N720" s="3402"/>
    </row>
    <row r="721" spans="1:14">
      <c r="A721" s="3400"/>
      <c r="B721" s="3071">
        <v>36</v>
      </c>
      <c r="C721" s="3071" t="s">
        <v>4450</v>
      </c>
      <c r="D721" s="3118" t="s">
        <v>4451</v>
      </c>
      <c r="E721" s="3071">
        <v>44.59</v>
      </c>
      <c r="F721" s="3071">
        <v>420000</v>
      </c>
      <c r="G721" s="3070" t="s">
        <v>3174</v>
      </c>
      <c r="H721" s="3070" t="s">
        <v>3174</v>
      </c>
      <c r="I721" s="3070">
        <f t="shared" si="11"/>
        <v>9419</v>
      </c>
      <c r="J721" s="3402"/>
      <c r="K721" s="3402"/>
      <c r="L721" s="3402"/>
      <c r="M721" s="3402"/>
      <c r="N721" s="3402"/>
    </row>
    <row r="722" spans="1:14" ht="24">
      <c r="A722" s="3398">
        <v>145</v>
      </c>
      <c r="B722" s="3071">
        <v>36</v>
      </c>
      <c r="C722" s="3072" t="s">
        <v>4401</v>
      </c>
      <c r="D722" s="3118" t="s">
        <v>4452</v>
      </c>
      <c r="E722" s="3119">
        <v>133.94999999999999</v>
      </c>
      <c r="F722" s="3119">
        <v>7810222</v>
      </c>
      <c r="G722" s="3070" t="s">
        <v>3173</v>
      </c>
      <c r="H722" s="3070" t="s">
        <v>3058</v>
      </c>
      <c r="I722" s="3070">
        <f t="shared" si="11"/>
        <v>58307</v>
      </c>
      <c r="J722" s="3402"/>
      <c r="K722" s="3402"/>
      <c r="L722" s="3402"/>
      <c r="M722" s="3402"/>
      <c r="N722" s="3402"/>
    </row>
    <row r="723" spans="1:14" ht="24">
      <c r="A723" s="3399"/>
      <c r="B723" s="3071">
        <v>36</v>
      </c>
      <c r="C723" s="3072" t="s">
        <v>4403</v>
      </c>
      <c r="D723" s="3118" t="s">
        <v>4453</v>
      </c>
      <c r="E723" s="3119">
        <v>84.48</v>
      </c>
      <c r="F723" s="3119">
        <v>2534400</v>
      </c>
      <c r="G723" s="3070" t="s">
        <v>3501</v>
      </c>
      <c r="H723" s="3070" t="s">
        <v>3230</v>
      </c>
      <c r="I723" s="3070">
        <f t="shared" si="11"/>
        <v>30000</v>
      </c>
      <c r="J723" s="3402"/>
      <c r="K723" s="3402"/>
      <c r="L723" s="3402"/>
      <c r="M723" s="3402"/>
      <c r="N723" s="3402"/>
    </row>
    <row r="724" spans="1:14">
      <c r="A724" s="3399"/>
      <c r="B724" s="3071">
        <v>36</v>
      </c>
      <c r="C724" s="3072">
        <v>-209</v>
      </c>
      <c r="D724" s="3118" t="s">
        <v>4454</v>
      </c>
      <c r="E724" s="3119">
        <v>84.15</v>
      </c>
      <c r="F724" s="3119">
        <v>2524500</v>
      </c>
      <c r="G724" s="3070" t="s">
        <v>3503</v>
      </c>
      <c r="H724" s="3070" t="s">
        <v>3230</v>
      </c>
      <c r="I724" s="3070">
        <f t="shared" si="11"/>
        <v>30000</v>
      </c>
      <c r="J724" s="3402"/>
      <c r="K724" s="3402"/>
      <c r="L724" s="3402"/>
      <c r="M724" s="3402"/>
      <c r="N724" s="3402"/>
    </row>
    <row r="725" spans="1:14">
      <c r="A725" s="3399"/>
      <c r="B725" s="3071">
        <v>36</v>
      </c>
      <c r="C725" s="3071" t="s">
        <v>4455</v>
      </c>
      <c r="D725" s="3118" t="s">
        <v>4456</v>
      </c>
      <c r="E725" s="3071">
        <v>44.59</v>
      </c>
      <c r="F725" s="3071">
        <v>420000</v>
      </c>
      <c r="G725" s="3070" t="s">
        <v>3174</v>
      </c>
      <c r="H725" s="3070" t="s">
        <v>3174</v>
      </c>
      <c r="I725" s="3070">
        <f t="shared" si="11"/>
        <v>9419</v>
      </c>
      <c r="J725" s="3402"/>
      <c r="K725" s="3402"/>
      <c r="L725" s="3402"/>
      <c r="M725" s="3402"/>
      <c r="N725" s="3402"/>
    </row>
    <row r="726" spans="1:14">
      <c r="A726" s="3400"/>
      <c r="B726" s="3071">
        <v>36</v>
      </c>
      <c r="C726" s="3071" t="s">
        <v>4457</v>
      </c>
      <c r="D726" s="3118" t="s">
        <v>4458</v>
      </c>
      <c r="E726" s="3071">
        <v>44.59</v>
      </c>
      <c r="F726" s="3071">
        <v>420000</v>
      </c>
      <c r="G726" s="3070" t="s">
        <v>3174</v>
      </c>
      <c r="H726" s="3070" t="s">
        <v>3174</v>
      </c>
      <c r="I726" s="3070">
        <f t="shared" ref="I726:I789" si="12">ROUND(F726/E726,0)</f>
        <v>9419</v>
      </c>
      <c r="J726" s="3403"/>
      <c r="K726" s="3403"/>
      <c r="L726" s="3403"/>
      <c r="M726" s="3403"/>
      <c r="N726" s="3403"/>
    </row>
    <row r="727" spans="1:14" ht="24">
      <c r="A727" s="3398">
        <v>146</v>
      </c>
      <c r="B727" s="3071">
        <v>37</v>
      </c>
      <c r="C727" s="3072" t="s">
        <v>3508</v>
      </c>
      <c r="D727" s="3118" t="s">
        <v>4459</v>
      </c>
      <c r="E727" s="3119">
        <v>134.80000000000001</v>
      </c>
      <c r="F727" s="3119">
        <v>8564248</v>
      </c>
      <c r="G727" s="3070" t="s">
        <v>3173</v>
      </c>
      <c r="H727" s="3070" t="s">
        <v>3058</v>
      </c>
      <c r="I727" s="3070">
        <f t="shared" si="12"/>
        <v>63533</v>
      </c>
      <c r="J727" s="3401">
        <v>10</v>
      </c>
      <c r="K727" s="3401">
        <v>9</v>
      </c>
      <c r="L727" s="3401">
        <f>E727+E732+E737+E742+E747+E752+E757+E762+E767</f>
        <v>1213.56</v>
      </c>
      <c r="M727" s="3401">
        <f>E728+E729+E733+E734+E738+E739+E743+E744+E748+E749+E753+E754+E758+E759+E763+E764+E768+E769</f>
        <v>1502.99</v>
      </c>
      <c r="N727" s="3401">
        <f>L727+M727</f>
        <v>2716.55</v>
      </c>
    </row>
    <row r="728" spans="1:14" ht="24">
      <c r="A728" s="3399"/>
      <c r="B728" s="3071">
        <v>37</v>
      </c>
      <c r="C728" s="3072" t="s">
        <v>3510</v>
      </c>
      <c r="D728" s="3118" t="s">
        <v>4460</v>
      </c>
      <c r="E728" s="3119">
        <v>70.33</v>
      </c>
      <c r="F728" s="3119">
        <v>2109900</v>
      </c>
      <c r="G728" s="3070" t="s">
        <v>3501</v>
      </c>
      <c r="H728" s="3070" t="s">
        <v>3230</v>
      </c>
      <c r="I728" s="3070">
        <f t="shared" si="12"/>
        <v>30000</v>
      </c>
      <c r="J728" s="3402"/>
      <c r="K728" s="3402"/>
      <c r="L728" s="3402"/>
      <c r="M728" s="3402"/>
      <c r="N728" s="3402"/>
    </row>
    <row r="729" spans="1:14">
      <c r="A729" s="3399"/>
      <c r="B729" s="3071">
        <v>37</v>
      </c>
      <c r="C729" s="3072">
        <v>-201</v>
      </c>
      <c r="D729" s="3118" t="s">
        <v>4461</v>
      </c>
      <c r="E729" s="3119">
        <v>83.12</v>
      </c>
      <c r="F729" s="3119">
        <v>2493600</v>
      </c>
      <c r="G729" s="3070" t="s">
        <v>3503</v>
      </c>
      <c r="H729" s="3070" t="s">
        <v>3230</v>
      </c>
      <c r="I729" s="3070">
        <f t="shared" si="12"/>
        <v>30000</v>
      </c>
      <c r="J729" s="3402"/>
      <c r="K729" s="3402"/>
      <c r="L729" s="3402"/>
      <c r="M729" s="3402"/>
      <c r="N729" s="3402"/>
    </row>
    <row r="730" spans="1:14">
      <c r="A730" s="3399"/>
      <c r="B730" s="3071">
        <v>37</v>
      </c>
      <c r="C730" s="3071" t="s">
        <v>4462</v>
      </c>
      <c r="D730" s="3118" t="s">
        <v>4463</v>
      </c>
      <c r="E730" s="3071">
        <v>44.59</v>
      </c>
      <c r="F730" s="3071">
        <v>420000</v>
      </c>
      <c r="G730" s="3070" t="s">
        <v>3174</v>
      </c>
      <c r="H730" s="3070" t="s">
        <v>3174</v>
      </c>
      <c r="I730" s="3070">
        <f t="shared" si="12"/>
        <v>9419</v>
      </c>
      <c r="J730" s="3402"/>
      <c r="K730" s="3402"/>
      <c r="L730" s="3402"/>
      <c r="M730" s="3402"/>
      <c r="N730" s="3402"/>
    </row>
    <row r="731" spans="1:14">
      <c r="A731" s="3400"/>
      <c r="B731" s="3071">
        <v>37</v>
      </c>
      <c r="C731" s="3071" t="s">
        <v>4464</v>
      </c>
      <c r="D731" s="3118" t="s">
        <v>4465</v>
      </c>
      <c r="E731" s="3071">
        <v>44.59</v>
      </c>
      <c r="F731" s="3071">
        <v>420000</v>
      </c>
      <c r="G731" s="3070" t="s">
        <v>3174</v>
      </c>
      <c r="H731" s="3070" t="s">
        <v>3174</v>
      </c>
      <c r="I731" s="3070">
        <f t="shared" si="12"/>
        <v>9419</v>
      </c>
      <c r="J731" s="3402"/>
      <c r="K731" s="3402"/>
      <c r="L731" s="3402"/>
      <c r="M731" s="3402"/>
      <c r="N731" s="3402"/>
    </row>
    <row r="732" spans="1:14" ht="24">
      <c r="A732" s="3398">
        <v>147</v>
      </c>
      <c r="B732" s="3071">
        <v>37</v>
      </c>
      <c r="C732" s="3072" t="s">
        <v>3497</v>
      </c>
      <c r="D732" s="3118" t="s">
        <v>4466</v>
      </c>
      <c r="E732" s="3119">
        <v>134.79</v>
      </c>
      <c r="F732" s="3119">
        <v>7663620</v>
      </c>
      <c r="G732" s="3070" t="s">
        <v>3173</v>
      </c>
      <c r="H732" s="3070" t="s">
        <v>3058</v>
      </c>
      <c r="I732" s="3070">
        <f t="shared" si="12"/>
        <v>56856</v>
      </c>
      <c r="J732" s="3402"/>
      <c r="K732" s="3402"/>
      <c r="L732" s="3402"/>
      <c r="M732" s="3402"/>
      <c r="N732" s="3402"/>
    </row>
    <row r="733" spans="1:14" ht="24">
      <c r="A733" s="3399"/>
      <c r="B733" s="3071">
        <v>37</v>
      </c>
      <c r="C733" s="3072" t="s">
        <v>3499</v>
      </c>
      <c r="D733" s="3118" t="s">
        <v>4467</v>
      </c>
      <c r="E733" s="3119">
        <v>84.76</v>
      </c>
      <c r="F733" s="3119">
        <v>2542800</v>
      </c>
      <c r="G733" s="3070" t="s">
        <v>3501</v>
      </c>
      <c r="H733" s="3070" t="s">
        <v>3230</v>
      </c>
      <c r="I733" s="3070">
        <f t="shared" si="12"/>
        <v>30000</v>
      </c>
      <c r="J733" s="3402"/>
      <c r="K733" s="3402"/>
      <c r="L733" s="3402"/>
      <c r="M733" s="3402"/>
      <c r="N733" s="3402"/>
    </row>
    <row r="734" spans="1:14">
      <c r="A734" s="3399"/>
      <c r="B734" s="3071">
        <v>37</v>
      </c>
      <c r="C734" s="3072">
        <v>-202</v>
      </c>
      <c r="D734" s="3118" t="s">
        <v>4468</v>
      </c>
      <c r="E734" s="3119">
        <v>83.84</v>
      </c>
      <c r="F734" s="3119">
        <v>2515200</v>
      </c>
      <c r="G734" s="3070" t="s">
        <v>3503</v>
      </c>
      <c r="H734" s="3070" t="s">
        <v>3230</v>
      </c>
      <c r="I734" s="3070">
        <f t="shared" si="12"/>
        <v>30000</v>
      </c>
      <c r="J734" s="3402"/>
      <c r="K734" s="3402"/>
      <c r="L734" s="3402"/>
      <c r="M734" s="3402"/>
      <c r="N734" s="3402"/>
    </row>
    <row r="735" spans="1:14">
      <c r="A735" s="3399"/>
      <c r="B735" s="3071">
        <v>37</v>
      </c>
      <c r="C735" s="3071" t="s">
        <v>4469</v>
      </c>
      <c r="D735" s="3118" t="s">
        <v>4470</v>
      </c>
      <c r="E735" s="3071">
        <v>44.59</v>
      </c>
      <c r="F735" s="3071">
        <v>420000</v>
      </c>
      <c r="G735" s="3070" t="s">
        <v>3174</v>
      </c>
      <c r="H735" s="3070" t="s">
        <v>3174</v>
      </c>
      <c r="I735" s="3070">
        <f t="shared" si="12"/>
        <v>9419</v>
      </c>
      <c r="J735" s="3402"/>
      <c r="K735" s="3402"/>
      <c r="L735" s="3402"/>
      <c r="M735" s="3402"/>
      <c r="N735" s="3402"/>
    </row>
    <row r="736" spans="1:14">
      <c r="A736" s="3400"/>
      <c r="B736" s="3071">
        <v>37</v>
      </c>
      <c r="C736" s="3071" t="s">
        <v>4471</v>
      </c>
      <c r="D736" s="3118" t="s">
        <v>4472</v>
      </c>
      <c r="E736" s="3071">
        <v>44.59</v>
      </c>
      <c r="F736" s="3071">
        <v>420000</v>
      </c>
      <c r="G736" s="3070" t="s">
        <v>3174</v>
      </c>
      <c r="H736" s="3070" t="s">
        <v>3174</v>
      </c>
      <c r="I736" s="3070">
        <f t="shared" si="12"/>
        <v>9419</v>
      </c>
      <c r="J736" s="3402"/>
      <c r="K736" s="3402"/>
      <c r="L736" s="3402"/>
      <c r="M736" s="3402"/>
      <c r="N736" s="3402"/>
    </row>
    <row r="737" spans="1:14" ht="24">
      <c r="A737" s="3398">
        <v>148</v>
      </c>
      <c r="B737" s="3071">
        <v>37</v>
      </c>
      <c r="C737" s="3072" t="s">
        <v>3524</v>
      </c>
      <c r="D737" s="3118" t="s">
        <v>4473</v>
      </c>
      <c r="E737" s="3119">
        <v>134.80000000000001</v>
      </c>
      <c r="F737" s="3119">
        <v>7664188</v>
      </c>
      <c r="G737" s="3070" t="s">
        <v>3173</v>
      </c>
      <c r="H737" s="3070" t="s">
        <v>3058</v>
      </c>
      <c r="I737" s="3070">
        <f t="shared" si="12"/>
        <v>56856</v>
      </c>
      <c r="J737" s="3402"/>
      <c r="K737" s="3402"/>
      <c r="L737" s="3402"/>
      <c r="M737" s="3402"/>
      <c r="N737" s="3402"/>
    </row>
    <row r="738" spans="1:14" ht="24">
      <c r="A738" s="3399"/>
      <c r="B738" s="3071">
        <v>37</v>
      </c>
      <c r="C738" s="3072" t="s">
        <v>3526</v>
      </c>
      <c r="D738" s="3118" t="s">
        <v>4474</v>
      </c>
      <c r="E738" s="3119">
        <v>84.75</v>
      </c>
      <c r="F738" s="3119">
        <v>2542500</v>
      </c>
      <c r="G738" s="3070" t="s">
        <v>3501</v>
      </c>
      <c r="H738" s="3070" t="s">
        <v>3230</v>
      </c>
      <c r="I738" s="3070">
        <f t="shared" si="12"/>
        <v>30000</v>
      </c>
      <c r="J738" s="3402"/>
      <c r="K738" s="3402"/>
      <c r="L738" s="3402"/>
      <c r="M738" s="3402"/>
      <c r="N738" s="3402"/>
    </row>
    <row r="739" spans="1:14">
      <c r="A739" s="3399"/>
      <c r="B739" s="3071">
        <v>37</v>
      </c>
      <c r="C739" s="3072">
        <v>-203</v>
      </c>
      <c r="D739" s="3118" t="s">
        <v>4475</v>
      </c>
      <c r="E739" s="3119">
        <v>83.84</v>
      </c>
      <c r="F739" s="3119">
        <v>2515200</v>
      </c>
      <c r="G739" s="3070" t="s">
        <v>3503</v>
      </c>
      <c r="H739" s="3070" t="s">
        <v>3230</v>
      </c>
      <c r="I739" s="3070">
        <f t="shared" si="12"/>
        <v>30000</v>
      </c>
      <c r="J739" s="3402"/>
      <c r="K739" s="3402"/>
      <c r="L739" s="3402"/>
      <c r="M739" s="3402"/>
      <c r="N739" s="3402"/>
    </row>
    <row r="740" spans="1:14">
      <c r="A740" s="3399"/>
      <c r="B740" s="3071">
        <v>37</v>
      </c>
      <c r="C740" s="3071" t="s">
        <v>4476</v>
      </c>
      <c r="D740" s="3118" t="s">
        <v>4477</v>
      </c>
      <c r="E740" s="3071">
        <v>44.59</v>
      </c>
      <c r="F740" s="3071">
        <v>420000</v>
      </c>
      <c r="G740" s="3070" t="s">
        <v>3174</v>
      </c>
      <c r="H740" s="3070" t="s">
        <v>3174</v>
      </c>
      <c r="I740" s="3070">
        <f t="shared" si="12"/>
        <v>9419</v>
      </c>
      <c r="J740" s="3402"/>
      <c r="K740" s="3402"/>
      <c r="L740" s="3402"/>
      <c r="M740" s="3402"/>
      <c r="N740" s="3402"/>
    </row>
    <row r="741" spans="1:14">
      <c r="A741" s="3400"/>
      <c r="B741" s="3071">
        <v>37</v>
      </c>
      <c r="C741" s="3071" t="s">
        <v>4478</v>
      </c>
      <c r="D741" s="3118" t="s">
        <v>4479</v>
      </c>
      <c r="E741" s="3071">
        <v>44.59</v>
      </c>
      <c r="F741" s="3071">
        <v>420000</v>
      </c>
      <c r="G741" s="3070" t="s">
        <v>3174</v>
      </c>
      <c r="H741" s="3070" t="s">
        <v>3174</v>
      </c>
      <c r="I741" s="3070">
        <f t="shared" si="12"/>
        <v>9419</v>
      </c>
      <c r="J741" s="3402"/>
      <c r="K741" s="3402"/>
      <c r="L741" s="3402"/>
      <c r="M741" s="3402"/>
      <c r="N741" s="3402"/>
    </row>
    <row r="742" spans="1:14" ht="24">
      <c r="A742" s="3398">
        <v>149</v>
      </c>
      <c r="B742" s="3071">
        <v>37</v>
      </c>
      <c r="C742" s="3072" t="s">
        <v>3533</v>
      </c>
      <c r="D742" s="3118" t="s">
        <v>4480</v>
      </c>
      <c r="E742" s="3119">
        <v>134.79</v>
      </c>
      <c r="F742" s="3119">
        <v>7663620</v>
      </c>
      <c r="G742" s="3070" t="s">
        <v>3173</v>
      </c>
      <c r="H742" s="3070" t="s">
        <v>3058</v>
      </c>
      <c r="I742" s="3070">
        <f t="shared" si="12"/>
        <v>56856</v>
      </c>
      <c r="J742" s="3402"/>
      <c r="K742" s="3402"/>
      <c r="L742" s="3402"/>
      <c r="M742" s="3402"/>
      <c r="N742" s="3402"/>
    </row>
    <row r="743" spans="1:14" ht="24">
      <c r="A743" s="3399"/>
      <c r="B743" s="3071">
        <v>37</v>
      </c>
      <c r="C743" s="3072" t="s">
        <v>3535</v>
      </c>
      <c r="D743" s="3118" t="s">
        <v>4481</v>
      </c>
      <c r="E743" s="3119">
        <v>84.76</v>
      </c>
      <c r="F743" s="3119">
        <v>2542800</v>
      </c>
      <c r="G743" s="3070" t="s">
        <v>3501</v>
      </c>
      <c r="H743" s="3070" t="s">
        <v>3230</v>
      </c>
      <c r="I743" s="3070">
        <f t="shared" si="12"/>
        <v>30000</v>
      </c>
      <c r="J743" s="3402"/>
      <c r="K743" s="3402"/>
      <c r="L743" s="3402"/>
      <c r="M743" s="3402"/>
      <c r="N743" s="3402"/>
    </row>
    <row r="744" spans="1:14">
      <c r="A744" s="3399"/>
      <c r="B744" s="3071">
        <v>37</v>
      </c>
      <c r="C744" s="3072">
        <v>-204</v>
      </c>
      <c r="D744" s="3118" t="s">
        <v>4482</v>
      </c>
      <c r="E744" s="3119">
        <v>83.84</v>
      </c>
      <c r="F744" s="3119">
        <v>2515200</v>
      </c>
      <c r="G744" s="3070" t="s">
        <v>3503</v>
      </c>
      <c r="H744" s="3070" t="s">
        <v>3230</v>
      </c>
      <c r="I744" s="3070">
        <f t="shared" si="12"/>
        <v>30000</v>
      </c>
      <c r="J744" s="3402"/>
      <c r="K744" s="3402"/>
      <c r="L744" s="3402"/>
      <c r="M744" s="3402"/>
      <c r="N744" s="3402"/>
    </row>
    <row r="745" spans="1:14">
      <c r="A745" s="3399"/>
      <c r="B745" s="3071">
        <v>37</v>
      </c>
      <c r="C745" s="3071" t="s">
        <v>4483</v>
      </c>
      <c r="D745" s="3118" t="s">
        <v>4484</v>
      </c>
      <c r="E745" s="3071">
        <v>44.59</v>
      </c>
      <c r="F745" s="3071">
        <v>420000</v>
      </c>
      <c r="G745" s="3070" t="s">
        <v>3174</v>
      </c>
      <c r="H745" s="3070" t="s">
        <v>3174</v>
      </c>
      <c r="I745" s="3070">
        <f t="shared" si="12"/>
        <v>9419</v>
      </c>
      <c r="J745" s="3402"/>
      <c r="K745" s="3402"/>
      <c r="L745" s="3402"/>
      <c r="M745" s="3402"/>
      <c r="N745" s="3402"/>
    </row>
    <row r="746" spans="1:14">
      <c r="A746" s="3400"/>
      <c r="B746" s="3071">
        <v>37</v>
      </c>
      <c r="C746" s="3071" t="s">
        <v>4485</v>
      </c>
      <c r="D746" s="3118" t="s">
        <v>4486</v>
      </c>
      <c r="E746" s="3071">
        <v>44.59</v>
      </c>
      <c r="F746" s="3071">
        <v>420000</v>
      </c>
      <c r="G746" s="3070" t="s">
        <v>3174</v>
      </c>
      <c r="H746" s="3070" t="s">
        <v>3174</v>
      </c>
      <c r="I746" s="3070">
        <f t="shared" si="12"/>
        <v>9419</v>
      </c>
      <c r="J746" s="3402"/>
      <c r="K746" s="3402"/>
      <c r="L746" s="3402"/>
      <c r="M746" s="3402"/>
      <c r="N746" s="3402"/>
    </row>
    <row r="747" spans="1:14" ht="24">
      <c r="A747" s="3398">
        <v>150</v>
      </c>
      <c r="B747" s="3071">
        <v>37</v>
      </c>
      <c r="C747" s="3072" t="s">
        <v>3542</v>
      </c>
      <c r="D747" s="3118" t="s">
        <v>4487</v>
      </c>
      <c r="E747" s="3119">
        <v>134.99</v>
      </c>
      <c r="F747" s="3119">
        <v>7776368</v>
      </c>
      <c r="G747" s="3070" t="s">
        <v>3173</v>
      </c>
      <c r="H747" s="3070" t="s">
        <v>3058</v>
      </c>
      <c r="I747" s="3070">
        <f t="shared" si="12"/>
        <v>57607</v>
      </c>
      <c r="J747" s="3402"/>
      <c r="K747" s="3402"/>
      <c r="L747" s="3402"/>
      <c r="M747" s="3402"/>
      <c r="N747" s="3402"/>
    </row>
    <row r="748" spans="1:14" ht="24">
      <c r="A748" s="3399"/>
      <c r="B748" s="3071">
        <v>37</v>
      </c>
      <c r="C748" s="3072" t="s">
        <v>3544</v>
      </c>
      <c r="D748" s="3118" t="s">
        <v>4488</v>
      </c>
      <c r="E748" s="3119">
        <v>85.14</v>
      </c>
      <c r="F748" s="3119">
        <v>2554200</v>
      </c>
      <c r="G748" s="3070" t="s">
        <v>3501</v>
      </c>
      <c r="H748" s="3070" t="s">
        <v>3230</v>
      </c>
      <c r="I748" s="3070">
        <f t="shared" si="12"/>
        <v>30000</v>
      </c>
      <c r="J748" s="3402"/>
      <c r="K748" s="3402"/>
      <c r="L748" s="3402"/>
      <c r="M748" s="3402"/>
      <c r="N748" s="3402"/>
    </row>
    <row r="749" spans="1:14">
      <c r="A749" s="3399"/>
      <c r="B749" s="3071">
        <v>37</v>
      </c>
      <c r="C749" s="3072">
        <v>-205</v>
      </c>
      <c r="D749" s="3118" t="s">
        <v>4489</v>
      </c>
      <c r="E749" s="3119">
        <v>83.84</v>
      </c>
      <c r="F749" s="3119">
        <v>2515200</v>
      </c>
      <c r="G749" s="3070" t="s">
        <v>3503</v>
      </c>
      <c r="H749" s="3070" t="s">
        <v>3230</v>
      </c>
      <c r="I749" s="3070">
        <f t="shared" si="12"/>
        <v>30000</v>
      </c>
      <c r="J749" s="3402"/>
      <c r="K749" s="3402"/>
      <c r="L749" s="3402"/>
      <c r="M749" s="3402"/>
      <c r="N749" s="3402"/>
    </row>
    <row r="750" spans="1:14">
      <c r="A750" s="3399"/>
      <c r="B750" s="3071">
        <v>37</v>
      </c>
      <c r="C750" s="3071" t="s">
        <v>4490</v>
      </c>
      <c r="D750" s="3118" t="s">
        <v>4491</v>
      </c>
      <c r="E750" s="3071">
        <v>44.59</v>
      </c>
      <c r="F750" s="3071">
        <v>420000</v>
      </c>
      <c r="G750" s="3070" t="s">
        <v>3174</v>
      </c>
      <c r="H750" s="3070" t="s">
        <v>3174</v>
      </c>
      <c r="I750" s="3070">
        <f t="shared" si="12"/>
        <v>9419</v>
      </c>
      <c r="J750" s="3402"/>
      <c r="K750" s="3402"/>
      <c r="L750" s="3402"/>
      <c r="M750" s="3402"/>
      <c r="N750" s="3402"/>
    </row>
    <row r="751" spans="1:14">
      <c r="A751" s="3400"/>
      <c r="B751" s="3071">
        <v>37</v>
      </c>
      <c r="C751" s="3071" t="s">
        <v>4492</v>
      </c>
      <c r="D751" s="3118" t="s">
        <v>4493</v>
      </c>
      <c r="E751" s="3071">
        <v>44.59</v>
      </c>
      <c r="F751" s="3071">
        <v>420000</v>
      </c>
      <c r="G751" s="3070" t="s">
        <v>3174</v>
      </c>
      <c r="H751" s="3070" t="s">
        <v>3174</v>
      </c>
      <c r="I751" s="3070">
        <f t="shared" si="12"/>
        <v>9419</v>
      </c>
      <c r="J751" s="3402"/>
      <c r="K751" s="3402"/>
      <c r="L751" s="3402"/>
      <c r="M751" s="3402"/>
      <c r="N751" s="3402"/>
    </row>
    <row r="752" spans="1:14" ht="24">
      <c r="A752" s="3398">
        <v>151</v>
      </c>
      <c r="B752" s="3071">
        <v>37</v>
      </c>
      <c r="C752" s="3072" t="s">
        <v>3560</v>
      </c>
      <c r="D752" s="3118" t="s">
        <v>4494</v>
      </c>
      <c r="E752" s="3119">
        <v>134.80000000000001</v>
      </c>
      <c r="F752" s="3119">
        <v>8014264</v>
      </c>
      <c r="G752" s="3070" t="s">
        <v>3173</v>
      </c>
      <c r="H752" s="3070" t="s">
        <v>3058</v>
      </c>
      <c r="I752" s="3070">
        <f t="shared" si="12"/>
        <v>59453</v>
      </c>
      <c r="J752" s="3402"/>
      <c r="K752" s="3402"/>
      <c r="L752" s="3402"/>
      <c r="M752" s="3402"/>
      <c r="N752" s="3402"/>
    </row>
    <row r="753" spans="1:14" ht="24">
      <c r="A753" s="3399"/>
      <c r="B753" s="3071">
        <v>37</v>
      </c>
      <c r="C753" s="3072" t="s">
        <v>3562</v>
      </c>
      <c r="D753" s="3118" t="s">
        <v>4495</v>
      </c>
      <c r="E753" s="3119">
        <v>84.76</v>
      </c>
      <c r="F753" s="3119">
        <v>2542800</v>
      </c>
      <c r="G753" s="3070" t="s">
        <v>3501</v>
      </c>
      <c r="H753" s="3070" t="s">
        <v>3230</v>
      </c>
      <c r="I753" s="3070">
        <f t="shared" si="12"/>
        <v>30000</v>
      </c>
      <c r="J753" s="3402"/>
      <c r="K753" s="3402"/>
      <c r="L753" s="3402"/>
      <c r="M753" s="3402"/>
      <c r="N753" s="3402"/>
    </row>
    <row r="754" spans="1:14">
      <c r="A754" s="3399"/>
      <c r="B754" s="3071">
        <v>37</v>
      </c>
      <c r="C754" s="3072">
        <v>-207</v>
      </c>
      <c r="D754" s="3118" t="s">
        <v>4496</v>
      </c>
      <c r="E754" s="3119">
        <v>83.84</v>
      </c>
      <c r="F754" s="3119">
        <v>2515200</v>
      </c>
      <c r="G754" s="3070" t="s">
        <v>3503</v>
      </c>
      <c r="H754" s="3070" t="s">
        <v>3230</v>
      </c>
      <c r="I754" s="3070">
        <f t="shared" si="12"/>
        <v>30000</v>
      </c>
      <c r="J754" s="3402"/>
      <c r="K754" s="3402"/>
      <c r="L754" s="3402"/>
      <c r="M754" s="3402"/>
      <c r="N754" s="3402"/>
    </row>
    <row r="755" spans="1:14">
      <c r="A755" s="3399"/>
      <c r="B755" s="3071">
        <v>37</v>
      </c>
      <c r="C755" s="3071" t="s">
        <v>4497</v>
      </c>
      <c r="D755" s="3118" t="s">
        <v>4498</v>
      </c>
      <c r="E755" s="3071">
        <v>44.59</v>
      </c>
      <c r="F755" s="3071">
        <v>420000</v>
      </c>
      <c r="G755" s="3070" t="s">
        <v>3174</v>
      </c>
      <c r="H755" s="3070" t="s">
        <v>3174</v>
      </c>
      <c r="I755" s="3070">
        <f t="shared" si="12"/>
        <v>9419</v>
      </c>
      <c r="J755" s="3402"/>
      <c r="K755" s="3402"/>
      <c r="L755" s="3402"/>
      <c r="M755" s="3402"/>
      <c r="N755" s="3402"/>
    </row>
    <row r="756" spans="1:14">
      <c r="A756" s="3400"/>
      <c r="B756" s="3071">
        <v>37</v>
      </c>
      <c r="C756" s="3071" t="s">
        <v>4499</v>
      </c>
      <c r="D756" s="3118" t="s">
        <v>4500</v>
      </c>
      <c r="E756" s="3071">
        <v>44.59</v>
      </c>
      <c r="F756" s="3071">
        <v>420000</v>
      </c>
      <c r="G756" s="3070" t="s">
        <v>3174</v>
      </c>
      <c r="H756" s="3070" t="s">
        <v>3174</v>
      </c>
      <c r="I756" s="3070">
        <f t="shared" si="12"/>
        <v>9419</v>
      </c>
      <c r="J756" s="3402"/>
      <c r="K756" s="3402"/>
      <c r="L756" s="3402"/>
      <c r="M756" s="3402"/>
      <c r="N756" s="3402"/>
    </row>
    <row r="757" spans="1:14" ht="24">
      <c r="A757" s="3398">
        <v>152</v>
      </c>
      <c r="B757" s="3071">
        <v>37</v>
      </c>
      <c r="C757" s="3072" t="s">
        <v>3611</v>
      </c>
      <c r="D757" s="3118" t="s">
        <v>4501</v>
      </c>
      <c r="E757" s="3119">
        <v>134.80000000000001</v>
      </c>
      <c r="F757" s="3119">
        <v>8014264</v>
      </c>
      <c r="G757" s="3070" t="s">
        <v>3173</v>
      </c>
      <c r="H757" s="3070" t="s">
        <v>3058</v>
      </c>
      <c r="I757" s="3070">
        <f t="shared" si="12"/>
        <v>59453</v>
      </c>
      <c r="J757" s="3402"/>
      <c r="K757" s="3402"/>
      <c r="L757" s="3402"/>
      <c r="M757" s="3402"/>
      <c r="N757" s="3402"/>
    </row>
    <row r="758" spans="1:14" ht="24">
      <c r="A758" s="3399"/>
      <c r="B758" s="3071">
        <v>37</v>
      </c>
      <c r="C758" s="3072" t="s">
        <v>3613</v>
      </c>
      <c r="D758" s="3118" t="s">
        <v>4502</v>
      </c>
      <c r="E758" s="3119">
        <v>84.75</v>
      </c>
      <c r="F758" s="3119">
        <v>2542500</v>
      </c>
      <c r="G758" s="3070" t="s">
        <v>3501</v>
      </c>
      <c r="H758" s="3070" t="s">
        <v>3230</v>
      </c>
      <c r="I758" s="3070">
        <f t="shared" si="12"/>
        <v>30000</v>
      </c>
      <c r="J758" s="3402"/>
      <c r="K758" s="3402"/>
      <c r="L758" s="3402"/>
      <c r="M758" s="3402"/>
      <c r="N758" s="3402"/>
    </row>
    <row r="759" spans="1:14">
      <c r="A759" s="3399"/>
      <c r="B759" s="3071">
        <v>37</v>
      </c>
      <c r="C759" s="3072">
        <v>-208</v>
      </c>
      <c r="D759" s="3118" t="s">
        <v>4503</v>
      </c>
      <c r="E759" s="3119">
        <v>83.84</v>
      </c>
      <c r="F759" s="3119">
        <v>2515200</v>
      </c>
      <c r="G759" s="3070" t="s">
        <v>3503</v>
      </c>
      <c r="H759" s="3070" t="s">
        <v>3230</v>
      </c>
      <c r="I759" s="3070">
        <f t="shared" si="12"/>
        <v>30000</v>
      </c>
      <c r="J759" s="3402"/>
      <c r="K759" s="3402"/>
      <c r="L759" s="3402"/>
      <c r="M759" s="3402"/>
      <c r="N759" s="3402"/>
    </row>
    <row r="760" spans="1:14">
      <c r="A760" s="3399"/>
      <c r="B760" s="3071">
        <v>37</v>
      </c>
      <c r="C760" s="3071" t="s">
        <v>4504</v>
      </c>
      <c r="D760" s="3118" t="s">
        <v>4505</v>
      </c>
      <c r="E760" s="3071">
        <v>44.59</v>
      </c>
      <c r="F760" s="3071">
        <v>420000</v>
      </c>
      <c r="G760" s="3070" t="s">
        <v>3174</v>
      </c>
      <c r="H760" s="3070" t="s">
        <v>3174</v>
      </c>
      <c r="I760" s="3070">
        <f t="shared" si="12"/>
        <v>9419</v>
      </c>
      <c r="J760" s="3402"/>
      <c r="K760" s="3402"/>
      <c r="L760" s="3402"/>
      <c r="M760" s="3402"/>
      <c r="N760" s="3402"/>
    </row>
    <row r="761" spans="1:14">
      <c r="A761" s="3400"/>
      <c r="B761" s="3071">
        <v>37</v>
      </c>
      <c r="C761" s="3071" t="s">
        <v>4506</v>
      </c>
      <c r="D761" s="3118" t="s">
        <v>4507</v>
      </c>
      <c r="E761" s="3071">
        <v>44.59</v>
      </c>
      <c r="F761" s="3071">
        <v>420000</v>
      </c>
      <c r="G761" s="3070" t="s">
        <v>3174</v>
      </c>
      <c r="H761" s="3070" t="s">
        <v>3174</v>
      </c>
      <c r="I761" s="3070">
        <f t="shared" si="12"/>
        <v>9419</v>
      </c>
      <c r="J761" s="3402"/>
      <c r="K761" s="3402"/>
      <c r="L761" s="3402"/>
      <c r="M761" s="3402"/>
      <c r="N761" s="3402"/>
    </row>
    <row r="762" spans="1:14" ht="24">
      <c r="A762" s="3398">
        <v>153</v>
      </c>
      <c r="B762" s="3071">
        <v>37</v>
      </c>
      <c r="C762" s="3072" t="s">
        <v>4401</v>
      </c>
      <c r="D762" s="3118" t="s">
        <v>4508</v>
      </c>
      <c r="E762" s="3119">
        <v>134.80000000000001</v>
      </c>
      <c r="F762" s="3119">
        <v>8014264</v>
      </c>
      <c r="G762" s="3070" t="s">
        <v>3173</v>
      </c>
      <c r="H762" s="3070" t="s">
        <v>3058</v>
      </c>
      <c r="I762" s="3070">
        <f t="shared" si="12"/>
        <v>59453</v>
      </c>
      <c r="J762" s="3402"/>
      <c r="K762" s="3402"/>
      <c r="L762" s="3402"/>
      <c r="M762" s="3402"/>
      <c r="N762" s="3402"/>
    </row>
    <row r="763" spans="1:14" ht="24">
      <c r="A763" s="3399"/>
      <c r="B763" s="3071">
        <v>37</v>
      </c>
      <c r="C763" s="3072" t="s">
        <v>4403</v>
      </c>
      <c r="D763" s="3118" t="s">
        <v>4509</v>
      </c>
      <c r="E763" s="3119">
        <v>84.76</v>
      </c>
      <c r="F763" s="3119">
        <v>2542800</v>
      </c>
      <c r="G763" s="3070" t="s">
        <v>3501</v>
      </c>
      <c r="H763" s="3070" t="s">
        <v>3230</v>
      </c>
      <c r="I763" s="3070">
        <f t="shared" si="12"/>
        <v>30000</v>
      </c>
      <c r="J763" s="3402"/>
      <c r="K763" s="3402"/>
      <c r="L763" s="3402"/>
      <c r="M763" s="3402"/>
      <c r="N763" s="3402"/>
    </row>
    <row r="764" spans="1:14">
      <c r="A764" s="3399"/>
      <c r="B764" s="3071">
        <v>37</v>
      </c>
      <c r="C764" s="3072">
        <v>-209</v>
      </c>
      <c r="D764" s="3118" t="s">
        <v>4510</v>
      </c>
      <c r="E764" s="3119">
        <v>83.84</v>
      </c>
      <c r="F764" s="3119">
        <v>2515200</v>
      </c>
      <c r="G764" s="3070" t="s">
        <v>3503</v>
      </c>
      <c r="H764" s="3070" t="s">
        <v>3230</v>
      </c>
      <c r="I764" s="3070">
        <f t="shared" si="12"/>
        <v>30000</v>
      </c>
      <c r="J764" s="3402"/>
      <c r="K764" s="3402"/>
      <c r="L764" s="3402"/>
      <c r="M764" s="3402"/>
      <c r="N764" s="3402"/>
    </row>
    <row r="765" spans="1:14">
      <c r="A765" s="3399"/>
      <c r="B765" s="3071">
        <v>37</v>
      </c>
      <c r="C765" s="3071" t="s">
        <v>4511</v>
      </c>
      <c r="D765" s="3118" t="s">
        <v>4512</v>
      </c>
      <c r="E765" s="3071">
        <v>44.59</v>
      </c>
      <c r="F765" s="3071">
        <v>420000</v>
      </c>
      <c r="G765" s="3070" t="s">
        <v>3174</v>
      </c>
      <c r="H765" s="3070" t="s">
        <v>3174</v>
      </c>
      <c r="I765" s="3070">
        <f t="shared" si="12"/>
        <v>9419</v>
      </c>
      <c r="J765" s="3402"/>
      <c r="K765" s="3402"/>
      <c r="L765" s="3402"/>
      <c r="M765" s="3402"/>
      <c r="N765" s="3402"/>
    </row>
    <row r="766" spans="1:14">
      <c r="A766" s="3400"/>
      <c r="B766" s="3071">
        <v>37</v>
      </c>
      <c r="C766" s="3071" t="s">
        <v>4513</v>
      </c>
      <c r="D766" s="3118" t="s">
        <v>4514</v>
      </c>
      <c r="E766" s="3071">
        <v>44.59</v>
      </c>
      <c r="F766" s="3071">
        <v>420000</v>
      </c>
      <c r="G766" s="3070" t="s">
        <v>3174</v>
      </c>
      <c r="H766" s="3070" t="s">
        <v>3174</v>
      </c>
      <c r="I766" s="3070">
        <f t="shared" si="12"/>
        <v>9419</v>
      </c>
      <c r="J766" s="3402"/>
      <c r="K766" s="3402"/>
      <c r="L766" s="3402"/>
      <c r="M766" s="3402"/>
      <c r="N766" s="3402"/>
    </row>
    <row r="767" spans="1:14" ht="24">
      <c r="A767" s="3398">
        <v>154</v>
      </c>
      <c r="B767" s="3071">
        <v>37</v>
      </c>
      <c r="C767" s="3072" t="s">
        <v>4410</v>
      </c>
      <c r="D767" s="3118" t="s">
        <v>4515</v>
      </c>
      <c r="E767" s="3119">
        <v>134.99</v>
      </c>
      <c r="F767" s="3119">
        <v>8126263</v>
      </c>
      <c r="G767" s="3070" t="s">
        <v>3173</v>
      </c>
      <c r="H767" s="3070" t="s">
        <v>3058</v>
      </c>
      <c r="I767" s="3070">
        <f t="shared" si="12"/>
        <v>60199</v>
      </c>
      <c r="J767" s="3402"/>
      <c r="K767" s="3402"/>
      <c r="L767" s="3402"/>
      <c r="M767" s="3402"/>
      <c r="N767" s="3402"/>
    </row>
    <row r="768" spans="1:14" ht="24">
      <c r="A768" s="3399"/>
      <c r="B768" s="3071">
        <v>37</v>
      </c>
      <c r="C768" s="3072" t="s">
        <v>4412</v>
      </c>
      <c r="D768" s="3118" t="s">
        <v>4516</v>
      </c>
      <c r="E768" s="3119">
        <v>85.14</v>
      </c>
      <c r="F768" s="3119">
        <v>2554200</v>
      </c>
      <c r="G768" s="3070" t="s">
        <v>3501</v>
      </c>
      <c r="H768" s="3070" t="s">
        <v>3230</v>
      </c>
      <c r="I768" s="3070">
        <f t="shared" si="12"/>
        <v>30000</v>
      </c>
      <c r="J768" s="3402"/>
      <c r="K768" s="3402"/>
      <c r="L768" s="3402"/>
      <c r="M768" s="3402"/>
      <c r="N768" s="3402"/>
    </row>
    <row r="769" spans="1:14">
      <c r="A769" s="3399"/>
      <c r="B769" s="3071">
        <v>37</v>
      </c>
      <c r="C769" s="3072">
        <v>-210</v>
      </c>
      <c r="D769" s="3118" t="s">
        <v>4517</v>
      </c>
      <c r="E769" s="3119">
        <v>83.84</v>
      </c>
      <c r="F769" s="3119">
        <v>2515200</v>
      </c>
      <c r="G769" s="3070" t="s">
        <v>3503</v>
      </c>
      <c r="H769" s="3070" t="s">
        <v>3230</v>
      </c>
      <c r="I769" s="3070">
        <f t="shared" si="12"/>
        <v>30000</v>
      </c>
      <c r="J769" s="3402"/>
      <c r="K769" s="3402"/>
      <c r="L769" s="3402"/>
      <c r="M769" s="3402"/>
      <c r="N769" s="3402"/>
    </row>
    <row r="770" spans="1:14">
      <c r="A770" s="3399"/>
      <c r="B770" s="3071">
        <v>37</v>
      </c>
      <c r="C770" s="3071" t="s">
        <v>4518</v>
      </c>
      <c r="D770" s="3118" t="s">
        <v>4519</v>
      </c>
      <c r="E770" s="3071">
        <v>44.59</v>
      </c>
      <c r="F770" s="3071">
        <v>420000</v>
      </c>
      <c r="G770" s="3070" t="s">
        <v>3174</v>
      </c>
      <c r="H770" s="3070" t="s">
        <v>3174</v>
      </c>
      <c r="I770" s="3070">
        <f t="shared" si="12"/>
        <v>9419</v>
      </c>
      <c r="J770" s="3402"/>
      <c r="K770" s="3402"/>
      <c r="L770" s="3402"/>
      <c r="M770" s="3402"/>
      <c r="N770" s="3402"/>
    </row>
    <row r="771" spans="1:14">
      <c r="A771" s="3400"/>
      <c r="B771" s="3071">
        <v>37</v>
      </c>
      <c r="C771" s="3071" t="s">
        <v>4520</v>
      </c>
      <c r="D771" s="3118" t="s">
        <v>4521</v>
      </c>
      <c r="E771" s="3071">
        <v>44.59</v>
      </c>
      <c r="F771" s="3071">
        <v>420000</v>
      </c>
      <c r="G771" s="3070" t="s">
        <v>3174</v>
      </c>
      <c r="H771" s="3070" t="s">
        <v>3174</v>
      </c>
      <c r="I771" s="3070">
        <f t="shared" si="12"/>
        <v>9419</v>
      </c>
      <c r="J771" s="3403"/>
      <c r="K771" s="3403"/>
      <c r="L771" s="3403"/>
      <c r="M771" s="3403"/>
      <c r="N771" s="3403"/>
    </row>
    <row r="772" spans="1:14" ht="24">
      <c r="A772" s="3398">
        <v>155</v>
      </c>
      <c r="B772" s="3071">
        <v>38</v>
      </c>
      <c r="C772" s="3072" t="s">
        <v>3508</v>
      </c>
      <c r="D772" s="3118" t="s">
        <v>4522</v>
      </c>
      <c r="E772" s="3119">
        <v>133.71</v>
      </c>
      <c r="F772" s="3119">
        <v>8494997</v>
      </c>
      <c r="G772" s="3070" t="s">
        <v>3173</v>
      </c>
      <c r="H772" s="3070" t="s">
        <v>3058</v>
      </c>
      <c r="I772" s="3070">
        <f t="shared" si="12"/>
        <v>63533</v>
      </c>
      <c r="J772" s="3401">
        <v>6</v>
      </c>
      <c r="K772" s="3401">
        <v>6</v>
      </c>
      <c r="L772" s="3401">
        <f>E772+E777+E782+E787+E792+E797</f>
        <v>802.6400000000001</v>
      </c>
      <c r="M772" s="3401">
        <f>E773+E774+E778+E779+E783+E784+E788+E789+E793+E794+E798+E799</f>
        <v>1101.9800000000002</v>
      </c>
      <c r="N772" s="3401">
        <f>L772+M772</f>
        <v>1904.6200000000003</v>
      </c>
    </row>
    <row r="773" spans="1:14" ht="24">
      <c r="A773" s="3399"/>
      <c r="B773" s="3071">
        <v>38</v>
      </c>
      <c r="C773" s="3072" t="s">
        <v>3510</v>
      </c>
      <c r="D773" s="3118" t="s">
        <v>4523</v>
      </c>
      <c r="E773" s="3119">
        <v>83.95</v>
      </c>
      <c r="F773" s="3119">
        <v>2518500</v>
      </c>
      <c r="G773" s="3070" t="s">
        <v>3501</v>
      </c>
      <c r="H773" s="3070" t="s">
        <v>3230</v>
      </c>
      <c r="I773" s="3070">
        <f t="shared" si="12"/>
        <v>30000</v>
      </c>
      <c r="J773" s="3402"/>
      <c r="K773" s="3402"/>
      <c r="L773" s="3402"/>
      <c r="M773" s="3402"/>
      <c r="N773" s="3402"/>
    </row>
    <row r="774" spans="1:14">
      <c r="A774" s="3399"/>
      <c r="B774" s="3071">
        <v>38</v>
      </c>
      <c r="C774" s="3072">
        <v>-201</v>
      </c>
      <c r="D774" s="3118" t="s">
        <v>4524</v>
      </c>
      <c r="E774" s="3119">
        <v>98.96</v>
      </c>
      <c r="F774" s="3119">
        <v>2968800</v>
      </c>
      <c r="G774" s="3070" t="s">
        <v>3503</v>
      </c>
      <c r="H774" s="3070" t="s">
        <v>3230</v>
      </c>
      <c r="I774" s="3070">
        <f t="shared" si="12"/>
        <v>30000</v>
      </c>
      <c r="J774" s="3402"/>
      <c r="K774" s="3402"/>
      <c r="L774" s="3402"/>
      <c r="M774" s="3402"/>
      <c r="N774" s="3402"/>
    </row>
    <row r="775" spans="1:14">
      <c r="A775" s="3399"/>
      <c r="B775" s="3071">
        <v>38</v>
      </c>
      <c r="C775" s="3071" t="s">
        <v>3910</v>
      </c>
      <c r="D775" s="3118" t="s">
        <v>4525</v>
      </c>
      <c r="E775" s="3071"/>
      <c r="F775" s="3071"/>
      <c r="G775" s="3070" t="s">
        <v>3912</v>
      </c>
      <c r="H775" s="3070" t="s">
        <v>3174</v>
      </c>
      <c r="I775" s="3070" t="e">
        <f t="shared" si="12"/>
        <v>#DIV/0!</v>
      </c>
      <c r="J775" s="3402"/>
      <c r="K775" s="3402"/>
      <c r="L775" s="3402"/>
      <c r="M775" s="3402"/>
      <c r="N775" s="3402"/>
    </row>
    <row r="776" spans="1:14">
      <c r="A776" s="3400"/>
      <c r="B776" s="3071">
        <v>38</v>
      </c>
      <c r="C776" s="3071" t="s">
        <v>3910</v>
      </c>
      <c r="D776" s="3118" t="s">
        <v>4525</v>
      </c>
      <c r="E776" s="3071"/>
      <c r="F776" s="3071"/>
      <c r="G776" s="3070" t="s">
        <v>3912</v>
      </c>
      <c r="H776" s="3070" t="s">
        <v>3174</v>
      </c>
      <c r="I776" s="3070" t="e">
        <f t="shared" si="12"/>
        <v>#DIV/0!</v>
      </c>
      <c r="J776" s="3402"/>
      <c r="K776" s="3402"/>
      <c r="L776" s="3402"/>
      <c r="M776" s="3402"/>
      <c r="N776" s="3402"/>
    </row>
    <row r="777" spans="1:14" ht="24">
      <c r="A777" s="3398">
        <v>156</v>
      </c>
      <c r="B777" s="3071">
        <v>38</v>
      </c>
      <c r="C777" s="3072" t="s">
        <v>3497</v>
      </c>
      <c r="D777" s="3118" t="s">
        <v>4526</v>
      </c>
      <c r="E777" s="3119">
        <v>133.71</v>
      </c>
      <c r="F777" s="3119">
        <v>7845033</v>
      </c>
      <c r="G777" s="3070" t="s">
        <v>3173</v>
      </c>
      <c r="H777" s="3070" t="s">
        <v>3058</v>
      </c>
      <c r="I777" s="3070">
        <f t="shared" si="12"/>
        <v>58672</v>
      </c>
      <c r="J777" s="3402"/>
      <c r="K777" s="3402"/>
      <c r="L777" s="3402"/>
      <c r="M777" s="3402"/>
      <c r="N777" s="3402"/>
    </row>
    <row r="778" spans="1:14" ht="24">
      <c r="A778" s="3399"/>
      <c r="B778" s="3071">
        <v>38</v>
      </c>
      <c r="C778" s="3072" t="s">
        <v>3499</v>
      </c>
      <c r="D778" s="3118" t="s">
        <v>4527</v>
      </c>
      <c r="E778" s="3119">
        <v>84.08</v>
      </c>
      <c r="F778" s="3119">
        <v>2522400</v>
      </c>
      <c r="G778" s="3070" t="s">
        <v>3501</v>
      </c>
      <c r="H778" s="3070" t="s">
        <v>3230</v>
      </c>
      <c r="I778" s="3070">
        <f t="shared" si="12"/>
        <v>30000</v>
      </c>
      <c r="J778" s="3402"/>
      <c r="K778" s="3402"/>
      <c r="L778" s="3402"/>
      <c r="M778" s="3402"/>
      <c r="N778" s="3402"/>
    </row>
    <row r="779" spans="1:14">
      <c r="A779" s="3399"/>
      <c r="B779" s="3071">
        <v>38</v>
      </c>
      <c r="C779" s="3072">
        <v>-202</v>
      </c>
      <c r="D779" s="3118" t="s">
        <v>4528</v>
      </c>
      <c r="E779" s="3119">
        <v>99.82</v>
      </c>
      <c r="F779" s="3119">
        <v>2994600</v>
      </c>
      <c r="G779" s="3070" t="s">
        <v>3503</v>
      </c>
      <c r="H779" s="3070" t="s">
        <v>3230</v>
      </c>
      <c r="I779" s="3070">
        <f t="shared" si="12"/>
        <v>30000</v>
      </c>
      <c r="J779" s="3402"/>
      <c r="K779" s="3402"/>
      <c r="L779" s="3402"/>
      <c r="M779" s="3402"/>
      <c r="N779" s="3402"/>
    </row>
    <row r="780" spans="1:14">
      <c r="A780" s="3399"/>
      <c r="B780" s="3071">
        <v>38</v>
      </c>
      <c r="C780" s="3071" t="s">
        <v>3910</v>
      </c>
      <c r="D780" s="3118" t="s">
        <v>4525</v>
      </c>
      <c r="E780" s="3071"/>
      <c r="F780" s="3071"/>
      <c r="G780" s="3070" t="s">
        <v>3912</v>
      </c>
      <c r="H780" s="3070" t="s">
        <v>3174</v>
      </c>
      <c r="I780" s="3070" t="e">
        <f t="shared" si="12"/>
        <v>#DIV/0!</v>
      </c>
      <c r="J780" s="3402"/>
      <c r="K780" s="3402"/>
      <c r="L780" s="3402"/>
      <c r="M780" s="3402"/>
      <c r="N780" s="3402"/>
    </row>
    <row r="781" spans="1:14">
      <c r="A781" s="3400"/>
      <c r="B781" s="3071">
        <v>38</v>
      </c>
      <c r="C781" s="3071" t="s">
        <v>3910</v>
      </c>
      <c r="D781" s="3118" t="s">
        <v>4525</v>
      </c>
      <c r="E781" s="3071"/>
      <c r="F781" s="3071"/>
      <c r="G781" s="3070" t="s">
        <v>3912</v>
      </c>
      <c r="H781" s="3070" t="s">
        <v>3174</v>
      </c>
      <c r="I781" s="3070" t="e">
        <f t="shared" si="12"/>
        <v>#DIV/0!</v>
      </c>
      <c r="J781" s="3402"/>
      <c r="K781" s="3402"/>
      <c r="L781" s="3402"/>
      <c r="M781" s="3402"/>
      <c r="N781" s="3402"/>
    </row>
    <row r="782" spans="1:14" ht="24">
      <c r="A782" s="3398">
        <v>157</v>
      </c>
      <c r="B782" s="3071">
        <v>38</v>
      </c>
      <c r="C782" s="3072" t="s">
        <v>3524</v>
      </c>
      <c r="D782" s="3118" t="s">
        <v>4529</v>
      </c>
      <c r="E782" s="3119">
        <v>133.9</v>
      </c>
      <c r="F782" s="3119">
        <v>7957007</v>
      </c>
      <c r="G782" s="3070" t="s">
        <v>3173</v>
      </c>
      <c r="H782" s="3070" t="s">
        <v>3058</v>
      </c>
      <c r="I782" s="3070">
        <f t="shared" si="12"/>
        <v>59425</v>
      </c>
      <c r="J782" s="3402"/>
      <c r="K782" s="3402"/>
      <c r="L782" s="3402"/>
      <c r="M782" s="3402"/>
      <c r="N782" s="3402"/>
    </row>
    <row r="783" spans="1:14" ht="24">
      <c r="A783" s="3399"/>
      <c r="B783" s="3071">
        <v>38</v>
      </c>
      <c r="C783" s="3072" t="s">
        <v>3526</v>
      </c>
      <c r="D783" s="3118" t="s">
        <v>4530</v>
      </c>
      <c r="E783" s="3119">
        <v>84.36</v>
      </c>
      <c r="F783" s="3119">
        <v>2530800</v>
      </c>
      <c r="G783" s="3070" t="s">
        <v>3501</v>
      </c>
      <c r="H783" s="3070" t="s">
        <v>3230</v>
      </c>
      <c r="I783" s="3070">
        <f t="shared" si="12"/>
        <v>30000</v>
      </c>
      <c r="J783" s="3402"/>
      <c r="K783" s="3402"/>
      <c r="L783" s="3402"/>
      <c r="M783" s="3402"/>
      <c r="N783" s="3402"/>
    </row>
    <row r="784" spans="1:14">
      <c r="A784" s="3399"/>
      <c r="B784" s="3071">
        <v>38</v>
      </c>
      <c r="C784" s="3072">
        <v>-203</v>
      </c>
      <c r="D784" s="3118" t="s">
        <v>4531</v>
      </c>
      <c r="E784" s="3119">
        <v>99.82</v>
      </c>
      <c r="F784" s="3119">
        <v>2994600</v>
      </c>
      <c r="G784" s="3070" t="s">
        <v>3503</v>
      </c>
      <c r="H784" s="3070" t="s">
        <v>3230</v>
      </c>
      <c r="I784" s="3070">
        <f t="shared" si="12"/>
        <v>30000</v>
      </c>
      <c r="J784" s="3402"/>
      <c r="K784" s="3402"/>
      <c r="L784" s="3402"/>
      <c r="M784" s="3402"/>
      <c r="N784" s="3402"/>
    </row>
    <row r="785" spans="1:14">
      <c r="A785" s="3399"/>
      <c r="B785" s="3071">
        <v>38</v>
      </c>
      <c r="C785" s="3071" t="s">
        <v>3910</v>
      </c>
      <c r="D785" s="3118" t="s">
        <v>4525</v>
      </c>
      <c r="E785" s="3071"/>
      <c r="F785" s="3071"/>
      <c r="G785" s="3070" t="s">
        <v>3912</v>
      </c>
      <c r="H785" s="3070" t="s">
        <v>3174</v>
      </c>
      <c r="I785" s="3070" t="e">
        <f t="shared" si="12"/>
        <v>#DIV/0!</v>
      </c>
      <c r="J785" s="3402"/>
      <c r="K785" s="3402"/>
      <c r="L785" s="3402"/>
      <c r="M785" s="3402"/>
      <c r="N785" s="3402"/>
    </row>
    <row r="786" spans="1:14">
      <c r="A786" s="3400"/>
      <c r="B786" s="3071">
        <v>38</v>
      </c>
      <c r="C786" s="3071" t="s">
        <v>3910</v>
      </c>
      <c r="D786" s="3118" t="s">
        <v>4525</v>
      </c>
      <c r="E786" s="3071"/>
      <c r="F786" s="3071"/>
      <c r="G786" s="3070" t="s">
        <v>3912</v>
      </c>
      <c r="H786" s="3070" t="s">
        <v>3174</v>
      </c>
      <c r="I786" s="3070" t="e">
        <f t="shared" si="12"/>
        <v>#DIV/0!</v>
      </c>
      <c r="J786" s="3402"/>
      <c r="K786" s="3402"/>
      <c r="L786" s="3402"/>
      <c r="M786" s="3402"/>
      <c r="N786" s="3402"/>
    </row>
    <row r="787" spans="1:14" ht="24">
      <c r="A787" s="3398">
        <v>158</v>
      </c>
      <c r="B787" s="3071">
        <v>38</v>
      </c>
      <c r="C787" s="3072" t="s">
        <v>3533</v>
      </c>
      <c r="D787" s="3118" t="s">
        <v>4532</v>
      </c>
      <c r="E787" s="3119">
        <v>133.71</v>
      </c>
      <c r="F787" s="3119">
        <v>8494997</v>
      </c>
      <c r="G787" s="3070" t="s">
        <v>3173</v>
      </c>
      <c r="H787" s="3070" t="s">
        <v>3058</v>
      </c>
      <c r="I787" s="3070">
        <f t="shared" si="12"/>
        <v>63533</v>
      </c>
      <c r="J787" s="3402"/>
      <c r="K787" s="3402"/>
      <c r="L787" s="3402"/>
      <c r="M787" s="3402"/>
      <c r="N787" s="3402"/>
    </row>
    <row r="788" spans="1:14" ht="24">
      <c r="A788" s="3399"/>
      <c r="B788" s="3071">
        <v>38</v>
      </c>
      <c r="C788" s="3072" t="s">
        <v>3535</v>
      </c>
      <c r="D788" s="3118" t="s">
        <v>4533</v>
      </c>
      <c r="E788" s="3119">
        <v>83.95</v>
      </c>
      <c r="F788" s="3119">
        <v>2518500</v>
      </c>
      <c r="G788" s="3070" t="s">
        <v>3501</v>
      </c>
      <c r="H788" s="3070" t="s">
        <v>3230</v>
      </c>
      <c r="I788" s="3070">
        <f t="shared" si="12"/>
        <v>30000</v>
      </c>
      <c r="J788" s="3402"/>
      <c r="K788" s="3402"/>
      <c r="L788" s="3402"/>
      <c r="M788" s="3402"/>
      <c r="N788" s="3402"/>
    </row>
    <row r="789" spans="1:14">
      <c r="A789" s="3399"/>
      <c r="B789" s="3071">
        <v>38</v>
      </c>
      <c r="C789" s="3072">
        <v>-204</v>
      </c>
      <c r="D789" s="3118" t="s">
        <v>4534</v>
      </c>
      <c r="E789" s="3119">
        <v>98.96</v>
      </c>
      <c r="F789" s="3119">
        <v>2968800</v>
      </c>
      <c r="G789" s="3070" t="s">
        <v>3503</v>
      </c>
      <c r="H789" s="3070" t="s">
        <v>3230</v>
      </c>
      <c r="I789" s="3070">
        <f t="shared" si="12"/>
        <v>30000</v>
      </c>
      <c r="J789" s="3402"/>
      <c r="K789" s="3402"/>
      <c r="L789" s="3402"/>
      <c r="M789" s="3402"/>
      <c r="N789" s="3402"/>
    </row>
    <row r="790" spans="1:14">
      <c r="A790" s="3399"/>
      <c r="B790" s="3071">
        <v>38</v>
      </c>
      <c r="C790" s="3071" t="s">
        <v>4535</v>
      </c>
      <c r="D790" s="3118" t="s">
        <v>4536</v>
      </c>
      <c r="E790" s="3071">
        <v>44.59</v>
      </c>
      <c r="F790" s="3071">
        <v>420000</v>
      </c>
      <c r="G790" s="3070" t="s">
        <v>3174</v>
      </c>
      <c r="H790" s="3070" t="s">
        <v>3174</v>
      </c>
      <c r="I790" s="3070">
        <f t="shared" ref="I790:I853" si="13">ROUND(F790/E790,0)</f>
        <v>9419</v>
      </c>
      <c r="J790" s="3402"/>
      <c r="K790" s="3402"/>
      <c r="L790" s="3402"/>
      <c r="M790" s="3402"/>
      <c r="N790" s="3402"/>
    </row>
    <row r="791" spans="1:14">
      <c r="A791" s="3400"/>
      <c r="B791" s="3071">
        <v>38</v>
      </c>
      <c r="C791" s="3071" t="s">
        <v>4537</v>
      </c>
      <c r="D791" s="3118" t="s">
        <v>4538</v>
      </c>
      <c r="E791" s="3071">
        <v>44.59</v>
      </c>
      <c r="F791" s="3071">
        <v>420000</v>
      </c>
      <c r="G791" s="3070" t="s">
        <v>3174</v>
      </c>
      <c r="H791" s="3070" t="s">
        <v>3174</v>
      </c>
      <c r="I791" s="3070">
        <f t="shared" si="13"/>
        <v>9419</v>
      </c>
      <c r="J791" s="3402"/>
      <c r="K791" s="3402"/>
      <c r="L791" s="3402"/>
      <c r="M791" s="3402"/>
      <c r="N791" s="3402"/>
    </row>
    <row r="792" spans="1:14" ht="24">
      <c r="A792" s="3398">
        <v>159</v>
      </c>
      <c r="B792" s="3071">
        <v>38</v>
      </c>
      <c r="C792" s="3072" t="s">
        <v>3542</v>
      </c>
      <c r="D792" s="3118" t="s">
        <v>4539</v>
      </c>
      <c r="E792" s="3119">
        <v>133.71</v>
      </c>
      <c r="F792" s="3119">
        <v>7795025</v>
      </c>
      <c r="G792" s="3070" t="s">
        <v>3173</v>
      </c>
      <c r="H792" s="3070" t="s">
        <v>3058</v>
      </c>
      <c r="I792" s="3070">
        <f t="shared" si="13"/>
        <v>58298</v>
      </c>
      <c r="J792" s="3402"/>
      <c r="K792" s="3402"/>
      <c r="L792" s="3402"/>
      <c r="M792" s="3402"/>
      <c r="N792" s="3402"/>
    </row>
    <row r="793" spans="1:14" ht="24">
      <c r="A793" s="3399"/>
      <c r="B793" s="3071">
        <v>38</v>
      </c>
      <c r="C793" s="3072" t="s">
        <v>3544</v>
      </c>
      <c r="D793" s="3118" t="s">
        <v>4540</v>
      </c>
      <c r="E793" s="3119">
        <v>84.08</v>
      </c>
      <c r="F793" s="3119">
        <v>2522400</v>
      </c>
      <c r="G793" s="3070" t="s">
        <v>3501</v>
      </c>
      <c r="H793" s="3070" t="s">
        <v>3230</v>
      </c>
      <c r="I793" s="3070">
        <f t="shared" si="13"/>
        <v>30000</v>
      </c>
      <c r="J793" s="3402"/>
      <c r="K793" s="3402"/>
      <c r="L793" s="3402"/>
      <c r="M793" s="3402"/>
      <c r="N793" s="3402"/>
    </row>
    <row r="794" spans="1:14">
      <c r="A794" s="3399"/>
      <c r="B794" s="3071">
        <v>38</v>
      </c>
      <c r="C794" s="3072">
        <v>-205</v>
      </c>
      <c r="D794" s="3118" t="s">
        <v>4541</v>
      </c>
      <c r="E794" s="3119">
        <v>99.82</v>
      </c>
      <c r="F794" s="3119">
        <v>2994600</v>
      </c>
      <c r="G794" s="3070" t="s">
        <v>3503</v>
      </c>
      <c r="H794" s="3070" t="s">
        <v>3230</v>
      </c>
      <c r="I794" s="3070">
        <f t="shared" si="13"/>
        <v>30000</v>
      </c>
      <c r="J794" s="3402"/>
      <c r="K794" s="3402"/>
      <c r="L794" s="3402"/>
      <c r="M794" s="3402"/>
      <c r="N794" s="3402"/>
    </row>
    <row r="795" spans="1:14">
      <c r="A795" s="3399"/>
      <c r="B795" s="3071">
        <v>38</v>
      </c>
      <c r="C795" s="3071" t="s">
        <v>4542</v>
      </c>
      <c r="D795" s="3118" t="s">
        <v>4543</v>
      </c>
      <c r="E795" s="3071">
        <v>44.59</v>
      </c>
      <c r="F795" s="3071">
        <v>420000</v>
      </c>
      <c r="G795" s="3070" t="s">
        <v>3174</v>
      </c>
      <c r="H795" s="3070" t="s">
        <v>3174</v>
      </c>
      <c r="I795" s="3070">
        <f t="shared" si="13"/>
        <v>9419</v>
      </c>
      <c r="J795" s="3402"/>
      <c r="K795" s="3402"/>
      <c r="L795" s="3402"/>
      <c r="M795" s="3402"/>
      <c r="N795" s="3402"/>
    </row>
    <row r="796" spans="1:14">
      <c r="A796" s="3400"/>
      <c r="B796" s="3071">
        <v>38</v>
      </c>
      <c r="C796" s="3071" t="s">
        <v>4544</v>
      </c>
      <c r="D796" s="3118" t="s">
        <v>4545</v>
      </c>
      <c r="E796" s="3071">
        <v>44.59</v>
      </c>
      <c r="F796" s="3071">
        <v>420000</v>
      </c>
      <c r="G796" s="3070" t="s">
        <v>3174</v>
      </c>
      <c r="H796" s="3070" t="s">
        <v>3174</v>
      </c>
      <c r="I796" s="3070">
        <f t="shared" si="13"/>
        <v>9419</v>
      </c>
      <c r="J796" s="3402"/>
      <c r="K796" s="3402"/>
      <c r="L796" s="3402"/>
      <c r="M796" s="3402"/>
      <c r="N796" s="3402"/>
    </row>
    <row r="797" spans="1:14" ht="24">
      <c r="A797" s="3398">
        <v>160</v>
      </c>
      <c r="B797" s="3071">
        <v>38</v>
      </c>
      <c r="C797" s="3072" t="s">
        <v>3551</v>
      </c>
      <c r="D797" s="3118" t="s">
        <v>4546</v>
      </c>
      <c r="E797" s="3119">
        <v>133.9</v>
      </c>
      <c r="F797" s="3119">
        <v>7807039</v>
      </c>
      <c r="G797" s="3070" t="s">
        <v>3173</v>
      </c>
      <c r="H797" s="3070" t="s">
        <v>3058</v>
      </c>
      <c r="I797" s="3070">
        <f t="shared" si="13"/>
        <v>58305</v>
      </c>
      <c r="J797" s="3402"/>
      <c r="K797" s="3402"/>
      <c r="L797" s="3402"/>
      <c r="M797" s="3402"/>
      <c r="N797" s="3402"/>
    </row>
    <row r="798" spans="1:14" ht="24">
      <c r="A798" s="3399"/>
      <c r="B798" s="3071">
        <v>38</v>
      </c>
      <c r="C798" s="3072" t="s">
        <v>3553</v>
      </c>
      <c r="D798" s="3118" t="s">
        <v>4547</v>
      </c>
      <c r="E798" s="3119">
        <v>84.36</v>
      </c>
      <c r="F798" s="3119">
        <v>2530800</v>
      </c>
      <c r="G798" s="3070" t="s">
        <v>3501</v>
      </c>
      <c r="H798" s="3070" t="s">
        <v>3230</v>
      </c>
      <c r="I798" s="3070">
        <f t="shared" si="13"/>
        <v>30000</v>
      </c>
      <c r="J798" s="3402"/>
      <c r="K798" s="3402"/>
      <c r="L798" s="3402"/>
      <c r="M798" s="3402"/>
      <c r="N798" s="3402"/>
    </row>
    <row r="799" spans="1:14">
      <c r="A799" s="3399"/>
      <c r="B799" s="3071">
        <v>38</v>
      </c>
      <c r="C799" s="3072">
        <v>-206</v>
      </c>
      <c r="D799" s="3118" t="s">
        <v>4548</v>
      </c>
      <c r="E799" s="3119">
        <v>99.82</v>
      </c>
      <c r="F799" s="3119">
        <v>2994600</v>
      </c>
      <c r="G799" s="3070" t="s">
        <v>3503</v>
      </c>
      <c r="H799" s="3070" t="s">
        <v>3230</v>
      </c>
      <c r="I799" s="3070">
        <f t="shared" si="13"/>
        <v>30000</v>
      </c>
      <c r="J799" s="3402"/>
      <c r="K799" s="3402"/>
      <c r="L799" s="3402"/>
      <c r="M799" s="3402"/>
      <c r="N799" s="3402"/>
    </row>
    <row r="800" spans="1:14">
      <c r="A800" s="3399"/>
      <c r="B800" s="3071">
        <v>38</v>
      </c>
      <c r="C800" s="3071" t="s">
        <v>4549</v>
      </c>
      <c r="D800" s="3118" t="s">
        <v>4550</v>
      </c>
      <c r="E800" s="3071">
        <v>44.59</v>
      </c>
      <c r="F800" s="3071">
        <v>420000</v>
      </c>
      <c r="G800" s="3070" t="s">
        <v>3174</v>
      </c>
      <c r="H800" s="3070" t="s">
        <v>3174</v>
      </c>
      <c r="I800" s="3070">
        <f t="shared" si="13"/>
        <v>9419</v>
      </c>
      <c r="J800" s="3402"/>
      <c r="K800" s="3402"/>
      <c r="L800" s="3402"/>
      <c r="M800" s="3402"/>
      <c r="N800" s="3402"/>
    </row>
    <row r="801" spans="1:14">
      <c r="A801" s="3400"/>
      <c r="B801" s="3071">
        <v>38</v>
      </c>
      <c r="C801" s="3071" t="s">
        <v>4551</v>
      </c>
      <c r="D801" s="3118" t="s">
        <v>4552</v>
      </c>
      <c r="E801" s="3071">
        <v>44.59</v>
      </c>
      <c r="F801" s="3071">
        <v>420000</v>
      </c>
      <c r="G801" s="3070" t="s">
        <v>3174</v>
      </c>
      <c r="H801" s="3070" t="s">
        <v>3174</v>
      </c>
      <c r="I801" s="3070">
        <f t="shared" si="13"/>
        <v>9419</v>
      </c>
      <c r="J801" s="3403"/>
      <c r="K801" s="3403"/>
      <c r="L801" s="3403"/>
      <c r="M801" s="3403"/>
      <c r="N801" s="3403"/>
    </row>
    <row r="802" spans="1:14" ht="24">
      <c r="A802" s="3398">
        <v>161</v>
      </c>
      <c r="B802" s="3071">
        <v>39</v>
      </c>
      <c r="C802" s="3072" t="s">
        <v>3508</v>
      </c>
      <c r="D802" s="3118" t="s">
        <v>4553</v>
      </c>
      <c r="E802" s="3119">
        <v>133.66</v>
      </c>
      <c r="F802" s="3119">
        <v>8491820</v>
      </c>
      <c r="G802" s="3070" t="s">
        <v>3173</v>
      </c>
      <c r="H802" s="3070" t="s">
        <v>3058</v>
      </c>
      <c r="I802" s="3070">
        <f t="shared" si="13"/>
        <v>63533</v>
      </c>
      <c r="J802" s="3401">
        <v>6</v>
      </c>
      <c r="K802" s="3401">
        <v>6</v>
      </c>
      <c r="L802" s="3401">
        <f>E802+E807+E812+E817+E822+E827</f>
        <v>802.38</v>
      </c>
      <c r="M802" s="3401">
        <f>E803+E804+E808+E809+E813+E814+E818+E819+E823+E824+E828+E829</f>
        <v>1070.1999999999998</v>
      </c>
      <c r="N802" s="3401">
        <f>L802+M802</f>
        <v>1872.58</v>
      </c>
    </row>
    <row r="803" spans="1:14" ht="24">
      <c r="A803" s="3399"/>
      <c r="B803" s="3071">
        <v>39</v>
      </c>
      <c r="C803" s="3072" t="s">
        <v>3510</v>
      </c>
      <c r="D803" s="3118" t="s">
        <v>4554</v>
      </c>
      <c r="E803" s="3119">
        <v>83.92</v>
      </c>
      <c r="F803" s="3119">
        <v>2517600</v>
      </c>
      <c r="G803" s="3070" t="s">
        <v>3501</v>
      </c>
      <c r="H803" s="3070" t="s">
        <v>3230</v>
      </c>
      <c r="I803" s="3070">
        <f t="shared" si="13"/>
        <v>30000</v>
      </c>
      <c r="J803" s="3402"/>
      <c r="K803" s="3402"/>
      <c r="L803" s="3402"/>
      <c r="M803" s="3402"/>
      <c r="N803" s="3402"/>
    </row>
    <row r="804" spans="1:14">
      <c r="A804" s="3399"/>
      <c r="B804" s="3071">
        <v>39</v>
      </c>
      <c r="C804" s="3072">
        <v>-201</v>
      </c>
      <c r="D804" s="3118" t="s">
        <v>4555</v>
      </c>
      <c r="E804" s="3119">
        <v>93.73</v>
      </c>
      <c r="F804" s="3119">
        <v>2811900</v>
      </c>
      <c r="G804" s="3070" t="s">
        <v>3503</v>
      </c>
      <c r="H804" s="3070" t="s">
        <v>3230</v>
      </c>
      <c r="I804" s="3070">
        <f t="shared" si="13"/>
        <v>30000</v>
      </c>
      <c r="J804" s="3402"/>
      <c r="K804" s="3402"/>
      <c r="L804" s="3402"/>
      <c r="M804" s="3402"/>
      <c r="N804" s="3402"/>
    </row>
    <row r="805" spans="1:14">
      <c r="A805" s="3399"/>
      <c r="B805" s="3071">
        <v>39</v>
      </c>
      <c r="C805" s="3071" t="s">
        <v>3187</v>
      </c>
      <c r="D805" s="3118" t="s">
        <v>4556</v>
      </c>
      <c r="E805" s="3071">
        <v>44.59</v>
      </c>
      <c r="F805" s="3071">
        <v>420000</v>
      </c>
      <c r="G805" s="3070" t="s">
        <v>3174</v>
      </c>
      <c r="H805" s="3070" t="s">
        <v>3174</v>
      </c>
      <c r="I805" s="3070">
        <f t="shared" si="13"/>
        <v>9419</v>
      </c>
      <c r="J805" s="3402"/>
      <c r="K805" s="3402"/>
      <c r="L805" s="3402"/>
      <c r="M805" s="3402"/>
      <c r="N805" s="3402"/>
    </row>
    <row r="806" spans="1:14">
      <c r="A806" s="3400"/>
      <c r="B806" s="3071">
        <v>39</v>
      </c>
      <c r="C806" s="3071" t="s">
        <v>3188</v>
      </c>
      <c r="D806" s="3118" t="s">
        <v>4557</v>
      </c>
      <c r="E806" s="3071">
        <v>44.59</v>
      </c>
      <c r="F806" s="3071">
        <v>420000</v>
      </c>
      <c r="G806" s="3070" t="s">
        <v>3174</v>
      </c>
      <c r="H806" s="3070" t="s">
        <v>3174</v>
      </c>
      <c r="I806" s="3070">
        <f t="shared" si="13"/>
        <v>9419</v>
      </c>
      <c r="J806" s="3402"/>
      <c r="K806" s="3402"/>
      <c r="L806" s="3402"/>
      <c r="M806" s="3402"/>
      <c r="N806" s="3402"/>
    </row>
    <row r="807" spans="1:14" ht="24">
      <c r="A807" s="3398">
        <v>162</v>
      </c>
      <c r="B807" s="3071">
        <v>39</v>
      </c>
      <c r="C807" s="3072" t="s">
        <v>3497</v>
      </c>
      <c r="D807" s="3118" t="s">
        <v>4558</v>
      </c>
      <c r="E807" s="3119">
        <v>133.66999999999999</v>
      </c>
      <c r="F807" s="3119">
        <v>7942404</v>
      </c>
      <c r="G807" s="3070" t="s">
        <v>3173</v>
      </c>
      <c r="H807" s="3070" t="s">
        <v>3058</v>
      </c>
      <c r="I807" s="3070">
        <f t="shared" si="13"/>
        <v>59418</v>
      </c>
      <c r="J807" s="3402"/>
      <c r="K807" s="3402"/>
      <c r="L807" s="3402"/>
      <c r="M807" s="3402"/>
      <c r="N807" s="3402"/>
    </row>
    <row r="808" spans="1:14" ht="24">
      <c r="A808" s="3399"/>
      <c r="B808" s="3071">
        <v>39</v>
      </c>
      <c r="C808" s="3072" t="s">
        <v>3499</v>
      </c>
      <c r="D808" s="3118" t="s">
        <v>4559</v>
      </c>
      <c r="E808" s="3119">
        <v>84.05</v>
      </c>
      <c r="F808" s="3119">
        <v>2521500</v>
      </c>
      <c r="G808" s="3070" t="s">
        <v>3501</v>
      </c>
      <c r="H808" s="3070" t="s">
        <v>3230</v>
      </c>
      <c r="I808" s="3070">
        <f t="shared" si="13"/>
        <v>30000</v>
      </c>
      <c r="J808" s="3402"/>
      <c r="K808" s="3402"/>
      <c r="L808" s="3402"/>
      <c r="M808" s="3402"/>
      <c r="N808" s="3402"/>
    </row>
    <row r="809" spans="1:14">
      <c r="A809" s="3399"/>
      <c r="B809" s="3071">
        <v>39</v>
      </c>
      <c r="C809" s="3072">
        <v>-202</v>
      </c>
      <c r="D809" s="3118" t="s">
        <v>4560</v>
      </c>
      <c r="E809" s="3119">
        <v>94.54</v>
      </c>
      <c r="F809" s="3119">
        <v>2836200</v>
      </c>
      <c r="G809" s="3070" t="s">
        <v>3503</v>
      </c>
      <c r="H809" s="3070" t="s">
        <v>3230</v>
      </c>
      <c r="I809" s="3070">
        <f t="shared" si="13"/>
        <v>30000</v>
      </c>
      <c r="J809" s="3402"/>
      <c r="K809" s="3402"/>
      <c r="L809" s="3402"/>
      <c r="M809" s="3402"/>
      <c r="N809" s="3402"/>
    </row>
    <row r="810" spans="1:14">
      <c r="A810" s="3399"/>
      <c r="B810" s="3071">
        <v>39</v>
      </c>
      <c r="C810" s="3071" t="s">
        <v>3910</v>
      </c>
      <c r="D810" s="3118" t="s">
        <v>4561</v>
      </c>
      <c r="E810" s="3071"/>
      <c r="F810" s="3071"/>
      <c r="G810" s="3070" t="s">
        <v>3912</v>
      </c>
      <c r="H810" s="3070" t="s">
        <v>3174</v>
      </c>
      <c r="I810" s="3070" t="e">
        <f t="shared" si="13"/>
        <v>#DIV/0!</v>
      </c>
      <c r="J810" s="3402"/>
      <c r="K810" s="3402"/>
      <c r="L810" s="3402"/>
      <c r="M810" s="3402"/>
      <c r="N810" s="3402"/>
    </row>
    <row r="811" spans="1:14">
      <c r="A811" s="3400"/>
      <c r="B811" s="3071">
        <v>39</v>
      </c>
      <c r="C811" s="3071" t="s">
        <v>3910</v>
      </c>
      <c r="D811" s="3118" t="s">
        <v>4561</v>
      </c>
      <c r="E811" s="3071"/>
      <c r="F811" s="3071"/>
      <c r="G811" s="3070" t="s">
        <v>3912</v>
      </c>
      <c r="H811" s="3070" t="s">
        <v>3174</v>
      </c>
      <c r="I811" s="3070" t="e">
        <f t="shared" si="13"/>
        <v>#DIV/0!</v>
      </c>
      <c r="J811" s="3402"/>
      <c r="K811" s="3402"/>
      <c r="L811" s="3402"/>
      <c r="M811" s="3402"/>
      <c r="N811" s="3402"/>
    </row>
    <row r="812" spans="1:14" ht="24">
      <c r="A812" s="3398">
        <v>163</v>
      </c>
      <c r="B812" s="3071">
        <v>39</v>
      </c>
      <c r="C812" s="3072" t="s">
        <v>3524</v>
      </c>
      <c r="D812" s="3118" t="s">
        <v>4562</v>
      </c>
      <c r="E812" s="3119">
        <v>133.86000000000001</v>
      </c>
      <c r="F812" s="3119">
        <v>7954496</v>
      </c>
      <c r="G812" s="3070" t="s">
        <v>3173</v>
      </c>
      <c r="H812" s="3070" t="s">
        <v>3058</v>
      </c>
      <c r="I812" s="3070">
        <f t="shared" si="13"/>
        <v>59424</v>
      </c>
      <c r="J812" s="3402"/>
      <c r="K812" s="3402"/>
      <c r="L812" s="3402"/>
      <c r="M812" s="3402"/>
      <c r="N812" s="3402"/>
    </row>
    <row r="813" spans="1:14" ht="24">
      <c r="A813" s="3399"/>
      <c r="B813" s="3071">
        <v>39</v>
      </c>
      <c r="C813" s="3072" t="s">
        <v>3526</v>
      </c>
      <c r="D813" s="3118" t="s">
        <v>4563</v>
      </c>
      <c r="E813" s="3119">
        <v>84.32</v>
      </c>
      <c r="F813" s="3119">
        <v>2529600</v>
      </c>
      <c r="G813" s="3070" t="s">
        <v>3501</v>
      </c>
      <c r="H813" s="3070" t="s">
        <v>3230</v>
      </c>
      <c r="I813" s="3070">
        <f t="shared" si="13"/>
        <v>30000</v>
      </c>
      <c r="J813" s="3402"/>
      <c r="K813" s="3402"/>
      <c r="L813" s="3402"/>
      <c r="M813" s="3402"/>
      <c r="N813" s="3402"/>
    </row>
    <row r="814" spans="1:14">
      <c r="A814" s="3399"/>
      <c r="B814" s="3071">
        <v>39</v>
      </c>
      <c r="C814" s="3072">
        <v>-203</v>
      </c>
      <c r="D814" s="3118" t="s">
        <v>4564</v>
      </c>
      <c r="E814" s="3119">
        <v>94.54</v>
      </c>
      <c r="F814" s="3119">
        <v>2836200</v>
      </c>
      <c r="G814" s="3070" t="s">
        <v>3503</v>
      </c>
      <c r="H814" s="3070" t="s">
        <v>3230</v>
      </c>
      <c r="I814" s="3070">
        <f t="shared" si="13"/>
        <v>30000</v>
      </c>
      <c r="J814" s="3402"/>
      <c r="K814" s="3402"/>
      <c r="L814" s="3402"/>
      <c r="M814" s="3402"/>
      <c r="N814" s="3402"/>
    </row>
    <row r="815" spans="1:14">
      <c r="A815" s="3399"/>
      <c r="B815" s="3071">
        <v>39</v>
      </c>
      <c r="C815" s="3071" t="s">
        <v>3910</v>
      </c>
      <c r="D815" s="3118" t="s">
        <v>4561</v>
      </c>
      <c r="E815" s="3071"/>
      <c r="F815" s="3071"/>
      <c r="G815" s="3070" t="s">
        <v>3912</v>
      </c>
      <c r="H815" s="3070" t="s">
        <v>3174</v>
      </c>
      <c r="I815" s="3070" t="e">
        <f t="shared" si="13"/>
        <v>#DIV/0!</v>
      </c>
      <c r="J815" s="3402"/>
      <c r="K815" s="3402"/>
      <c r="L815" s="3402"/>
      <c r="M815" s="3402"/>
      <c r="N815" s="3402"/>
    </row>
    <row r="816" spans="1:14">
      <c r="A816" s="3400"/>
      <c r="B816" s="3071">
        <v>39</v>
      </c>
      <c r="C816" s="3071" t="s">
        <v>3910</v>
      </c>
      <c r="D816" s="3118" t="s">
        <v>4561</v>
      </c>
      <c r="E816" s="3071"/>
      <c r="F816" s="3071"/>
      <c r="G816" s="3070" t="s">
        <v>3912</v>
      </c>
      <c r="H816" s="3070" t="s">
        <v>3174</v>
      </c>
      <c r="I816" s="3070" t="e">
        <f t="shared" si="13"/>
        <v>#DIV/0!</v>
      </c>
      <c r="J816" s="3402"/>
      <c r="K816" s="3402"/>
      <c r="L816" s="3402"/>
      <c r="M816" s="3402"/>
      <c r="N816" s="3402"/>
    </row>
    <row r="817" spans="1:14" ht="24">
      <c r="A817" s="3398">
        <v>164</v>
      </c>
      <c r="B817" s="3071">
        <v>39</v>
      </c>
      <c r="C817" s="3072" t="s">
        <v>3533</v>
      </c>
      <c r="D817" s="3118" t="s">
        <v>4565</v>
      </c>
      <c r="E817" s="3119">
        <v>133.66</v>
      </c>
      <c r="F817" s="3119">
        <v>8491820</v>
      </c>
      <c r="G817" s="3070" t="s">
        <v>3173</v>
      </c>
      <c r="H817" s="3070" t="s">
        <v>3058</v>
      </c>
      <c r="I817" s="3070">
        <f t="shared" si="13"/>
        <v>63533</v>
      </c>
      <c r="J817" s="3402"/>
      <c r="K817" s="3402"/>
      <c r="L817" s="3402"/>
      <c r="M817" s="3402"/>
      <c r="N817" s="3402"/>
    </row>
    <row r="818" spans="1:14" ht="24">
      <c r="A818" s="3399"/>
      <c r="B818" s="3071">
        <v>39</v>
      </c>
      <c r="C818" s="3072" t="s">
        <v>3535</v>
      </c>
      <c r="D818" s="3118" t="s">
        <v>4566</v>
      </c>
      <c r="E818" s="3119">
        <v>83.92</v>
      </c>
      <c r="F818" s="3119">
        <v>2517600</v>
      </c>
      <c r="G818" s="3070" t="s">
        <v>3501</v>
      </c>
      <c r="H818" s="3070" t="s">
        <v>3230</v>
      </c>
      <c r="I818" s="3070">
        <f t="shared" si="13"/>
        <v>30000</v>
      </c>
      <c r="J818" s="3402"/>
      <c r="K818" s="3402"/>
      <c r="L818" s="3402"/>
      <c r="M818" s="3402"/>
      <c r="N818" s="3402"/>
    </row>
    <row r="819" spans="1:14">
      <c r="A819" s="3399"/>
      <c r="B819" s="3071">
        <v>39</v>
      </c>
      <c r="C819" s="3072">
        <v>-204</v>
      </c>
      <c r="D819" s="3118" t="s">
        <v>4567</v>
      </c>
      <c r="E819" s="3119">
        <v>93.73</v>
      </c>
      <c r="F819" s="3119">
        <v>2811900</v>
      </c>
      <c r="G819" s="3070" t="s">
        <v>3503</v>
      </c>
      <c r="H819" s="3070" t="s">
        <v>3230</v>
      </c>
      <c r="I819" s="3070">
        <f t="shared" si="13"/>
        <v>30000</v>
      </c>
      <c r="J819" s="3402"/>
      <c r="K819" s="3402"/>
      <c r="L819" s="3402"/>
      <c r="M819" s="3402"/>
      <c r="N819" s="3402"/>
    </row>
    <row r="820" spans="1:14">
      <c r="A820" s="3399"/>
      <c r="B820" s="3071">
        <v>39</v>
      </c>
      <c r="C820" s="3071" t="s">
        <v>3185</v>
      </c>
      <c r="D820" s="3118" t="s">
        <v>4568</v>
      </c>
      <c r="E820" s="3071">
        <v>44.59</v>
      </c>
      <c r="F820" s="3071">
        <v>420000</v>
      </c>
      <c r="G820" s="3070" t="s">
        <v>3174</v>
      </c>
      <c r="H820" s="3070" t="s">
        <v>3174</v>
      </c>
      <c r="I820" s="3070">
        <f t="shared" si="13"/>
        <v>9419</v>
      </c>
      <c r="J820" s="3402"/>
      <c r="K820" s="3402"/>
      <c r="L820" s="3402"/>
      <c r="M820" s="3402"/>
      <c r="N820" s="3402"/>
    </row>
    <row r="821" spans="1:14">
      <c r="A821" s="3400"/>
      <c r="B821" s="3071">
        <v>39</v>
      </c>
      <c r="C821" s="3071" t="s">
        <v>3186</v>
      </c>
      <c r="D821" s="3118" t="s">
        <v>4569</v>
      </c>
      <c r="E821" s="3071">
        <v>44.59</v>
      </c>
      <c r="F821" s="3071">
        <v>420000</v>
      </c>
      <c r="G821" s="3070" t="s">
        <v>3174</v>
      </c>
      <c r="H821" s="3070" t="s">
        <v>3174</v>
      </c>
      <c r="I821" s="3070">
        <f t="shared" si="13"/>
        <v>9419</v>
      </c>
      <c r="J821" s="3402"/>
      <c r="K821" s="3402"/>
      <c r="L821" s="3402"/>
      <c r="M821" s="3402"/>
      <c r="N821" s="3402"/>
    </row>
    <row r="822" spans="1:14" ht="24">
      <c r="A822" s="3398">
        <v>165</v>
      </c>
      <c r="B822" s="3071">
        <v>39</v>
      </c>
      <c r="C822" s="3072" t="s">
        <v>3542</v>
      </c>
      <c r="D822" s="3118" t="s">
        <v>4570</v>
      </c>
      <c r="E822" s="3119">
        <v>133.66999999999999</v>
      </c>
      <c r="F822" s="3119">
        <v>7692441</v>
      </c>
      <c r="G822" s="3070" t="s">
        <v>3173</v>
      </c>
      <c r="H822" s="3070" t="s">
        <v>3058</v>
      </c>
      <c r="I822" s="3070">
        <f t="shared" si="13"/>
        <v>57548</v>
      </c>
      <c r="J822" s="3402"/>
      <c r="K822" s="3402"/>
      <c r="L822" s="3402"/>
      <c r="M822" s="3402"/>
      <c r="N822" s="3402"/>
    </row>
    <row r="823" spans="1:14" ht="24">
      <c r="A823" s="3399"/>
      <c r="B823" s="3071">
        <v>39</v>
      </c>
      <c r="C823" s="3072" t="s">
        <v>3544</v>
      </c>
      <c r="D823" s="3118" t="s">
        <v>4571</v>
      </c>
      <c r="E823" s="3119">
        <v>84.05</v>
      </c>
      <c r="F823" s="3119">
        <v>2521500</v>
      </c>
      <c r="G823" s="3070" t="s">
        <v>3501</v>
      </c>
      <c r="H823" s="3070" t="s">
        <v>3230</v>
      </c>
      <c r="I823" s="3070">
        <f t="shared" si="13"/>
        <v>30000</v>
      </c>
      <c r="J823" s="3402"/>
      <c r="K823" s="3402"/>
      <c r="L823" s="3402"/>
      <c r="M823" s="3402"/>
      <c r="N823" s="3402"/>
    </row>
    <row r="824" spans="1:14">
      <c r="A824" s="3399"/>
      <c r="B824" s="3071">
        <v>39</v>
      </c>
      <c r="C824" s="3072">
        <v>-205</v>
      </c>
      <c r="D824" s="3118" t="s">
        <v>4572</v>
      </c>
      <c r="E824" s="3119">
        <v>94.54</v>
      </c>
      <c r="F824" s="3119">
        <v>2836200</v>
      </c>
      <c r="G824" s="3070" t="s">
        <v>3503</v>
      </c>
      <c r="H824" s="3070" t="s">
        <v>3230</v>
      </c>
      <c r="I824" s="3070">
        <f t="shared" si="13"/>
        <v>30000</v>
      </c>
      <c r="J824" s="3402"/>
      <c r="K824" s="3402"/>
      <c r="L824" s="3402"/>
      <c r="M824" s="3402"/>
      <c r="N824" s="3402"/>
    </row>
    <row r="825" spans="1:14">
      <c r="A825" s="3399"/>
      <c r="B825" s="3071">
        <v>39</v>
      </c>
      <c r="C825" s="3071" t="s">
        <v>4573</v>
      </c>
      <c r="D825" s="3118" t="s">
        <v>4574</v>
      </c>
      <c r="E825" s="3071">
        <v>44.59</v>
      </c>
      <c r="F825" s="3071">
        <v>420000</v>
      </c>
      <c r="G825" s="3070" t="s">
        <v>3174</v>
      </c>
      <c r="H825" s="3070" t="s">
        <v>3174</v>
      </c>
      <c r="I825" s="3070">
        <f t="shared" si="13"/>
        <v>9419</v>
      </c>
      <c r="J825" s="3402"/>
      <c r="K825" s="3402"/>
      <c r="L825" s="3402"/>
      <c r="M825" s="3402"/>
      <c r="N825" s="3402"/>
    </row>
    <row r="826" spans="1:14">
      <c r="A826" s="3400"/>
      <c r="B826" s="3071">
        <v>39</v>
      </c>
      <c r="C826" s="3071" t="s">
        <v>4575</v>
      </c>
      <c r="D826" s="3118" t="s">
        <v>4576</v>
      </c>
      <c r="E826" s="3071">
        <v>44.59</v>
      </c>
      <c r="F826" s="3071">
        <v>420000</v>
      </c>
      <c r="G826" s="3070" t="s">
        <v>3174</v>
      </c>
      <c r="H826" s="3070" t="s">
        <v>3174</v>
      </c>
      <c r="I826" s="3070">
        <f t="shared" si="13"/>
        <v>9419</v>
      </c>
      <c r="J826" s="3402"/>
      <c r="K826" s="3402"/>
      <c r="L826" s="3402"/>
      <c r="M826" s="3402"/>
      <c r="N826" s="3402"/>
    </row>
    <row r="827" spans="1:14" ht="24">
      <c r="A827" s="3398">
        <v>166</v>
      </c>
      <c r="B827" s="3071">
        <v>39</v>
      </c>
      <c r="C827" s="3072" t="s">
        <v>3551</v>
      </c>
      <c r="D827" s="3118" t="s">
        <v>4577</v>
      </c>
      <c r="E827" s="3119">
        <v>133.86000000000001</v>
      </c>
      <c r="F827" s="3119">
        <v>7904566</v>
      </c>
      <c r="G827" s="3070" t="s">
        <v>3173</v>
      </c>
      <c r="H827" s="3070" t="s">
        <v>3058</v>
      </c>
      <c r="I827" s="3070">
        <f t="shared" si="13"/>
        <v>59051</v>
      </c>
      <c r="J827" s="3402"/>
      <c r="K827" s="3402"/>
      <c r="L827" s="3402"/>
      <c r="M827" s="3402"/>
      <c r="N827" s="3402"/>
    </row>
    <row r="828" spans="1:14" ht="24">
      <c r="A828" s="3399"/>
      <c r="B828" s="3071">
        <v>39</v>
      </c>
      <c r="C828" s="3072" t="s">
        <v>3553</v>
      </c>
      <c r="D828" s="3118" t="s">
        <v>4578</v>
      </c>
      <c r="E828" s="3119">
        <v>84.32</v>
      </c>
      <c r="F828" s="3119">
        <v>2529600</v>
      </c>
      <c r="G828" s="3070" t="s">
        <v>3501</v>
      </c>
      <c r="H828" s="3070" t="s">
        <v>3230</v>
      </c>
      <c r="I828" s="3070">
        <f t="shared" si="13"/>
        <v>30000</v>
      </c>
      <c r="J828" s="3402"/>
      <c r="K828" s="3402"/>
      <c r="L828" s="3402"/>
      <c r="M828" s="3402"/>
      <c r="N828" s="3402"/>
    </row>
    <row r="829" spans="1:14">
      <c r="A829" s="3399"/>
      <c r="B829" s="3071">
        <v>39</v>
      </c>
      <c r="C829" s="3072">
        <v>-206</v>
      </c>
      <c r="D829" s="3118" t="s">
        <v>4579</v>
      </c>
      <c r="E829" s="3119">
        <v>94.54</v>
      </c>
      <c r="F829" s="3119">
        <v>2836200</v>
      </c>
      <c r="G829" s="3070" t="s">
        <v>3503</v>
      </c>
      <c r="H829" s="3070" t="s">
        <v>3230</v>
      </c>
      <c r="I829" s="3070">
        <f t="shared" si="13"/>
        <v>30000</v>
      </c>
      <c r="J829" s="3402"/>
      <c r="K829" s="3402"/>
      <c r="L829" s="3402"/>
      <c r="M829" s="3402"/>
      <c r="N829" s="3402"/>
    </row>
    <row r="830" spans="1:14">
      <c r="A830" s="3399"/>
      <c r="B830" s="3071">
        <v>39</v>
      </c>
      <c r="C830" s="3071" t="s">
        <v>4580</v>
      </c>
      <c r="D830" s="3118" t="s">
        <v>4581</v>
      </c>
      <c r="E830" s="3071">
        <v>44.59</v>
      </c>
      <c r="F830" s="3071">
        <v>420000</v>
      </c>
      <c r="G830" s="3070" t="s">
        <v>3174</v>
      </c>
      <c r="H830" s="3070" t="s">
        <v>3174</v>
      </c>
      <c r="I830" s="3070">
        <f t="shared" si="13"/>
        <v>9419</v>
      </c>
      <c r="J830" s="3402"/>
      <c r="K830" s="3402"/>
      <c r="L830" s="3402"/>
      <c r="M830" s="3402"/>
      <c r="N830" s="3402"/>
    </row>
    <row r="831" spans="1:14">
      <c r="A831" s="3400"/>
      <c r="B831" s="3071">
        <v>39</v>
      </c>
      <c r="C831" s="3071" t="s">
        <v>4582</v>
      </c>
      <c r="D831" s="3118" t="s">
        <v>4583</v>
      </c>
      <c r="E831" s="3071">
        <v>44.59</v>
      </c>
      <c r="F831" s="3071">
        <v>420000</v>
      </c>
      <c r="G831" s="3070" t="s">
        <v>3174</v>
      </c>
      <c r="H831" s="3070" t="s">
        <v>3174</v>
      </c>
      <c r="I831" s="3070">
        <f t="shared" si="13"/>
        <v>9419</v>
      </c>
      <c r="J831" s="3403"/>
      <c r="K831" s="3403"/>
      <c r="L831" s="3403"/>
      <c r="M831" s="3403"/>
      <c r="N831" s="3403"/>
    </row>
    <row r="832" spans="1:14" ht="24">
      <c r="A832" s="3398">
        <v>167</v>
      </c>
      <c r="B832" s="3071">
        <v>40</v>
      </c>
      <c r="C832" s="3072" t="s">
        <v>3508</v>
      </c>
      <c r="D832" s="3118" t="s">
        <v>4584</v>
      </c>
      <c r="E832" s="3119">
        <v>133.47999999999999</v>
      </c>
      <c r="F832" s="3119">
        <v>8480384</v>
      </c>
      <c r="G832" s="3070" t="s">
        <v>3173</v>
      </c>
      <c r="H832" s="3070" t="s">
        <v>3058</v>
      </c>
      <c r="I832" s="3070">
        <f t="shared" si="13"/>
        <v>63533</v>
      </c>
      <c r="J832" s="3401">
        <v>6</v>
      </c>
      <c r="K832" s="3401">
        <v>6</v>
      </c>
      <c r="L832" s="3401">
        <f>E832+E837+E842+E847+E852+E857</f>
        <v>801.26</v>
      </c>
      <c r="M832" s="3401">
        <f>E833+E834+E838+E839+E843+E844+E848+E849+E853+E854+E858+E859</f>
        <v>1006.3</v>
      </c>
      <c r="N832" s="3401">
        <f>L832+M832</f>
        <v>1807.56</v>
      </c>
    </row>
    <row r="833" spans="1:14" ht="24">
      <c r="A833" s="3399"/>
      <c r="B833" s="3071">
        <v>40</v>
      </c>
      <c r="C833" s="3072" t="s">
        <v>3510</v>
      </c>
      <c r="D833" s="3118" t="s">
        <v>4585</v>
      </c>
      <c r="E833" s="3119">
        <v>83.8</v>
      </c>
      <c r="F833" s="3119">
        <v>2514000</v>
      </c>
      <c r="G833" s="3070" t="s">
        <v>3501</v>
      </c>
      <c r="H833" s="3070" t="s">
        <v>3230</v>
      </c>
      <c r="I833" s="3070">
        <f t="shared" si="13"/>
        <v>30000</v>
      </c>
      <c r="J833" s="3402"/>
      <c r="K833" s="3402"/>
      <c r="L833" s="3402"/>
      <c r="M833" s="3402"/>
      <c r="N833" s="3402"/>
    </row>
    <row r="834" spans="1:14">
      <c r="A834" s="3399"/>
      <c r="B834" s="3071">
        <v>40</v>
      </c>
      <c r="C834" s="3072">
        <v>-201</v>
      </c>
      <c r="D834" s="3118" t="s">
        <v>4586</v>
      </c>
      <c r="E834" s="3119">
        <v>83.26</v>
      </c>
      <c r="F834" s="3119">
        <v>2497800</v>
      </c>
      <c r="G834" s="3070" t="s">
        <v>3503</v>
      </c>
      <c r="H834" s="3070" t="s">
        <v>3230</v>
      </c>
      <c r="I834" s="3070">
        <f t="shared" si="13"/>
        <v>30000</v>
      </c>
      <c r="J834" s="3402"/>
      <c r="K834" s="3402"/>
      <c r="L834" s="3402"/>
      <c r="M834" s="3402"/>
      <c r="N834" s="3402"/>
    </row>
    <row r="835" spans="1:14">
      <c r="A835" s="3399"/>
      <c r="B835" s="3071">
        <v>40</v>
      </c>
      <c r="C835" s="3071" t="s">
        <v>4587</v>
      </c>
      <c r="D835" s="3118" t="s">
        <v>4588</v>
      </c>
      <c r="E835" s="3071">
        <v>44.59</v>
      </c>
      <c r="F835" s="3071">
        <v>420000</v>
      </c>
      <c r="G835" s="3070" t="s">
        <v>3174</v>
      </c>
      <c r="H835" s="3070" t="s">
        <v>3174</v>
      </c>
      <c r="I835" s="3070">
        <f t="shared" si="13"/>
        <v>9419</v>
      </c>
      <c r="J835" s="3402"/>
      <c r="K835" s="3402"/>
      <c r="L835" s="3402"/>
      <c r="M835" s="3402"/>
      <c r="N835" s="3402"/>
    </row>
    <row r="836" spans="1:14">
      <c r="A836" s="3400"/>
      <c r="B836" s="3071">
        <v>40</v>
      </c>
      <c r="C836" s="3071" t="s">
        <v>4589</v>
      </c>
      <c r="D836" s="3118" t="s">
        <v>4590</v>
      </c>
      <c r="E836" s="3071">
        <v>44.59</v>
      </c>
      <c r="F836" s="3071">
        <v>420000</v>
      </c>
      <c r="G836" s="3070" t="s">
        <v>3174</v>
      </c>
      <c r="H836" s="3070" t="s">
        <v>3174</v>
      </c>
      <c r="I836" s="3070">
        <f t="shared" si="13"/>
        <v>9419</v>
      </c>
      <c r="J836" s="3402"/>
      <c r="K836" s="3402"/>
      <c r="L836" s="3402"/>
      <c r="M836" s="3402"/>
      <c r="N836" s="3402"/>
    </row>
    <row r="837" spans="1:14" ht="24">
      <c r="A837" s="3398">
        <v>168</v>
      </c>
      <c r="B837" s="3071">
        <v>40</v>
      </c>
      <c r="C837" s="3072" t="s">
        <v>3497</v>
      </c>
      <c r="D837" s="3118" t="s">
        <v>4591</v>
      </c>
      <c r="E837" s="3119">
        <v>133.47999999999999</v>
      </c>
      <c r="F837" s="3119">
        <v>7580329</v>
      </c>
      <c r="G837" s="3070" t="s">
        <v>3173</v>
      </c>
      <c r="H837" s="3070" t="s">
        <v>3058</v>
      </c>
      <c r="I837" s="3070">
        <f t="shared" si="13"/>
        <v>56790</v>
      </c>
      <c r="J837" s="3402"/>
      <c r="K837" s="3402"/>
      <c r="L837" s="3402"/>
      <c r="M837" s="3402"/>
      <c r="N837" s="3402"/>
    </row>
    <row r="838" spans="1:14" ht="24">
      <c r="A838" s="3399"/>
      <c r="B838" s="3071">
        <v>40</v>
      </c>
      <c r="C838" s="3072" t="s">
        <v>3499</v>
      </c>
      <c r="D838" s="3118" t="s">
        <v>4592</v>
      </c>
      <c r="E838" s="3119">
        <v>83.94</v>
      </c>
      <c r="F838" s="3119">
        <v>2518200</v>
      </c>
      <c r="G838" s="3070" t="s">
        <v>3501</v>
      </c>
      <c r="H838" s="3070" t="s">
        <v>3230</v>
      </c>
      <c r="I838" s="3070">
        <f t="shared" si="13"/>
        <v>30000</v>
      </c>
      <c r="J838" s="3402"/>
      <c r="K838" s="3402"/>
      <c r="L838" s="3402"/>
      <c r="M838" s="3402"/>
      <c r="N838" s="3402"/>
    </row>
    <row r="839" spans="1:14">
      <c r="A839" s="3399"/>
      <c r="B839" s="3071">
        <v>40</v>
      </c>
      <c r="C839" s="3072">
        <v>-202</v>
      </c>
      <c r="D839" s="3118" t="s">
        <v>4593</v>
      </c>
      <c r="E839" s="3119">
        <v>83.97</v>
      </c>
      <c r="F839" s="3119">
        <v>2519100</v>
      </c>
      <c r="G839" s="3070" t="s">
        <v>3503</v>
      </c>
      <c r="H839" s="3070" t="s">
        <v>3230</v>
      </c>
      <c r="I839" s="3070">
        <f t="shared" si="13"/>
        <v>30000</v>
      </c>
      <c r="J839" s="3402"/>
      <c r="K839" s="3402"/>
      <c r="L839" s="3402"/>
      <c r="M839" s="3402"/>
      <c r="N839" s="3402"/>
    </row>
    <row r="840" spans="1:14">
      <c r="A840" s="3399"/>
      <c r="B840" s="3071">
        <v>40</v>
      </c>
      <c r="C840" s="3071" t="s">
        <v>3191</v>
      </c>
      <c r="D840" s="3118" t="s">
        <v>4594</v>
      </c>
      <c r="E840" s="3071">
        <v>44.59</v>
      </c>
      <c r="F840" s="3071">
        <v>420000</v>
      </c>
      <c r="G840" s="3070" t="s">
        <v>3174</v>
      </c>
      <c r="H840" s="3070" t="s">
        <v>3174</v>
      </c>
      <c r="I840" s="3070">
        <f t="shared" si="13"/>
        <v>9419</v>
      </c>
      <c r="J840" s="3402"/>
      <c r="K840" s="3402"/>
      <c r="L840" s="3402"/>
      <c r="M840" s="3402"/>
      <c r="N840" s="3402"/>
    </row>
    <row r="841" spans="1:14">
      <c r="A841" s="3400"/>
      <c r="B841" s="3071">
        <v>40</v>
      </c>
      <c r="C841" s="3071" t="s">
        <v>3192</v>
      </c>
      <c r="D841" s="3118" t="s">
        <v>4595</v>
      </c>
      <c r="E841" s="3071">
        <v>44.59</v>
      </c>
      <c r="F841" s="3071">
        <v>420000</v>
      </c>
      <c r="G841" s="3070" t="s">
        <v>3174</v>
      </c>
      <c r="H841" s="3070" t="s">
        <v>3174</v>
      </c>
      <c r="I841" s="3070">
        <f t="shared" si="13"/>
        <v>9419</v>
      </c>
      <c r="J841" s="3402"/>
      <c r="K841" s="3402"/>
      <c r="L841" s="3402"/>
      <c r="M841" s="3402"/>
      <c r="N841" s="3402"/>
    </row>
    <row r="842" spans="1:14" ht="24">
      <c r="A842" s="3398">
        <v>169</v>
      </c>
      <c r="B842" s="3071">
        <v>40</v>
      </c>
      <c r="C842" s="3072" t="s">
        <v>3524</v>
      </c>
      <c r="D842" s="3118" t="s">
        <v>4596</v>
      </c>
      <c r="E842" s="3119">
        <v>133.66999999999999</v>
      </c>
      <c r="F842" s="3119">
        <v>7792426</v>
      </c>
      <c r="G842" s="3070" t="s">
        <v>3173</v>
      </c>
      <c r="H842" s="3070" t="s">
        <v>3058</v>
      </c>
      <c r="I842" s="3070">
        <f t="shared" si="13"/>
        <v>58296</v>
      </c>
      <c r="J842" s="3402"/>
      <c r="K842" s="3402"/>
      <c r="L842" s="3402"/>
      <c r="M842" s="3402"/>
      <c r="N842" s="3402"/>
    </row>
    <row r="843" spans="1:14" ht="24">
      <c r="A843" s="3399"/>
      <c r="B843" s="3071">
        <v>40</v>
      </c>
      <c r="C843" s="3072" t="s">
        <v>3526</v>
      </c>
      <c r="D843" s="3118" t="s">
        <v>4597</v>
      </c>
      <c r="E843" s="3119">
        <v>84.21</v>
      </c>
      <c r="F843" s="3119">
        <v>2526300</v>
      </c>
      <c r="G843" s="3070" t="s">
        <v>3501</v>
      </c>
      <c r="H843" s="3070" t="s">
        <v>3230</v>
      </c>
      <c r="I843" s="3070">
        <f t="shared" si="13"/>
        <v>30000</v>
      </c>
      <c r="J843" s="3402"/>
      <c r="K843" s="3402"/>
      <c r="L843" s="3402"/>
      <c r="M843" s="3402"/>
      <c r="N843" s="3402"/>
    </row>
    <row r="844" spans="1:14">
      <c r="A844" s="3399"/>
      <c r="B844" s="3071">
        <v>40</v>
      </c>
      <c r="C844" s="3072">
        <v>-203</v>
      </c>
      <c r="D844" s="3118" t="s">
        <v>4598</v>
      </c>
      <c r="E844" s="3119">
        <v>83.97</v>
      </c>
      <c r="F844" s="3119">
        <v>2519100</v>
      </c>
      <c r="G844" s="3070" t="s">
        <v>3503</v>
      </c>
      <c r="H844" s="3070" t="s">
        <v>3230</v>
      </c>
      <c r="I844" s="3070">
        <f t="shared" si="13"/>
        <v>30000</v>
      </c>
      <c r="J844" s="3402"/>
      <c r="K844" s="3402"/>
      <c r="L844" s="3402"/>
      <c r="M844" s="3402"/>
      <c r="N844" s="3402"/>
    </row>
    <row r="845" spans="1:14">
      <c r="A845" s="3399"/>
      <c r="B845" s="3071">
        <v>40</v>
      </c>
      <c r="C845" s="3071" t="s">
        <v>4599</v>
      </c>
      <c r="D845" s="3118" t="s">
        <v>4600</v>
      </c>
      <c r="E845" s="3071">
        <v>44.59</v>
      </c>
      <c r="F845" s="3071">
        <v>420000</v>
      </c>
      <c r="G845" s="3070" t="s">
        <v>3174</v>
      </c>
      <c r="H845" s="3070" t="s">
        <v>3174</v>
      </c>
      <c r="I845" s="3070">
        <f t="shared" si="13"/>
        <v>9419</v>
      </c>
      <c r="J845" s="3402"/>
      <c r="K845" s="3402"/>
      <c r="L845" s="3402"/>
      <c r="M845" s="3402"/>
      <c r="N845" s="3402"/>
    </row>
    <row r="846" spans="1:14">
      <c r="A846" s="3400"/>
      <c r="B846" s="3071">
        <v>40</v>
      </c>
      <c r="C846" s="3071" t="s">
        <v>4601</v>
      </c>
      <c r="D846" s="3118" t="s">
        <v>4602</v>
      </c>
      <c r="E846" s="3071">
        <v>44.59</v>
      </c>
      <c r="F846" s="3071">
        <v>420000</v>
      </c>
      <c r="G846" s="3070" t="s">
        <v>3174</v>
      </c>
      <c r="H846" s="3070" t="s">
        <v>3174</v>
      </c>
      <c r="I846" s="3070">
        <f t="shared" si="13"/>
        <v>9419</v>
      </c>
      <c r="J846" s="3402"/>
      <c r="K846" s="3402"/>
      <c r="L846" s="3402"/>
      <c r="M846" s="3402"/>
      <c r="N846" s="3402"/>
    </row>
    <row r="847" spans="1:14" ht="24">
      <c r="A847" s="3398">
        <v>170</v>
      </c>
      <c r="B847" s="3071">
        <v>40</v>
      </c>
      <c r="C847" s="3072" t="s">
        <v>3533</v>
      </c>
      <c r="D847" s="3118" t="s">
        <v>4603</v>
      </c>
      <c r="E847" s="3119">
        <v>133.47999999999999</v>
      </c>
      <c r="F847" s="3119">
        <v>8480384</v>
      </c>
      <c r="G847" s="3070" t="s">
        <v>3173</v>
      </c>
      <c r="H847" s="3070" t="s">
        <v>3058</v>
      </c>
      <c r="I847" s="3070">
        <f t="shared" si="13"/>
        <v>63533</v>
      </c>
      <c r="J847" s="3402"/>
      <c r="K847" s="3402"/>
      <c r="L847" s="3402"/>
      <c r="M847" s="3402"/>
      <c r="N847" s="3402"/>
    </row>
    <row r="848" spans="1:14" ht="24">
      <c r="A848" s="3399"/>
      <c r="B848" s="3071">
        <v>40</v>
      </c>
      <c r="C848" s="3072" t="s">
        <v>3535</v>
      </c>
      <c r="D848" s="3118" t="s">
        <v>4604</v>
      </c>
      <c r="E848" s="3119">
        <v>83.8</v>
      </c>
      <c r="F848" s="3119">
        <v>2514000</v>
      </c>
      <c r="G848" s="3070" t="s">
        <v>3501</v>
      </c>
      <c r="H848" s="3070" t="s">
        <v>3230</v>
      </c>
      <c r="I848" s="3070">
        <f t="shared" si="13"/>
        <v>30000</v>
      </c>
      <c r="J848" s="3402"/>
      <c r="K848" s="3402"/>
      <c r="L848" s="3402"/>
      <c r="M848" s="3402"/>
      <c r="N848" s="3402"/>
    </row>
    <row r="849" spans="1:14">
      <c r="A849" s="3399"/>
      <c r="B849" s="3071">
        <v>40</v>
      </c>
      <c r="C849" s="3072">
        <v>-204</v>
      </c>
      <c r="D849" s="3118" t="s">
        <v>4605</v>
      </c>
      <c r="E849" s="3119">
        <v>83.26</v>
      </c>
      <c r="F849" s="3119">
        <v>2497800</v>
      </c>
      <c r="G849" s="3070" t="s">
        <v>3503</v>
      </c>
      <c r="H849" s="3070" t="s">
        <v>3230</v>
      </c>
      <c r="I849" s="3070">
        <f t="shared" si="13"/>
        <v>30000</v>
      </c>
      <c r="J849" s="3402"/>
      <c r="K849" s="3402"/>
      <c r="L849" s="3402"/>
      <c r="M849" s="3402"/>
      <c r="N849" s="3402"/>
    </row>
    <row r="850" spans="1:14">
      <c r="A850" s="3399"/>
      <c r="B850" s="3071">
        <v>40</v>
      </c>
      <c r="C850" s="3071" t="s">
        <v>3189</v>
      </c>
      <c r="D850" s="3118" t="s">
        <v>4606</v>
      </c>
      <c r="E850" s="3071">
        <v>44.59</v>
      </c>
      <c r="F850" s="3071">
        <v>420000</v>
      </c>
      <c r="G850" s="3070" t="s">
        <v>3174</v>
      </c>
      <c r="H850" s="3070" t="s">
        <v>3174</v>
      </c>
      <c r="I850" s="3070">
        <f t="shared" si="13"/>
        <v>9419</v>
      </c>
      <c r="J850" s="3402"/>
      <c r="K850" s="3402"/>
      <c r="L850" s="3402"/>
      <c r="M850" s="3402"/>
      <c r="N850" s="3402"/>
    </row>
    <row r="851" spans="1:14">
      <c r="A851" s="3400"/>
      <c r="B851" s="3071">
        <v>40</v>
      </c>
      <c r="C851" s="3071" t="s">
        <v>3190</v>
      </c>
      <c r="D851" s="3118" t="s">
        <v>4607</v>
      </c>
      <c r="E851" s="3071">
        <v>44.59</v>
      </c>
      <c r="F851" s="3071">
        <v>420000</v>
      </c>
      <c r="G851" s="3070" t="s">
        <v>3174</v>
      </c>
      <c r="H851" s="3070" t="s">
        <v>3174</v>
      </c>
      <c r="I851" s="3070">
        <f t="shared" si="13"/>
        <v>9419</v>
      </c>
      <c r="J851" s="3402"/>
      <c r="K851" s="3402"/>
      <c r="L851" s="3402"/>
      <c r="M851" s="3402"/>
      <c r="N851" s="3402"/>
    </row>
    <row r="852" spans="1:14" ht="24">
      <c r="A852" s="3398">
        <v>171</v>
      </c>
      <c r="B852" s="3071">
        <v>40</v>
      </c>
      <c r="C852" s="3072" t="s">
        <v>3542</v>
      </c>
      <c r="D852" s="3118" t="s">
        <v>4608</v>
      </c>
      <c r="E852" s="3119">
        <v>133.47999999999999</v>
      </c>
      <c r="F852" s="3119">
        <v>7680439</v>
      </c>
      <c r="G852" s="3070" t="s">
        <v>3173</v>
      </c>
      <c r="H852" s="3070" t="s">
        <v>3058</v>
      </c>
      <c r="I852" s="3070">
        <f t="shared" si="13"/>
        <v>57540</v>
      </c>
      <c r="J852" s="3402"/>
      <c r="K852" s="3402"/>
      <c r="L852" s="3402"/>
      <c r="M852" s="3402"/>
      <c r="N852" s="3402"/>
    </row>
    <row r="853" spans="1:14" ht="24">
      <c r="A853" s="3399"/>
      <c r="B853" s="3071">
        <v>40</v>
      </c>
      <c r="C853" s="3072" t="s">
        <v>3544</v>
      </c>
      <c r="D853" s="3118" t="s">
        <v>4609</v>
      </c>
      <c r="E853" s="3119">
        <v>83.94</v>
      </c>
      <c r="F853" s="3119">
        <v>2518200</v>
      </c>
      <c r="G853" s="3070" t="s">
        <v>3501</v>
      </c>
      <c r="H853" s="3070" t="s">
        <v>3230</v>
      </c>
      <c r="I853" s="3070">
        <f t="shared" si="13"/>
        <v>30000</v>
      </c>
      <c r="J853" s="3402"/>
      <c r="K853" s="3402"/>
      <c r="L853" s="3402"/>
      <c r="M853" s="3402"/>
      <c r="N853" s="3402"/>
    </row>
    <row r="854" spans="1:14">
      <c r="A854" s="3399"/>
      <c r="B854" s="3071">
        <v>40</v>
      </c>
      <c r="C854" s="3072">
        <v>-205</v>
      </c>
      <c r="D854" s="3118" t="s">
        <v>4610</v>
      </c>
      <c r="E854" s="3119">
        <v>83.97</v>
      </c>
      <c r="F854" s="3119">
        <v>2519100</v>
      </c>
      <c r="G854" s="3070" t="s">
        <v>3503</v>
      </c>
      <c r="H854" s="3070" t="s">
        <v>3230</v>
      </c>
      <c r="I854" s="3070">
        <f t="shared" ref="I854:I917" si="14">ROUND(F854/E854,0)</f>
        <v>30000</v>
      </c>
      <c r="J854" s="3402"/>
      <c r="K854" s="3402"/>
      <c r="L854" s="3402"/>
      <c r="M854" s="3402"/>
      <c r="N854" s="3402"/>
    </row>
    <row r="855" spans="1:14">
      <c r="A855" s="3399"/>
      <c r="B855" s="3071">
        <v>40</v>
      </c>
      <c r="C855" s="3071" t="s">
        <v>4611</v>
      </c>
      <c r="D855" s="3118" t="s">
        <v>4612</v>
      </c>
      <c r="E855" s="3071">
        <v>44.59</v>
      </c>
      <c r="F855" s="3071">
        <v>420000</v>
      </c>
      <c r="G855" s="3070" t="s">
        <v>3174</v>
      </c>
      <c r="H855" s="3070" t="s">
        <v>3174</v>
      </c>
      <c r="I855" s="3070">
        <f t="shared" si="14"/>
        <v>9419</v>
      </c>
      <c r="J855" s="3402"/>
      <c r="K855" s="3402"/>
      <c r="L855" s="3402"/>
      <c r="M855" s="3402"/>
      <c r="N855" s="3402"/>
    </row>
    <row r="856" spans="1:14">
      <c r="A856" s="3400"/>
      <c r="B856" s="3071">
        <v>40</v>
      </c>
      <c r="C856" s="3071" t="s">
        <v>4613</v>
      </c>
      <c r="D856" s="3118" t="s">
        <v>4614</v>
      </c>
      <c r="E856" s="3071">
        <v>44.59</v>
      </c>
      <c r="F856" s="3071">
        <v>420000</v>
      </c>
      <c r="G856" s="3070" t="s">
        <v>3174</v>
      </c>
      <c r="H856" s="3070" t="s">
        <v>3174</v>
      </c>
      <c r="I856" s="3070">
        <f t="shared" si="14"/>
        <v>9419</v>
      </c>
      <c r="J856" s="3402"/>
      <c r="K856" s="3402"/>
      <c r="L856" s="3402"/>
      <c r="M856" s="3402"/>
      <c r="N856" s="3402"/>
    </row>
    <row r="857" spans="1:14" ht="24">
      <c r="A857" s="3398">
        <v>172</v>
      </c>
      <c r="B857" s="3071">
        <v>40</v>
      </c>
      <c r="C857" s="3072" t="s">
        <v>3551</v>
      </c>
      <c r="D857" s="3118" t="s">
        <v>4615</v>
      </c>
      <c r="E857" s="3119">
        <v>133.66999999999999</v>
      </c>
      <c r="F857" s="3119">
        <v>7792426</v>
      </c>
      <c r="G857" s="3070" t="s">
        <v>3173</v>
      </c>
      <c r="H857" s="3070" t="s">
        <v>3058</v>
      </c>
      <c r="I857" s="3070">
        <f t="shared" si="14"/>
        <v>58296</v>
      </c>
      <c r="J857" s="3402"/>
      <c r="K857" s="3402"/>
      <c r="L857" s="3402"/>
      <c r="M857" s="3402"/>
      <c r="N857" s="3402"/>
    </row>
    <row r="858" spans="1:14" ht="24">
      <c r="A858" s="3399"/>
      <c r="B858" s="3071">
        <v>40</v>
      </c>
      <c r="C858" s="3072" t="s">
        <v>3553</v>
      </c>
      <c r="D858" s="3118" t="s">
        <v>4616</v>
      </c>
      <c r="E858" s="3119">
        <v>84.21</v>
      </c>
      <c r="F858" s="3119">
        <v>2526300</v>
      </c>
      <c r="G858" s="3070" t="s">
        <v>3501</v>
      </c>
      <c r="H858" s="3070" t="s">
        <v>3230</v>
      </c>
      <c r="I858" s="3070">
        <f t="shared" si="14"/>
        <v>30000</v>
      </c>
      <c r="J858" s="3402"/>
      <c r="K858" s="3402"/>
      <c r="L858" s="3402"/>
      <c r="M858" s="3402"/>
      <c r="N858" s="3402"/>
    </row>
    <row r="859" spans="1:14">
      <c r="A859" s="3399"/>
      <c r="B859" s="3071">
        <v>40</v>
      </c>
      <c r="C859" s="3072">
        <v>-206</v>
      </c>
      <c r="D859" s="3118" t="s">
        <v>4617</v>
      </c>
      <c r="E859" s="3119">
        <v>83.97</v>
      </c>
      <c r="F859" s="3119">
        <v>2519100</v>
      </c>
      <c r="G859" s="3070" t="s">
        <v>3503</v>
      </c>
      <c r="H859" s="3070" t="s">
        <v>3230</v>
      </c>
      <c r="I859" s="3070">
        <f t="shared" si="14"/>
        <v>30000</v>
      </c>
      <c r="J859" s="3402"/>
      <c r="K859" s="3402"/>
      <c r="L859" s="3402"/>
      <c r="M859" s="3402"/>
      <c r="N859" s="3402"/>
    </row>
    <row r="860" spans="1:14">
      <c r="A860" s="3399"/>
      <c r="B860" s="3071">
        <v>40</v>
      </c>
      <c r="C860" s="3071" t="s">
        <v>4618</v>
      </c>
      <c r="D860" s="3118" t="s">
        <v>4619</v>
      </c>
      <c r="E860" s="3071">
        <v>44.59</v>
      </c>
      <c r="F860" s="3071">
        <v>420000</v>
      </c>
      <c r="G860" s="3070" t="s">
        <v>3174</v>
      </c>
      <c r="H860" s="3070" t="s">
        <v>3174</v>
      </c>
      <c r="I860" s="3070">
        <f t="shared" si="14"/>
        <v>9419</v>
      </c>
      <c r="J860" s="3402"/>
      <c r="K860" s="3402"/>
      <c r="L860" s="3402"/>
      <c r="M860" s="3402"/>
      <c r="N860" s="3402"/>
    </row>
    <row r="861" spans="1:14">
      <c r="A861" s="3400"/>
      <c r="B861" s="3071">
        <v>40</v>
      </c>
      <c r="C861" s="3071" t="s">
        <v>4620</v>
      </c>
      <c r="D861" s="3118" t="s">
        <v>4621</v>
      </c>
      <c r="E861" s="3071">
        <v>44.59</v>
      </c>
      <c r="F861" s="3071">
        <v>420000</v>
      </c>
      <c r="G861" s="3070" t="s">
        <v>3174</v>
      </c>
      <c r="H861" s="3070" t="s">
        <v>3174</v>
      </c>
      <c r="I861" s="3070">
        <f t="shared" si="14"/>
        <v>9419</v>
      </c>
      <c r="J861" s="3403"/>
      <c r="K861" s="3403"/>
      <c r="L861" s="3403"/>
      <c r="M861" s="3403"/>
      <c r="N861" s="3403"/>
    </row>
    <row r="862" spans="1:14" ht="24">
      <c r="A862" s="3398">
        <v>173</v>
      </c>
      <c r="B862" s="3071">
        <v>41</v>
      </c>
      <c r="C862" s="3072" t="s">
        <v>3508</v>
      </c>
      <c r="D862" s="3118" t="s">
        <v>4622</v>
      </c>
      <c r="E862" s="3119">
        <v>134.13999999999999</v>
      </c>
      <c r="F862" s="3119">
        <v>8522316</v>
      </c>
      <c r="G862" s="3070" t="s">
        <v>3173</v>
      </c>
      <c r="H862" s="3070" t="s">
        <v>3058</v>
      </c>
      <c r="I862" s="3070">
        <f t="shared" si="14"/>
        <v>63533</v>
      </c>
      <c r="J862" s="3401">
        <v>5</v>
      </c>
      <c r="K862" s="3401">
        <v>5</v>
      </c>
      <c r="L862" s="3401">
        <f>E862+E867+E872+E877+E882</f>
        <v>672.68000000000006</v>
      </c>
      <c r="M862" s="3401">
        <f>E863+E864+E868+E869+E873+E874+E878+E879+E883+E884</f>
        <v>842.68</v>
      </c>
      <c r="N862" s="3401">
        <f>L862+M862</f>
        <v>1515.3600000000001</v>
      </c>
    </row>
    <row r="863" spans="1:14" ht="24">
      <c r="A863" s="3399"/>
      <c r="B863" s="3071">
        <v>41</v>
      </c>
      <c r="C863" s="3072" t="s">
        <v>3510</v>
      </c>
      <c r="D863" s="3118" t="s">
        <v>4623</v>
      </c>
      <c r="E863" s="3119">
        <v>84.35</v>
      </c>
      <c r="F863" s="3119">
        <v>2530500</v>
      </c>
      <c r="G863" s="3070" t="s">
        <v>3501</v>
      </c>
      <c r="H863" s="3070" t="s">
        <v>3230</v>
      </c>
      <c r="I863" s="3070">
        <f t="shared" si="14"/>
        <v>30000</v>
      </c>
      <c r="J863" s="3402"/>
      <c r="K863" s="3402"/>
      <c r="L863" s="3402"/>
      <c r="M863" s="3402"/>
      <c r="N863" s="3402"/>
    </row>
    <row r="864" spans="1:14">
      <c r="A864" s="3399"/>
      <c r="B864" s="3071">
        <v>41</v>
      </c>
      <c r="C864" s="3072">
        <v>-201</v>
      </c>
      <c r="D864" s="3118" t="s">
        <v>4624</v>
      </c>
      <c r="E864" s="3119">
        <v>84.04</v>
      </c>
      <c r="F864" s="3119">
        <v>2521200</v>
      </c>
      <c r="G864" s="3070" t="s">
        <v>3503</v>
      </c>
      <c r="H864" s="3070" t="s">
        <v>3230</v>
      </c>
      <c r="I864" s="3070">
        <f t="shared" si="14"/>
        <v>30000</v>
      </c>
      <c r="J864" s="3402"/>
      <c r="K864" s="3402"/>
      <c r="L864" s="3402"/>
      <c r="M864" s="3402"/>
      <c r="N864" s="3402"/>
    </row>
    <row r="865" spans="1:14">
      <c r="A865" s="3399"/>
      <c r="B865" s="3071">
        <v>41</v>
      </c>
      <c r="C865" s="3071" t="s">
        <v>4625</v>
      </c>
      <c r="D865" s="3118" t="s">
        <v>4626</v>
      </c>
      <c r="E865" s="3071">
        <v>44.59</v>
      </c>
      <c r="F865" s="3071">
        <v>420000</v>
      </c>
      <c r="G865" s="3070" t="s">
        <v>3174</v>
      </c>
      <c r="H865" s="3070" t="s">
        <v>3174</v>
      </c>
      <c r="I865" s="3070">
        <f t="shared" si="14"/>
        <v>9419</v>
      </c>
      <c r="J865" s="3402"/>
      <c r="K865" s="3402"/>
      <c r="L865" s="3402"/>
      <c r="M865" s="3402"/>
      <c r="N865" s="3402"/>
    </row>
    <row r="866" spans="1:14">
      <c r="A866" s="3400"/>
      <c r="B866" s="3071">
        <v>41</v>
      </c>
      <c r="C866" s="3071" t="s">
        <v>4627</v>
      </c>
      <c r="D866" s="3118" t="s">
        <v>4628</v>
      </c>
      <c r="E866" s="3071">
        <v>44.59</v>
      </c>
      <c r="F866" s="3071">
        <v>420000</v>
      </c>
      <c r="G866" s="3070" t="s">
        <v>3174</v>
      </c>
      <c r="H866" s="3070" t="s">
        <v>3174</v>
      </c>
      <c r="I866" s="3070">
        <f t="shared" si="14"/>
        <v>9419</v>
      </c>
      <c r="J866" s="3402"/>
      <c r="K866" s="3402"/>
      <c r="L866" s="3402"/>
      <c r="M866" s="3402"/>
      <c r="N866" s="3402"/>
    </row>
    <row r="867" spans="1:14" ht="24">
      <c r="A867" s="3398">
        <v>174</v>
      </c>
      <c r="B867" s="3071">
        <v>41</v>
      </c>
      <c r="C867" s="3072" t="s">
        <v>3497</v>
      </c>
      <c r="D867" s="3118" t="s">
        <v>4629</v>
      </c>
      <c r="E867" s="3119">
        <v>134.33000000000001</v>
      </c>
      <c r="F867" s="3119">
        <v>7734452</v>
      </c>
      <c r="G867" s="3070" t="s">
        <v>3173</v>
      </c>
      <c r="H867" s="3070" t="s">
        <v>3058</v>
      </c>
      <c r="I867" s="3070">
        <f t="shared" si="14"/>
        <v>57578</v>
      </c>
      <c r="J867" s="3402"/>
      <c r="K867" s="3402"/>
      <c r="L867" s="3402"/>
      <c r="M867" s="3402"/>
      <c r="N867" s="3402"/>
    </row>
    <row r="868" spans="1:14" ht="24">
      <c r="A868" s="3399"/>
      <c r="B868" s="3071">
        <v>41</v>
      </c>
      <c r="C868" s="3072" t="s">
        <v>3499</v>
      </c>
      <c r="D868" s="3118" t="s">
        <v>4630</v>
      </c>
      <c r="E868" s="3119">
        <v>84.62</v>
      </c>
      <c r="F868" s="3119">
        <v>2538600</v>
      </c>
      <c r="G868" s="3070" t="s">
        <v>3501</v>
      </c>
      <c r="H868" s="3070" t="s">
        <v>3230</v>
      </c>
      <c r="I868" s="3070">
        <f t="shared" si="14"/>
        <v>30000</v>
      </c>
      <c r="J868" s="3402"/>
      <c r="K868" s="3402"/>
      <c r="L868" s="3402"/>
      <c r="M868" s="3402"/>
      <c r="N868" s="3402"/>
    </row>
    <row r="869" spans="1:14">
      <c r="A869" s="3399"/>
      <c r="B869" s="3071">
        <v>41</v>
      </c>
      <c r="C869" s="3072">
        <v>-202</v>
      </c>
      <c r="D869" s="3118" t="s">
        <v>4631</v>
      </c>
      <c r="E869" s="3119">
        <v>84.04</v>
      </c>
      <c r="F869" s="3119">
        <v>2521200</v>
      </c>
      <c r="G869" s="3070" t="s">
        <v>3503</v>
      </c>
      <c r="H869" s="3070" t="s">
        <v>3230</v>
      </c>
      <c r="I869" s="3070">
        <f t="shared" si="14"/>
        <v>30000</v>
      </c>
      <c r="J869" s="3402"/>
      <c r="K869" s="3402"/>
      <c r="L869" s="3402"/>
      <c r="M869" s="3402"/>
      <c r="N869" s="3402"/>
    </row>
    <row r="870" spans="1:14">
      <c r="A870" s="3399"/>
      <c r="B870" s="3071">
        <v>41</v>
      </c>
      <c r="C870" s="3071" t="s">
        <v>4632</v>
      </c>
      <c r="D870" s="3118" t="s">
        <v>4633</v>
      </c>
      <c r="E870" s="3071">
        <v>44.59</v>
      </c>
      <c r="F870" s="3071">
        <v>420000</v>
      </c>
      <c r="G870" s="3070" t="s">
        <v>3174</v>
      </c>
      <c r="H870" s="3070" t="s">
        <v>3174</v>
      </c>
      <c r="I870" s="3070">
        <f t="shared" si="14"/>
        <v>9419</v>
      </c>
      <c r="J870" s="3402"/>
      <c r="K870" s="3402"/>
      <c r="L870" s="3402"/>
      <c r="M870" s="3402"/>
      <c r="N870" s="3402"/>
    </row>
    <row r="871" spans="1:14">
      <c r="A871" s="3400"/>
      <c r="B871" s="3071">
        <v>41</v>
      </c>
      <c r="C871" s="3071" t="s">
        <v>4634</v>
      </c>
      <c r="D871" s="3118" t="s">
        <v>4635</v>
      </c>
      <c r="E871" s="3071">
        <v>44.59</v>
      </c>
      <c r="F871" s="3071">
        <v>420000</v>
      </c>
      <c r="G871" s="3070" t="s">
        <v>3174</v>
      </c>
      <c r="H871" s="3070" t="s">
        <v>3174</v>
      </c>
      <c r="I871" s="3070">
        <f t="shared" si="14"/>
        <v>9419</v>
      </c>
      <c r="J871" s="3402"/>
      <c r="K871" s="3402"/>
      <c r="L871" s="3402"/>
      <c r="M871" s="3402"/>
      <c r="N871" s="3402"/>
    </row>
    <row r="872" spans="1:14" ht="24">
      <c r="A872" s="3398">
        <v>175</v>
      </c>
      <c r="B872" s="3071">
        <v>41</v>
      </c>
      <c r="C872" s="3072" t="s">
        <v>3524</v>
      </c>
      <c r="D872" s="3118" t="s">
        <v>4636</v>
      </c>
      <c r="E872" s="3119">
        <v>135.74</v>
      </c>
      <c r="F872" s="3119">
        <v>8623969</v>
      </c>
      <c r="G872" s="3070" t="s">
        <v>3173</v>
      </c>
      <c r="H872" s="3070" t="s">
        <v>3058</v>
      </c>
      <c r="I872" s="3070">
        <f t="shared" si="14"/>
        <v>63533</v>
      </c>
      <c r="J872" s="3402"/>
      <c r="K872" s="3402"/>
      <c r="L872" s="3402"/>
      <c r="M872" s="3402"/>
      <c r="N872" s="3402"/>
    </row>
    <row r="873" spans="1:14" ht="24">
      <c r="A873" s="3399"/>
      <c r="B873" s="3071">
        <v>41</v>
      </c>
      <c r="C873" s="3072" t="s">
        <v>3526</v>
      </c>
      <c r="D873" s="3118" t="s">
        <v>4637</v>
      </c>
      <c r="E873" s="3119">
        <v>84.72</v>
      </c>
      <c r="F873" s="3119">
        <v>2541600</v>
      </c>
      <c r="G873" s="3070" t="s">
        <v>3501</v>
      </c>
      <c r="H873" s="3070" t="s">
        <v>3230</v>
      </c>
      <c r="I873" s="3070">
        <f t="shared" si="14"/>
        <v>30000</v>
      </c>
      <c r="J873" s="3402"/>
      <c r="K873" s="3402"/>
      <c r="L873" s="3402"/>
      <c r="M873" s="3402"/>
      <c r="N873" s="3402"/>
    </row>
    <row r="874" spans="1:14">
      <c r="A874" s="3399"/>
      <c r="B874" s="3071">
        <v>41</v>
      </c>
      <c r="C874" s="3072">
        <v>-203</v>
      </c>
      <c r="D874" s="3118" t="s">
        <v>4638</v>
      </c>
      <c r="E874" s="3119">
        <v>83.86</v>
      </c>
      <c r="F874" s="3119">
        <v>2515800</v>
      </c>
      <c r="G874" s="3070" t="s">
        <v>3503</v>
      </c>
      <c r="H874" s="3070" t="s">
        <v>3230</v>
      </c>
      <c r="I874" s="3070">
        <f t="shared" si="14"/>
        <v>30000</v>
      </c>
      <c r="J874" s="3402"/>
      <c r="K874" s="3402"/>
      <c r="L874" s="3402"/>
      <c r="M874" s="3402"/>
      <c r="N874" s="3402"/>
    </row>
    <row r="875" spans="1:14">
      <c r="A875" s="3399"/>
      <c r="B875" s="3071">
        <v>41</v>
      </c>
      <c r="C875" s="3071" t="s">
        <v>4639</v>
      </c>
      <c r="D875" s="3118" t="s">
        <v>4640</v>
      </c>
      <c r="E875" s="3071">
        <v>44.59</v>
      </c>
      <c r="F875" s="3071">
        <v>420000</v>
      </c>
      <c r="G875" s="3070" t="s">
        <v>3174</v>
      </c>
      <c r="H875" s="3070" t="s">
        <v>3174</v>
      </c>
      <c r="I875" s="3070">
        <f t="shared" si="14"/>
        <v>9419</v>
      </c>
      <c r="J875" s="3402"/>
      <c r="K875" s="3402"/>
      <c r="L875" s="3402"/>
      <c r="M875" s="3402"/>
      <c r="N875" s="3402"/>
    </row>
    <row r="876" spans="1:14">
      <c r="A876" s="3400"/>
      <c r="B876" s="3071">
        <v>41</v>
      </c>
      <c r="C876" s="3071" t="s">
        <v>4641</v>
      </c>
      <c r="D876" s="3118" t="s">
        <v>4642</v>
      </c>
      <c r="E876" s="3071">
        <v>44.59</v>
      </c>
      <c r="F876" s="3071">
        <v>420000</v>
      </c>
      <c r="G876" s="3070" t="s">
        <v>3174</v>
      </c>
      <c r="H876" s="3070" t="s">
        <v>3174</v>
      </c>
      <c r="I876" s="3070">
        <f t="shared" si="14"/>
        <v>9419</v>
      </c>
      <c r="J876" s="3402"/>
      <c r="K876" s="3402"/>
      <c r="L876" s="3402"/>
      <c r="M876" s="3402"/>
      <c r="N876" s="3402"/>
    </row>
    <row r="877" spans="1:14" ht="24">
      <c r="A877" s="3398">
        <v>176</v>
      </c>
      <c r="B877" s="3071">
        <v>41</v>
      </c>
      <c r="C877" s="3072" t="s">
        <v>3533</v>
      </c>
      <c r="D877" s="3118" t="s">
        <v>4643</v>
      </c>
      <c r="E877" s="3119">
        <v>134.13999999999999</v>
      </c>
      <c r="F877" s="3119">
        <v>7722305</v>
      </c>
      <c r="G877" s="3070" t="s">
        <v>3173</v>
      </c>
      <c r="H877" s="3070" t="s">
        <v>3058</v>
      </c>
      <c r="I877" s="3070">
        <f t="shared" si="14"/>
        <v>57569</v>
      </c>
      <c r="J877" s="3402"/>
      <c r="K877" s="3402"/>
      <c r="L877" s="3402"/>
      <c r="M877" s="3402"/>
      <c r="N877" s="3402"/>
    </row>
    <row r="878" spans="1:14" ht="24">
      <c r="A878" s="3399"/>
      <c r="B878" s="3071">
        <v>41</v>
      </c>
      <c r="C878" s="3072" t="s">
        <v>3535</v>
      </c>
      <c r="D878" s="3118" t="s">
        <v>4644</v>
      </c>
      <c r="E878" s="3119">
        <v>84.35</v>
      </c>
      <c r="F878" s="3119">
        <v>2530500</v>
      </c>
      <c r="G878" s="3070" t="s">
        <v>3501</v>
      </c>
      <c r="H878" s="3070" t="s">
        <v>3230</v>
      </c>
      <c r="I878" s="3070">
        <f t="shared" si="14"/>
        <v>30000</v>
      </c>
      <c r="J878" s="3402"/>
      <c r="K878" s="3402"/>
      <c r="L878" s="3402"/>
      <c r="M878" s="3402"/>
      <c r="N878" s="3402"/>
    </row>
    <row r="879" spans="1:14">
      <c r="A879" s="3399"/>
      <c r="B879" s="3071">
        <v>41</v>
      </c>
      <c r="C879" s="3072">
        <v>-204</v>
      </c>
      <c r="D879" s="3118" t="s">
        <v>4645</v>
      </c>
      <c r="E879" s="3119">
        <v>84.04</v>
      </c>
      <c r="F879" s="3119">
        <v>2521200</v>
      </c>
      <c r="G879" s="3070" t="s">
        <v>3503</v>
      </c>
      <c r="H879" s="3070" t="s">
        <v>3230</v>
      </c>
      <c r="I879" s="3070">
        <f t="shared" si="14"/>
        <v>30000</v>
      </c>
      <c r="J879" s="3402"/>
      <c r="K879" s="3402"/>
      <c r="L879" s="3402"/>
      <c r="M879" s="3402"/>
      <c r="N879" s="3402"/>
    </row>
    <row r="880" spans="1:14">
      <c r="A880" s="3399"/>
      <c r="B880" s="3071">
        <v>41</v>
      </c>
      <c r="C880" s="3071" t="s">
        <v>4646</v>
      </c>
      <c r="D880" s="3118" t="s">
        <v>4647</v>
      </c>
      <c r="E880" s="3071">
        <v>44.59</v>
      </c>
      <c r="F880" s="3071">
        <v>420000</v>
      </c>
      <c r="G880" s="3070" t="s">
        <v>3174</v>
      </c>
      <c r="H880" s="3070" t="s">
        <v>3174</v>
      </c>
      <c r="I880" s="3070">
        <f t="shared" si="14"/>
        <v>9419</v>
      </c>
      <c r="J880" s="3402"/>
      <c r="K880" s="3402"/>
      <c r="L880" s="3402"/>
      <c r="M880" s="3402"/>
      <c r="N880" s="3402"/>
    </row>
    <row r="881" spans="1:14">
      <c r="A881" s="3400"/>
      <c r="B881" s="3071">
        <v>41</v>
      </c>
      <c r="C881" s="3071" t="s">
        <v>4648</v>
      </c>
      <c r="D881" s="3118" t="s">
        <v>4649</v>
      </c>
      <c r="E881" s="3071">
        <v>44.59</v>
      </c>
      <c r="F881" s="3071">
        <v>420000</v>
      </c>
      <c r="G881" s="3070" t="s">
        <v>3174</v>
      </c>
      <c r="H881" s="3070" t="s">
        <v>3174</v>
      </c>
      <c r="I881" s="3070">
        <f t="shared" si="14"/>
        <v>9419</v>
      </c>
      <c r="J881" s="3402"/>
      <c r="K881" s="3402"/>
      <c r="L881" s="3402"/>
      <c r="M881" s="3402"/>
      <c r="N881" s="3402"/>
    </row>
    <row r="882" spans="1:14" ht="24">
      <c r="A882" s="3398">
        <v>177</v>
      </c>
      <c r="B882" s="3071">
        <v>41</v>
      </c>
      <c r="C882" s="3072" t="s">
        <v>3542</v>
      </c>
      <c r="D882" s="3118" t="s">
        <v>4650</v>
      </c>
      <c r="E882" s="3119">
        <v>134.33000000000001</v>
      </c>
      <c r="F882" s="3119">
        <v>7834394</v>
      </c>
      <c r="G882" s="3070" t="s">
        <v>3173</v>
      </c>
      <c r="H882" s="3070" t="s">
        <v>3058</v>
      </c>
      <c r="I882" s="3070">
        <f t="shared" si="14"/>
        <v>58322</v>
      </c>
      <c r="J882" s="3402"/>
      <c r="K882" s="3402"/>
      <c r="L882" s="3402"/>
      <c r="M882" s="3402"/>
      <c r="N882" s="3402"/>
    </row>
    <row r="883" spans="1:14" ht="24">
      <c r="A883" s="3399"/>
      <c r="B883" s="3071">
        <v>41</v>
      </c>
      <c r="C883" s="3072" t="s">
        <v>3544</v>
      </c>
      <c r="D883" s="3118" t="s">
        <v>4651</v>
      </c>
      <c r="E883" s="3119">
        <v>84.62</v>
      </c>
      <c r="F883" s="3119">
        <v>2538600</v>
      </c>
      <c r="G883" s="3070" t="s">
        <v>3501</v>
      </c>
      <c r="H883" s="3070" t="s">
        <v>3230</v>
      </c>
      <c r="I883" s="3070">
        <f t="shared" si="14"/>
        <v>30000</v>
      </c>
      <c r="J883" s="3402"/>
      <c r="K883" s="3402"/>
      <c r="L883" s="3402"/>
      <c r="M883" s="3402"/>
      <c r="N883" s="3402"/>
    </row>
    <row r="884" spans="1:14">
      <c r="A884" s="3399"/>
      <c r="B884" s="3071">
        <v>41</v>
      </c>
      <c r="C884" s="3072">
        <v>-205</v>
      </c>
      <c r="D884" s="3118" t="s">
        <v>4652</v>
      </c>
      <c r="E884" s="3119">
        <v>84.04</v>
      </c>
      <c r="F884" s="3119">
        <v>2521200</v>
      </c>
      <c r="G884" s="3070" t="s">
        <v>3503</v>
      </c>
      <c r="H884" s="3070" t="s">
        <v>3230</v>
      </c>
      <c r="I884" s="3070">
        <f t="shared" si="14"/>
        <v>30000</v>
      </c>
      <c r="J884" s="3402"/>
      <c r="K884" s="3402"/>
      <c r="L884" s="3402"/>
      <c r="M884" s="3402"/>
      <c r="N884" s="3402"/>
    </row>
    <row r="885" spans="1:14">
      <c r="A885" s="3399"/>
      <c r="B885" s="3071">
        <v>41</v>
      </c>
      <c r="C885" s="3071" t="s">
        <v>4653</v>
      </c>
      <c r="D885" s="3118" t="s">
        <v>4654</v>
      </c>
      <c r="E885" s="3071">
        <v>44.59</v>
      </c>
      <c r="F885" s="3071">
        <v>420000</v>
      </c>
      <c r="G885" s="3070" t="s">
        <v>3174</v>
      </c>
      <c r="H885" s="3070" t="s">
        <v>3174</v>
      </c>
      <c r="I885" s="3070">
        <f t="shared" si="14"/>
        <v>9419</v>
      </c>
      <c r="J885" s="3402"/>
      <c r="K885" s="3402"/>
      <c r="L885" s="3402"/>
      <c r="M885" s="3402"/>
      <c r="N885" s="3402"/>
    </row>
    <row r="886" spans="1:14">
      <c r="A886" s="3400"/>
      <c r="B886" s="3071">
        <v>41</v>
      </c>
      <c r="C886" s="3071" t="s">
        <v>4655</v>
      </c>
      <c r="D886" s="3118" t="s">
        <v>4656</v>
      </c>
      <c r="E886" s="3071">
        <v>44.59</v>
      </c>
      <c r="F886" s="3071">
        <v>420000</v>
      </c>
      <c r="G886" s="3070" t="s">
        <v>3174</v>
      </c>
      <c r="H886" s="3070" t="s">
        <v>3174</v>
      </c>
      <c r="I886" s="3070">
        <f t="shared" si="14"/>
        <v>9419</v>
      </c>
      <c r="J886" s="3403"/>
      <c r="K886" s="3403"/>
      <c r="L886" s="3403"/>
      <c r="M886" s="3403"/>
      <c r="N886" s="3403"/>
    </row>
    <row r="887" spans="1:14" ht="24">
      <c r="A887" s="3398">
        <v>178</v>
      </c>
      <c r="B887" s="3071">
        <v>42</v>
      </c>
      <c r="C887" s="3072" t="s">
        <v>3508</v>
      </c>
      <c r="D887" s="3118" t="s">
        <v>4657</v>
      </c>
      <c r="E887" s="3119">
        <v>133.36000000000001</v>
      </c>
      <c r="F887" s="3119">
        <v>8472760</v>
      </c>
      <c r="G887" s="3070" t="s">
        <v>3173</v>
      </c>
      <c r="H887" s="3070" t="s">
        <v>3058</v>
      </c>
      <c r="I887" s="3070">
        <f t="shared" si="14"/>
        <v>63533</v>
      </c>
      <c r="J887" s="3404">
        <v>6</v>
      </c>
      <c r="K887" s="3404">
        <v>6</v>
      </c>
      <c r="L887" s="3404">
        <f>E887+E892+E897+E902+E907+E912</f>
        <v>800.54000000000019</v>
      </c>
      <c r="M887" s="3404">
        <f>E888+E889+E893+E894+E898+E899+E903+E904+E908+E909+E913+E914</f>
        <v>1005.7400000000001</v>
      </c>
      <c r="N887" s="3404">
        <f>L887+M887</f>
        <v>1806.2800000000002</v>
      </c>
    </row>
    <row r="888" spans="1:14" ht="24">
      <c r="A888" s="3399"/>
      <c r="B888" s="3071">
        <v>42</v>
      </c>
      <c r="C888" s="3072" t="s">
        <v>3510</v>
      </c>
      <c r="D888" s="3118" t="s">
        <v>4658</v>
      </c>
      <c r="E888" s="3119">
        <v>83.73</v>
      </c>
      <c r="F888" s="3119">
        <v>2511900</v>
      </c>
      <c r="G888" s="3070" t="s">
        <v>3501</v>
      </c>
      <c r="H888" s="3070" t="s">
        <v>3230</v>
      </c>
      <c r="I888" s="3070">
        <f t="shared" si="14"/>
        <v>30000</v>
      </c>
      <c r="J888" s="3404"/>
      <c r="K888" s="3404"/>
      <c r="L888" s="3404"/>
      <c r="M888" s="3404"/>
      <c r="N888" s="3404"/>
    </row>
    <row r="889" spans="1:14">
      <c r="A889" s="3399"/>
      <c r="B889" s="3071">
        <v>42</v>
      </c>
      <c r="C889" s="3072">
        <v>-201</v>
      </c>
      <c r="D889" s="3118" t="s">
        <v>4659</v>
      </c>
      <c r="E889" s="3119">
        <v>83.23</v>
      </c>
      <c r="F889" s="3119">
        <v>2496900</v>
      </c>
      <c r="G889" s="3070" t="s">
        <v>3503</v>
      </c>
      <c r="H889" s="3070" t="s">
        <v>3230</v>
      </c>
      <c r="I889" s="3070">
        <f t="shared" si="14"/>
        <v>30000</v>
      </c>
      <c r="J889" s="3404"/>
      <c r="K889" s="3404"/>
      <c r="L889" s="3404"/>
      <c r="M889" s="3404"/>
      <c r="N889" s="3404"/>
    </row>
    <row r="890" spans="1:14">
      <c r="A890" s="3399"/>
      <c r="B890" s="3071">
        <v>42</v>
      </c>
      <c r="C890" s="3071" t="s">
        <v>4660</v>
      </c>
      <c r="D890" s="3118" t="s">
        <v>4661</v>
      </c>
      <c r="E890" s="3071">
        <v>44.59</v>
      </c>
      <c r="F890" s="3071">
        <v>420000</v>
      </c>
      <c r="G890" s="3070" t="s">
        <v>3174</v>
      </c>
      <c r="H890" s="3070" t="s">
        <v>3174</v>
      </c>
      <c r="I890" s="3070">
        <f t="shared" si="14"/>
        <v>9419</v>
      </c>
      <c r="J890" s="3404"/>
      <c r="K890" s="3404"/>
      <c r="L890" s="3404"/>
      <c r="M890" s="3404"/>
      <c r="N890" s="3404"/>
    </row>
    <row r="891" spans="1:14">
      <c r="A891" s="3400"/>
      <c r="B891" s="3071">
        <v>42</v>
      </c>
      <c r="C891" s="3071" t="s">
        <v>4662</v>
      </c>
      <c r="D891" s="3118" t="s">
        <v>4663</v>
      </c>
      <c r="E891" s="3071">
        <v>44.59</v>
      </c>
      <c r="F891" s="3071">
        <v>420000</v>
      </c>
      <c r="G891" s="3070" t="s">
        <v>3174</v>
      </c>
      <c r="H891" s="3070" t="s">
        <v>3174</v>
      </c>
      <c r="I891" s="3070">
        <f t="shared" si="14"/>
        <v>9419</v>
      </c>
      <c r="J891" s="3404"/>
      <c r="K891" s="3404"/>
      <c r="L891" s="3404"/>
      <c r="M891" s="3404"/>
      <c r="N891" s="3404"/>
    </row>
    <row r="892" spans="1:14" ht="24">
      <c r="A892" s="3398">
        <v>179</v>
      </c>
      <c r="B892" s="3071">
        <v>42</v>
      </c>
      <c r="C892" s="3072" t="s">
        <v>3497</v>
      </c>
      <c r="D892" s="3118" t="s">
        <v>4664</v>
      </c>
      <c r="E892" s="3119">
        <v>133.36000000000001</v>
      </c>
      <c r="F892" s="3119">
        <v>7572714</v>
      </c>
      <c r="G892" s="3070" t="s">
        <v>3173</v>
      </c>
      <c r="H892" s="3070" t="s">
        <v>3058</v>
      </c>
      <c r="I892" s="3070">
        <f t="shared" si="14"/>
        <v>56784</v>
      </c>
      <c r="J892" s="3404"/>
      <c r="K892" s="3404"/>
      <c r="L892" s="3404"/>
      <c r="M892" s="3404"/>
      <c r="N892" s="3404"/>
    </row>
    <row r="893" spans="1:14" ht="24">
      <c r="A893" s="3399"/>
      <c r="B893" s="3071">
        <v>42</v>
      </c>
      <c r="C893" s="3072" t="s">
        <v>3499</v>
      </c>
      <c r="D893" s="3118" t="s">
        <v>4665</v>
      </c>
      <c r="E893" s="3119">
        <v>83.87</v>
      </c>
      <c r="F893" s="3119">
        <v>2516100</v>
      </c>
      <c r="G893" s="3070" t="s">
        <v>3501</v>
      </c>
      <c r="H893" s="3070" t="s">
        <v>3230</v>
      </c>
      <c r="I893" s="3070">
        <f t="shared" si="14"/>
        <v>30000</v>
      </c>
      <c r="J893" s="3404"/>
      <c r="K893" s="3404"/>
      <c r="L893" s="3404"/>
      <c r="M893" s="3404"/>
      <c r="N893" s="3404"/>
    </row>
    <row r="894" spans="1:14">
      <c r="A894" s="3399"/>
      <c r="B894" s="3071">
        <v>42</v>
      </c>
      <c r="C894" s="3072">
        <v>-202</v>
      </c>
      <c r="D894" s="3118" t="s">
        <v>4666</v>
      </c>
      <c r="E894" s="3119">
        <v>83.95</v>
      </c>
      <c r="F894" s="3119">
        <v>2518500</v>
      </c>
      <c r="G894" s="3070" t="s">
        <v>3503</v>
      </c>
      <c r="H894" s="3070" t="s">
        <v>3230</v>
      </c>
      <c r="I894" s="3070">
        <f t="shared" si="14"/>
        <v>30000</v>
      </c>
      <c r="J894" s="3404"/>
      <c r="K894" s="3404"/>
      <c r="L894" s="3404"/>
      <c r="M894" s="3404"/>
      <c r="N894" s="3404"/>
    </row>
    <row r="895" spans="1:14">
      <c r="A895" s="3399"/>
      <c r="B895" s="3071">
        <v>42</v>
      </c>
      <c r="C895" s="3071" t="s">
        <v>4667</v>
      </c>
      <c r="D895" s="3118" t="s">
        <v>4668</v>
      </c>
      <c r="E895" s="3071">
        <v>44.59</v>
      </c>
      <c r="F895" s="3071">
        <v>420000</v>
      </c>
      <c r="G895" s="3070" t="s">
        <v>3174</v>
      </c>
      <c r="H895" s="3070" t="s">
        <v>3174</v>
      </c>
      <c r="I895" s="3070">
        <f t="shared" si="14"/>
        <v>9419</v>
      </c>
      <c r="J895" s="3404"/>
      <c r="K895" s="3404"/>
      <c r="L895" s="3404"/>
      <c r="M895" s="3404"/>
      <c r="N895" s="3404"/>
    </row>
    <row r="896" spans="1:14">
      <c r="A896" s="3400"/>
      <c r="B896" s="3071">
        <v>42</v>
      </c>
      <c r="C896" s="3071" t="s">
        <v>4669</v>
      </c>
      <c r="D896" s="3118" t="s">
        <v>4670</v>
      </c>
      <c r="E896" s="3071">
        <v>44.59</v>
      </c>
      <c r="F896" s="3071">
        <v>420000</v>
      </c>
      <c r="G896" s="3070" t="s">
        <v>3174</v>
      </c>
      <c r="H896" s="3070" t="s">
        <v>3174</v>
      </c>
      <c r="I896" s="3070">
        <f t="shared" si="14"/>
        <v>9419</v>
      </c>
      <c r="J896" s="3404"/>
      <c r="K896" s="3404"/>
      <c r="L896" s="3404"/>
      <c r="M896" s="3404"/>
      <c r="N896" s="3404"/>
    </row>
    <row r="897" spans="1:14" ht="24">
      <c r="A897" s="3398">
        <v>180</v>
      </c>
      <c r="B897" s="3071">
        <v>42</v>
      </c>
      <c r="C897" s="3072" t="s">
        <v>3524</v>
      </c>
      <c r="D897" s="3118" t="s">
        <v>4671</v>
      </c>
      <c r="E897" s="3119">
        <v>133.55000000000001</v>
      </c>
      <c r="F897" s="3119">
        <v>7684867</v>
      </c>
      <c r="G897" s="3070" t="s">
        <v>3173</v>
      </c>
      <c r="H897" s="3070" t="s">
        <v>3058</v>
      </c>
      <c r="I897" s="3070">
        <f t="shared" si="14"/>
        <v>57543</v>
      </c>
      <c r="J897" s="3404"/>
      <c r="K897" s="3404"/>
      <c r="L897" s="3404"/>
      <c r="M897" s="3404"/>
      <c r="N897" s="3404"/>
    </row>
    <row r="898" spans="1:14" ht="24">
      <c r="A898" s="3399"/>
      <c r="B898" s="3071">
        <v>42</v>
      </c>
      <c r="C898" s="3072" t="s">
        <v>3526</v>
      </c>
      <c r="D898" s="3118" t="s">
        <v>4672</v>
      </c>
      <c r="E898" s="3119">
        <v>84.14</v>
      </c>
      <c r="F898" s="3119">
        <v>2524200</v>
      </c>
      <c r="G898" s="3070" t="s">
        <v>3501</v>
      </c>
      <c r="H898" s="3070" t="s">
        <v>3230</v>
      </c>
      <c r="I898" s="3070">
        <f t="shared" si="14"/>
        <v>30000</v>
      </c>
      <c r="J898" s="3404"/>
      <c r="K898" s="3404"/>
      <c r="L898" s="3404"/>
      <c r="M898" s="3404"/>
      <c r="N898" s="3404"/>
    </row>
    <row r="899" spans="1:14">
      <c r="A899" s="3399"/>
      <c r="B899" s="3071">
        <v>42</v>
      </c>
      <c r="C899" s="3072">
        <v>-203</v>
      </c>
      <c r="D899" s="3118" t="s">
        <v>4673</v>
      </c>
      <c r="E899" s="3119">
        <v>83.95</v>
      </c>
      <c r="F899" s="3119">
        <v>2518500</v>
      </c>
      <c r="G899" s="3070" t="s">
        <v>3503</v>
      </c>
      <c r="H899" s="3070" t="s">
        <v>3230</v>
      </c>
      <c r="I899" s="3070">
        <f t="shared" si="14"/>
        <v>30000</v>
      </c>
      <c r="J899" s="3404"/>
      <c r="K899" s="3404"/>
      <c r="L899" s="3404"/>
      <c r="M899" s="3404"/>
      <c r="N899" s="3404"/>
    </row>
    <row r="900" spans="1:14">
      <c r="A900" s="3399"/>
      <c r="B900" s="3071">
        <v>42</v>
      </c>
      <c r="C900" s="3071" t="s">
        <v>4674</v>
      </c>
      <c r="D900" s="3118" t="s">
        <v>4675</v>
      </c>
      <c r="E900" s="3071">
        <v>44.59</v>
      </c>
      <c r="F900" s="3071">
        <v>420000</v>
      </c>
      <c r="G900" s="3070" t="s">
        <v>3174</v>
      </c>
      <c r="H900" s="3070" t="s">
        <v>3174</v>
      </c>
      <c r="I900" s="3070">
        <f t="shared" si="14"/>
        <v>9419</v>
      </c>
      <c r="J900" s="3404"/>
      <c r="K900" s="3404"/>
      <c r="L900" s="3404"/>
      <c r="M900" s="3404"/>
      <c r="N900" s="3404"/>
    </row>
    <row r="901" spans="1:14">
      <c r="A901" s="3400"/>
      <c r="B901" s="3071">
        <v>42</v>
      </c>
      <c r="C901" s="3071" t="s">
        <v>4676</v>
      </c>
      <c r="D901" s="3118" t="s">
        <v>4677</v>
      </c>
      <c r="E901" s="3071">
        <v>44.59</v>
      </c>
      <c r="F901" s="3071">
        <v>420000</v>
      </c>
      <c r="G901" s="3070" t="s">
        <v>3174</v>
      </c>
      <c r="H901" s="3070" t="s">
        <v>3174</v>
      </c>
      <c r="I901" s="3070">
        <f t="shared" si="14"/>
        <v>9419</v>
      </c>
      <c r="J901" s="3404"/>
      <c r="K901" s="3404"/>
      <c r="L901" s="3404"/>
      <c r="M901" s="3404"/>
      <c r="N901" s="3404"/>
    </row>
    <row r="902" spans="1:14" ht="24">
      <c r="A902" s="3398">
        <v>181</v>
      </c>
      <c r="B902" s="3071">
        <v>42</v>
      </c>
      <c r="C902" s="3072" t="s">
        <v>3533</v>
      </c>
      <c r="D902" s="3118" t="s">
        <v>4678</v>
      </c>
      <c r="E902" s="3119">
        <v>133.36000000000001</v>
      </c>
      <c r="F902" s="3119">
        <v>8472760</v>
      </c>
      <c r="G902" s="3070" t="s">
        <v>3173</v>
      </c>
      <c r="H902" s="3070" t="s">
        <v>3058</v>
      </c>
      <c r="I902" s="3070">
        <f t="shared" si="14"/>
        <v>63533</v>
      </c>
      <c r="J902" s="3404"/>
      <c r="K902" s="3404"/>
      <c r="L902" s="3404"/>
      <c r="M902" s="3404"/>
      <c r="N902" s="3404"/>
    </row>
    <row r="903" spans="1:14" ht="24">
      <c r="A903" s="3399"/>
      <c r="B903" s="3071">
        <v>42</v>
      </c>
      <c r="C903" s="3072" t="s">
        <v>3535</v>
      </c>
      <c r="D903" s="3118" t="s">
        <v>4679</v>
      </c>
      <c r="E903" s="3119">
        <v>83.73</v>
      </c>
      <c r="F903" s="3119">
        <v>2511900</v>
      </c>
      <c r="G903" s="3070" t="s">
        <v>3501</v>
      </c>
      <c r="H903" s="3070" t="s">
        <v>3230</v>
      </c>
      <c r="I903" s="3070">
        <f t="shared" si="14"/>
        <v>30000</v>
      </c>
      <c r="J903" s="3404"/>
      <c r="K903" s="3404"/>
      <c r="L903" s="3404"/>
      <c r="M903" s="3404"/>
      <c r="N903" s="3404"/>
    </row>
    <row r="904" spans="1:14">
      <c r="A904" s="3399"/>
      <c r="B904" s="3071">
        <v>42</v>
      </c>
      <c r="C904" s="3072">
        <v>-204</v>
      </c>
      <c r="D904" s="3118" t="s">
        <v>4680</v>
      </c>
      <c r="E904" s="3119">
        <v>83.23</v>
      </c>
      <c r="F904" s="3119">
        <v>2496900</v>
      </c>
      <c r="G904" s="3070" t="s">
        <v>3503</v>
      </c>
      <c r="H904" s="3070" t="s">
        <v>3230</v>
      </c>
      <c r="I904" s="3070">
        <f t="shared" si="14"/>
        <v>30000</v>
      </c>
      <c r="J904" s="3404"/>
      <c r="K904" s="3404"/>
      <c r="L904" s="3404"/>
      <c r="M904" s="3404"/>
      <c r="N904" s="3404"/>
    </row>
    <row r="905" spans="1:14">
      <c r="A905" s="3399"/>
      <c r="B905" s="3071">
        <v>42</v>
      </c>
      <c r="C905" s="3071" t="s">
        <v>4681</v>
      </c>
      <c r="D905" s="3118" t="s">
        <v>4682</v>
      </c>
      <c r="E905" s="3071">
        <v>44.59</v>
      </c>
      <c r="F905" s="3071">
        <v>420000</v>
      </c>
      <c r="G905" s="3070" t="s">
        <v>3174</v>
      </c>
      <c r="H905" s="3070" t="s">
        <v>3174</v>
      </c>
      <c r="I905" s="3070">
        <f t="shared" si="14"/>
        <v>9419</v>
      </c>
      <c r="J905" s="3404"/>
      <c r="K905" s="3404"/>
      <c r="L905" s="3404"/>
      <c r="M905" s="3404"/>
      <c r="N905" s="3404"/>
    </row>
    <row r="906" spans="1:14">
      <c r="A906" s="3400"/>
      <c r="B906" s="3071">
        <v>42</v>
      </c>
      <c r="C906" s="3071" t="s">
        <v>4683</v>
      </c>
      <c r="D906" s="3118" t="s">
        <v>4684</v>
      </c>
      <c r="E906" s="3071">
        <v>44.59</v>
      </c>
      <c r="F906" s="3071">
        <v>420000</v>
      </c>
      <c r="G906" s="3070" t="s">
        <v>3174</v>
      </c>
      <c r="H906" s="3070" t="s">
        <v>3174</v>
      </c>
      <c r="I906" s="3070">
        <f t="shared" si="14"/>
        <v>9419</v>
      </c>
      <c r="J906" s="3404"/>
      <c r="K906" s="3404"/>
      <c r="L906" s="3404"/>
      <c r="M906" s="3404"/>
      <c r="N906" s="3404"/>
    </row>
    <row r="907" spans="1:14" ht="24">
      <c r="A907" s="3398">
        <v>182</v>
      </c>
      <c r="B907" s="3071">
        <v>42</v>
      </c>
      <c r="C907" s="3072" t="s">
        <v>3542</v>
      </c>
      <c r="D907" s="3118" t="s">
        <v>4685</v>
      </c>
      <c r="E907" s="3119">
        <v>133.36000000000001</v>
      </c>
      <c r="F907" s="3119">
        <v>7822764</v>
      </c>
      <c r="G907" s="3070" t="s">
        <v>3173</v>
      </c>
      <c r="H907" s="3070" t="s">
        <v>3058</v>
      </c>
      <c r="I907" s="3070">
        <f t="shared" si="14"/>
        <v>58659</v>
      </c>
      <c r="J907" s="3404"/>
      <c r="K907" s="3404"/>
      <c r="L907" s="3404"/>
      <c r="M907" s="3404"/>
      <c r="N907" s="3404"/>
    </row>
    <row r="908" spans="1:14" ht="24">
      <c r="A908" s="3399"/>
      <c r="B908" s="3071">
        <v>42</v>
      </c>
      <c r="C908" s="3072" t="s">
        <v>3544</v>
      </c>
      <c r="D908" s="3118" t="s">
        <v>4686</v>
      </c>
      <c r="E908" s="3119">
        <v>83.87</v>
      </c>
      <c r="F908" s="3119">
        <v>2516100</v>
      </c>
      <c r="G908" s="3070" t="s">
        <v>3501</v>
      </c>
      <c r="H908" s="3070" t="s">
        <v>3230</v>
      </c>
      <c r="I908" s="3070">
        <f t="shared" si="14"/>
        <v>30000</v>
      </c>
      <c r="J908" s="3404"/>
      <c r="K908" s="3404"/>
      <c r="L908" s="3404"/>
      <c r="M908" s="3404"/>
      <c r="N908" s="3404"/>
    </row>
    <row r="909" spans="1:14">
      <c r="A909" s="3399"/>
      <c r="B909" s="3071">
        <v>42</v>
      </c>
      <c r="C909" s="3072">
        <v>-205</v>
      </c>
      <c r="D909" s="3118" t="s">
        <v>4687</v>
      </c>
      <c r="E909" s="3119">
        <v>83.95</v>
      </c>
      <c r="F909" s="3119">
        <v>2518500</v>
      </c>
      <c r="G909" s="3070" t="s">
        <v>3503</v>
      </c>
      <c r="H909" s="3070" t="s">
        <v>3230</v>
      </c>
      <c r="I909" s="3070">
        <f t="shared" si="14"/>
        <v>30000</v>
      </c>
      <c r="J909" s="3404"/>
      <c r="K909" s="3404"/>
      <c r="L909" s="3404"/>
      <c r="M909" s="3404"/>
      <c r="N909" s="3404"/>
    </row>
    <row r="910" spans="1:14">
      <c r="A910" s="3399"/>
      <c r="B910" s="3071">
        <v>42</v>
      </c>
      <c r="C910" s="3071" t="s">
        <v>3201</v>
      </c>
      <c r="D910" s="3118" t="s">
        <v>4688</v>
      </c>
      <c r="E910" s="3071">
        <v>44.59</v>
      </c>
      <c r="F910" s="3071">
        <v>420000</v>
      </c>
      <c r="G910" s="3070" t="s">
        <v>3174</v>
      </c>
      <c r="H910" s="3070" t="s">
        <v>3174</v>
      </c>
      <c r="I910" s="3070">
        <f t="shared" si="14"/>
        <v>9419</v>
      </c>
      <c r="J910" s="3404"/>
      <c r="K910" s="3404"/>
      <c r="L910" s="3404"/>
      <c r="M910" s="3404"/>
      <c r="N910" s="3404"/>
    </row>
    <row r="911" spans="1:14">
      <c r="A911" s="3400"/>
      <c r="B911" s="3071">
        <v>42</v>
      </c>
      <c r="C911" s="3071" t="s">
        <v>3202</v>
      </c>
      <c r="D911" s="3118" t="s">
        <v>4689</v>
      </c>
      <c r="E911" s="3071">
        <v>44.59</v>
      </c>
      <c r="F911" s="3071">
        <v>420000</v>
      </c>
      <c r="G911" s="3070" t="s">
        <v>3174</v>
      </c>
      <c r="H911" s="3070" t="s">
        <v>3174</v>
      </c>
      <c r="I911" s="3070">
        <f t="shared" si="14"/>
        <v>9419</v>
      </c>
      <c r="J911" s="3404"/>
      <c r="K911" s="3404"/>
      <c r="L911" s="3404"/>
      <c r="M911" s="3404"/>
      <c r="N911" s="3404"/>
    </row>
    <row r="912" spans="1:14" ht="24">
      <c r="A912" s="3398">
        <v>183</v>
      </c>
      <c r="B912" s="3071">
        <v>42</v>
      </c>
      <c r="C912" s="3072" t="s">
        <v>3551</v>
      </c>
      <c r="D912" s="3118" t="s">
        <v>4690</v>
      </c>
      <c r="E912" s="3119">
        <v>133.55000000000001</v>
      </c>
      <c r="F912" s="3119">
        <v>8034768</v>
      </c>
      <c r="G912" s="3070" t="s">
        <v>3173</v>
      </c>
      <c r="H912" s="3070" t="s">
        <v>3058</v>
      </c>
      <c r="I912" s="3070">
        <f t="shared" si="14"/>
        <v>60163</v>
      </c>
      <c r="J912" s="3404"/>
      <c r="K912" s="3404"/>
      <c r="L912" s="3404"/>
      <c r="M912" s="3404"/>
      <c r="N912" s="3404"/>
    </row>
    <row r="913" spans="1:14" ht="24">
      <c r="A913" s="3399"/>
      <c r="B913" s="3071">
        <v>42</v>
      </c>
      <c r="C913" s="3072" t="s">
        <v>3553</v>
      </c>
      <c r="D913" s="3118" t="s">
        <v>4691</v>
      </c>
      <c r="E913" s="3119">
        <v>84.14</v>
      </c>
      <c r="F913" s="3119">
        <v>2524200</v>
      </c>
      <c r="G913" s="3070" t="s">
        <v>3501</v>
      </c>
      <c r="H913" s="3070" t="s">
        <v>3230</v>
      </c>
      <c r="I913" s="3070">
        <f t="shared" si="14"/>
        <v>30000</v>
      </c>
      <c r="J913" s="3404"/>
      <c r="K913" s="3404"/>
      <c r="L913" s="3404"/>
      <c r="M913" s="3404"/>
      <c r="N913" s="3404"/>
    </row>
    <row r="914" spans="1:14">
      <c r="A914" s="3399"/>
      <c r="B914" s="3071">
        <v>42</v>
      </c>
      <c r="C914" s="3072">
        <v>-206</v>
      </c>
      <c r="D914" s="3118" t="s">
        <v>4692</v>
      </c>
      <c r="E914" s="3119">
        <v>83.95</v>
      </c>
      <c r="F914" s="3119">
        <v>2518500</v>
      </c>
      <c r="G914" s="3070" t="s">
        <v>3503</v>
      </c>
      <c r="H914" s="3070" t="s">
        <v>3230</v>
      </c>
      <c r="I914" s="3070">
        <f t="shared" si="14"/>
        <v>30000</v>
      </c>
      <c r="J914" s="3404"/>
      <c r="K914" s="3404"/>
      <c r="L914" s="3404"/>
      <c r="M914" s="3404"/>
      <c r="N914" s="3404"/>
    </row>
    <row r="915" spans="1:14">
      <c r="A915" s="3399"/>
      <c r="B915" s="3071">
        <v>42</v>
      </c>
      <c r="C915" s="3071" t="s">
        <v>3203</v>
      </c>
      <c r="D915" s="3118" t="s">
        <v>4693</v>
      </c>
      <c r="E915" s="3071">
        <v>44.59</v>
      </c>
      <c r="F915" s="3071">
        <v>420000</v>
      </c>
      <c r="G915" s="3070" t="s">
        <v>3174</v>
      </c>
      <c r="H915" s="3070" t="s">
        <v>3174</v>
      </c>
      <c r="I915" s="3070">
        <f t="shared" si="14"/>
        <v>9419</v>
      </c>
      <c r="J915" s="3404"/>
      <c r="K915" s="3404"/>
      <c r="L915" s="3404"/>
      <c r="M915" s="3404"/>
      <c r="N915" s="3404"/>
    </row>
    <row r="916" spans="1:14">
      <c r="A916" s="3400"/>
      <c r="B916" s="3071">
        <v>42</v>
      </c>
      <c r="C916" s="3071" t="s">
        <v>3204</v>
      </c>
      <c r="D916" s="3118" t="s">
        <v>4694</v>
      </c>
      <c r="E916" s="3071">
        <v>44.59</v>
      </c>
      <c r="F916" s="3071">
        <v>420000</v>
      </c>
      <c r="G916" s="3070" t="s">
        <v>3174</v>
      </c>
      <c r="H916" s="3070" t="s">
        <v>3174</v>
      </c>
      <c r="I916" s="3070">
        <f t="shared" si="14"/>
        <v>9419</v>
      </c>
      <c r="J916" s="3404"/>
      <c r="K916" s="3404"/>
      <c r="L916" s="3404"/>
      <c r="M916" s="3404"/>
      <c r="N916" s="3404"/>
    </row>
    <row r="917" spans="1:14" ht="24">
      <c r="A917" s="3398">
        <v>184</v>
      </c>
      <c r="B917" s="3071">
        <v>43</v>
      </c>
      <c r="C917" s="3072" t="s">
        <v>3508</v>
      </c>
      <c r="D917" s="3118" t="s">
        <v>4695</v>
      </c>
      <c r="E917" s="3119">
        <v>133.31</v>
      </c>
      <c r="F917" s="3119">
        <v>8469584</v>
      </c>
      <c r="G917" s="3070" t="s">
        <v>3173</v>
      </c>
      <c r="H917" s="3070" t="s">
        <v>3058</v>
      </c>
      <c r="I917" s="3070">
        <f t="shared" si="14"/>
        <v>63533</v>
      </c>
      <c r="J917" s="3404">
        <v>6</v>
      </c>
      <c r="K917" s="3404">
        <v>6</v>
      </c>
      <c r="L917" s="3404">
        <f>E917+E922+E927+E932+E937+E942</f>
        <v>800.22</v>
      </c>
      <c r="M917" s="3404">
        <f>E918+E919+E923+E924+E928+E929+E933+E934+E938+E939+E943+E944</f>
        <v>1005.44</v>
      </c>
      <c r="N917" s="3404">
        <f>L917+M917</f>
        <v>1805.66</v>
      </c>
    </row>
    <row r="918" spans="1:14" ht="24">
      <c r="A918" s="3399"/>
      <c r="B918" s="3071">
        <v>43</v>
      </c>
      <c r="C918" s="3072" t="s">
        <v>3510</v>
      </c>
      <c r="D918" s="3118" t="s">
        <v>4696</v>
      </c>
      <c r="E918" s="3119">
        <v>83.69</v>
      </c>
      <c r="F918" s="3119">
        <v>2510700</v>
      </c>
      <c r="G918" s="3070" t="s">
        <v>3501</v>
      </c>
      <c r="H918" s="3070" t="s">
        <v>3230</v>
      </c>
      <c r="I918" s="3070">
        <f t="shared" ref="I918:I981" si="15">ROUND(F918/E918,0)</f>
        <v>30000</v>
      </c>
      <c r="J918" s="3404"/>
      <c r="K918" s="3404"/>
      <c r="L918" s="3404"/>
      <c r="M918" s="3404"/>
      <c r="N918" s="3404"/>
    </row>
    <row r="919" spans="1:14">
      <c r="A919" s="3399"/>
      <c r="B919" s="3071">
        <v>43</v>
      </c>
      <c r="C919" s="3072">
        <v>-201</v>
      </c>
      <c r="D919" s="3118" t="s">
        <v>4697</v>
      </c>
      <c r="E919" s="3119">
        <v>83.22</v>
      </c>
      <c r="F919" s="3119">
        <v>2496600</v>
      </c>
      <c r="G919" s="3070" t="s">
        <v>3503</v>
      </c>
      <c r="H919" s="3070" t="s">
        <v>3230</v>
      </c>
      <c r="I919" s="3070">
        <f t="shared" si="15"/>
        <v>30000</v>
      </c>
      <c r="J919" s="3404"/>
      <c r="K919" s="3404"/>
      <c r="L919" s="3404"/>
      <c r="M919" s="3404"/>
      <c r="N919" s="3404"/>
    </row>
    <row r="920" spans="1:14">
      <c r="A920" s="3399"/>
      <c r="B920" s="3071">
        <v>43</v>
      </c>
      <c r="C920" s="3071" t="s">
        <v>3195</v>
      </c>
      <c r="D920" s="3118" t="s">
        <v>4698</v>
      </c>
      <c r="E920" s="3071">
        <v>44.59</v>
      </c>
      <c r="F920" s="3071">
        <v>420000</v>
      </c>
      <c r="G920" s="3070" t="s">
        <v>3174</v>
      </c>
      <c r="H920" s="3070" t="s">
        <v>3174</v>
      </c>
      <c r="I920" s="3070">
        <f t="shared" si="15"/>
        <v>9419</v>
      </c>
      <c r="J920" s="3404"/>
      <c r="K920" s="3404"/>
      <c r="L920" s="3404"/>
      <c r="M920" s="3404"/>
      <c r="N920" s="3404"/>
    </row>
    <row r="921" spans="1:14">
      <c r="A921" s="3400"/>
      <c r="B921" s="3071">
        <v>43</v>
      </c>
      <c r="C921" s="3071" t="s">
        <v>3196</v>
      </c>
      <c r="D921" s="3118" t="s">
        <v>4699</v>
      </c>
      <c r="E921" s="3071">
        <v>44.59</v>
      </c>
      <c r="F921" s="3071">
        <v>420000</v>
      </c>
      <c r="G921" s="3070" t="s">
        <v>3174</v>
      </c>
      <c r="H921" s="3070" t="s">
        <v>3174</v>
      </c>
      <c r="I921" s="3070">
        <f t="shared" si="15"/>
        <v>9419</v>
      </c>
      <c r="J921" s="3404"/>
      <c r="K921" s="3404"/>
      <c r="L921" s="3404"/>
      <c r="M921" s="3404"/>
      <c r="N921" s="3404"/>
    </row>
    <row r="922" spans="1:14" ht="24">
      <c r="A922" s="3398">
        <v>185</v>
      </c>
      <c r="B922" s="3071">
        <v>43</v>
      </c>
      <c r="C922" s="3072" t="s">
        <v>3497</v>
      </c>
      <c r="D922" s="3118" t="s">
        <v>4700</v>
      </c>
      <c r="E922" s="3119">
        <v>133.30000000000001</v>
      </c>
      <c r="F922" s="3119">
        <v>7568907</v>
      </c>
      <c r="G922" s="3070" t="s">
        <v>3173</v>
      </c>
      <c r="H922" s="3070" t="s">
        <v>3058</v>
      </c>
      <c r="I922" s="3070">
        <f t="shared" si="15"/>
        <v>56781</v>
      </c>
      <c r="J922" s="3404"/>
      <c r="K922" s="3404"/>
      <c r="L922" s="3404"/>
      <c r="M922" s="3404"/>
      <c r="N922" s="3404"/>
    </row>
    <row r="923" spans="1:14" ht="24">
      <c r="A923" s="3399"/>
      <c r="B923" s="3071">
        <v>43</v>
      </c>
      <c r="C923" s="3072" t="s">
        <v>3499</v>
      </c>
      <c r="D923" s="3118" t="s">
        <v>4701</v>
      </c>
      <c r="E923" s="3119">
        <v>83.83</v>
      </c>
      <c r="F923" s="3119">
        <v>2514900</v>
      </c>
      <c r="G923" s="3070" t="s">
        <v>3501</v>
      </c>
      <c r="H923" s="3070" t="s">
        <v>3230</v>
      </c>
      <c r="I923" s="3070">
        <f t="shared" si="15"/>
        <v>30000</v>
      </c>
      <c r="J923" s="3404"/>
      <c r="K923" s="3404"/>
      <c r="L923" s="3404"/>
      <c r="M923" s="3404"/>
      <c r="N923" s="3404"/>
    </row>
    <row r="924" spans="1:14">
      <c r="A924" s="3399"/>
      <c r="B924" s="3071">
        <v>43</v>
      </c>
      <c r="C924" s="3072">
        <v>-202</v>
      </c>
      <c r="D924" s="3118" t="s">
        <v>4702</v>
      </c>
      <c r="E924" s="3119">
        <v>83.94</v>
      </c>
      <c r="F924" s="3119">
        <v>2518200</v>
      </c>
      <c r="G924" s="3070" t="s">
        <v>3503</v>
      </c>
      <c r="H924" s="3070" t="s">
        <v>3230</v>
      </c>
      <c r="I924" s="3070">
        <f t="shared" si="15"/>
        <v>30000</v>
      </c>
      <c r="J924" s="3404"/>
      <c r="K924" s="3404"/>
      <c r="L924" s="3404"/>
      <c r="M924" s="3404"/>
      <c r="N924" s="3404"/>
    </row>
    <row r="925" spans="1:14">
      <c r="A925" s="3399"/>
      <c r="B925" s="3071">
        <v>43</v>
      </c>
      <c r="C925" s="3071" t="s">
        <v>4703</v>
      </c>
      <c r="D925" s="3118" t="s">
        <v>4704</v>
      </c>
      <c r="E925" s="3071">
        <v>44.59</v>
      </c>
      <c r="F925" s="3071">
        <v>420000</v>
      </c>
      <c r="G925" s="3070" t="s">
        <v>3174</v>
      </c>
      <c r="H925" s="3070" t="s">
        <v>3174</v>
      </c>
      <c r="I925" s="3070">
        <f t="shared" si="15"/>
        <v>9419</v>
      </c>
      <c r="J925" s="3404"/>
      <c r="K925" s="3404"/>
      <c r="L925" s="3404"/>
      <c r="M925" s="3404"/>
      <c r="N925" s="3404"/>
    </row>
    <row r="926" spans="1:14">
      <c r="A926" s="3400"/>
      <c r="B926" s="3071">
        <v>43</v>
      </c>
      <c r="C926" s="3071" t="s">
        <v>4705</v>
      </c>
      <c r="D926" s="3118" t="s">
        <v>4706</v>
      </c>
      <c r="E926" s="3071">
        <v>44.59</v>
      </c>
      <c r="F926" s="3071">
        <v>420000</v>
      </c>
      <c r="G926" s="3070" t="s">
        <v>3174</v>
      </c>
      <c r="H926" s="3070" t="s">
        <v>3174</v>
      </c>
      <c r="I926" s="3070">
        <f t="shared" si="15"/>
        <v>9419</v>
      </c>
      <c r="J926" s="3404"/>
      <c r="K926" s="3404"/>
      <c r="L926" s="3404"/>
      <c r="M926" s="3404"/>
      <c r="N926" s="3404"/>
    </row>
    <row r="927" spans="1:14" ht="24">
      <c r="A927" s="3398">
        <v>186</v>
      </c>
      <c r="B927" s="3071">
        <v>43</v>
      </c>
      <c r="C927" s="3072" t="s">
        <v>3524</v>
      </c>
      <c r="D927" s="3118" t="s">
        <v>4707</v>
      </c>
      <c r="E927" s="3119">
        <v>133.5</v>
      </c>
      <c r="F927" s="3119">
        <v>7681590</v>
      </c>
      <c r="G927" s="3070" t="s">
        <v>3173</v>
      </c>
      <c r="H927" s="3070" t="s">
        <v>3058</v>
      </c>
      <c r="I927" s="3070">
        <f t="shared" si="15"/>
        <v>57540</v>
      </c>
      <c r="J927" s="3404"/>
      <c r="K927" s="3404"/>
      <c r="L927" s="3404"/>
      <c r="M927" s="3404"/>
      <c r="N927" s="3404"/>
    </row>
    <row r="928" spans="1:14" ht="24">
      <c r="A928" s="3399"/>
      <c r="B928" s="3071">
        <v>43</v>
      </c>
      <c r="C928" s="3072" t="s">
        <v>3526</v>
      </c>
      <c r="D928" s="3118" t="s">
        <v>4708</v>
      </c>
      <c r="E928" s="3119">
        <v>84.1</v>
      </c>
      <c r="F928" s="3119">
        <v>2523000</v>
      </c>
      <c r="G928" s="3070" t="s">
        <v>3501</v>
      </c>
      <c r="H928" s="3070" t="s">
        <v>3230</v>
      </c>
      <c r="I928" s="3070">
        <f t="shared" si="15"/>
        <v>30000</v>
      </c>
      <c r="J928" s="3404"/>
      <c r="K928" s="3404"/>
      <c r="L928" s="3404"/>
      <c r="M928" s="3404"/>
      <c r="N928" s="3404"/>
    </row>
    <row r="929" spans="1:14">
      <c r="A929" s="3399"/>
      <c r="B929" s="3071">
        <v>43</v>
      </c>
      <c r="C929" s="3072">
        <v>-203</v>
      </c>
      <c r="D929" s="3118" t="s">
        <v>4709</v>
      </c>
      <c r="E929" s="3119">
        <v>83.94</v>
      </c>
      <c r="F929" s="3119">
        <v>2518200</v>
      </c>
      <c r="G929" s="3070" t="s">
        <v>3503</v>
      </c>
      <c r="H929" s="3070" t="s">
        <v>3230</v>
      </c>
      <c r="I929" s="3070">
        <f t="shared" si="15"/>
        <v>30000</v>
      </c>
      <c r="J929" s="3404"/>
      <c r="K929" s="3404"/>
      <c r="L929" s="3404"/>
      <c r="M929" s="3404"/>
      <c r="N929" s="3404"/>
    </row>
    <row r="930" spans="1:14">
      <c r="A930" s="3399"/>
      <c r="B930" s="3071">
        <v>43</v>
      </c>
      <c r="C930" s="3071" t="s">
        <v>3193</v>
      </c>
      <c r="D930" s="3118" t="s">
        <v>4710</v>
      </c>
      <c r="E930" s="3071">
        <v>44.59</v>
      </c>
      <c r="F930" s="3071">
        <v>420000</v>
      </c>
      <c r="G930" s="3070" t="s">
        <v>3174</v>
      </c>
      <c r="H930" s="3070" t="s">
        <v>3174</v>
      </c>
      <c r="I930" s="3070">
        <f t="shared" si="15"/>
        <v>9419</v>
      </c>
      <c r="J930" s="3404"/>
      <c r="K930" s="3404"/>
      <c r="L930" s="3404"/>
      <c r="M930" s="3404"/>
      <c r="N930" s="3404"/>
    </row>
    <row r="931" spans="1:14">
      <c r="A931" s="3400"/>
      <c r="B931" s="3071">
        <v>43</v>
      </c>
      <c r="C931" s="3071" t="s">
        <v>3194</v>
      </c>
      <c r="D931" s="3118" t="s">
        <v>4711</v>
      </c>
      <c r="E931" s="3071">
        <v>44.59</v>
      </c>
      <c r="F931" s="3071">
        <v>420000</v>
      </c>
      <c r="G931" s="3070" t="s">
        <v>3174</v>
      </c>
      <c r="H931" s="3070" t="s">
        <v>3174</v>
      </c>
      <c r="I931" s="3070">
        <f t="shared" si="15"/>
        <v>9419</v>
      </c>
      <c r="J931" s="3404"/>
      <c r="K931" s="3404"/>
      <c r="L931" s="3404"/>
      <c r="M931" s="3404"/>
      <c r="N931" s="3404"/>
    </row>
    <row r="932" spans="1:14" ht="24">
      <c r="A932" s="3398">
        <v>187</v>
      </c>
      <c r="B932" s="3071">
        <v>43</v>
      </c>
      <c r="C932" s="3072" t="s">
        <v>3533</v>
      </c>
      <c r="D932" s="3118" t="s">
        <v>4712</v>
      </c>
      <c r="E932" s="3119">
        <v>133.31</v>
      </c>
      <c r="F932" s="3119">
        <v>8469584</v>
      </c>
      <c r="G932" s="3070" t="s">
        <v>3173</v>
      </c>
      <c r="H932" s="3070" t="s">
        <v>3058</v>
      </c>
      <c r="I932" s="3070">
        <f t="shared" si="15"/>
        <v>63533</v>
      </c>
      <c r="J932" s="3404"/>
      <c r="K932" s="3404"/>
      <c r="L932" s="3404"/>
      <c r="M932" s="3404"/>
      <c r="N932" s="3404"/>
    </row>
    <row r="933" spans="1:14" ht="24">
      <c r="A933" s="3399"/>
      <c r="B933" s="3071">
        <v>43</v>
      </c>
      <c r="C933" s="3072" t="s">
        <v>3535</v>
      </c>
      <c r="D933" s="3118" t="s">
        <v>4713</v>
      </c>
      <c r="E933" s="3119">
        <v>83.69</v>
      </c>
      <c r="F933" s="3119">
        <v>2510700</v>
      </c>
      <c r="G933" s="3070" t="s">
        <v>3501</v>
      </c>
      <c r="H933" s="3070" t="s">
        <v>3230</v>
      </c>
      <c r="I933" s="3070">
        <f t="shared" si="15"/>
        <v>30000</v>
      </c>
      <c r="J933" s="3404"/>
      <c r="K933" s="3404"/>
      <c r="L933" s="3404"/>
      <c r="M933" s="3404"/>
      <c r="N933" s="3404"/>
    </row>
    <row r="934" spans="1:14">
      <c r="A934" s="3399"/>
      <c r="B934" s="3071">
        <v>43</v>
      </c>
      <c r="C934" s="3072">
        <v>-204</v>
      </c>
      <c r="D934" s="3118" t="s">
        <v>4714</v>
      </c>
      <c r="E934" s="3119">
        <v>83.22</v>
      </c>
      <c r="F934" s="3119">
        <v>2496600</v>
      </c>
      <c r="G934" s="3070" t="s">
        <v>3503</v>
      </c>
      <c r="H934" s="3070" t="s">
        <v>3230</v>
      </c>
      <c r="I934" s="3070">
        <f t="shared" si="15"/>
        <v>30000</v>
      </c>
      <c r="J934" s="3404"/>
      <c r="K934" s="3404"/>
      <c r="L934" s="3404"/>
      <c r="M934" s="3404"/>
      <c r="N934" s="3404"/>
    </row>
    <row r="935" spans="1:14">
      <c r="A935" s="3399"/>
      <c r="B935" s="3071">
        <v>43</v>
      </c>
      <c r="C935" s="3071" t="s">
        <v>3197</v>
      </c>
      <c r="D935" s="3118" t="s">
        <v>4715</v>
      </c>
      <c r="E935" s="3071">
        <v>44.59</v>
      </c>
      <c r="F935" s="3071">
        <v>420000</v>
      </c>
      <c r="G935" s="3070" t="s">
        <v>3174</v>
      </c>
      <c r="H935" s="3070" t="s">
        <v>3174</v>
      </c>
      <c r="I935" s="3070">
        <f t="shared" si="15"/>
        <v>9419</v>
      </c>
      <c r="J935" s="3404"/>
      <c r="K935" s="3404"/>
      <c r="L935" s="3404"/>
      <c r="M935" s="3404"/>
      <c r="N935" s="3404"/>
    </row>
    <row r="936" spans="1:14">
      <c r="A936" s="3400"/>
      <c r="B936" s="3071">
        <v>43</v>
      </c>
      <c r="C936" s="3071" t="s">
        <v>3198</v>
      </c>
      <c r="D936" s="3118" t="s">
        <v>4716</v>
      </c>
      <c r="E936" s="3071">
        <v>44.59</v>
      </c>
      <c r="F936" s="3071">
        <v>420000</v>
      </c>
      <c r="G936" s="3070" t="s">
        <v>3174</v>
      </c>
      <c r="H936" s="3070" t="s">
        <v>3174</v>
      </c>
      <c r="I936" s="3070">
        <f t="shared" si="15"/>
        <v>9419</v>
      </c>
      <c r="J936" s="3404"/>
      <c r="K936" s="3404"/>
      <c r="L936" s="3404"/>
      <c r="M936" s="3404"/>
      <c r="N936" s="3404"/>
    </row>
    <row r="937" spans="1:14" ht="24">
      <c r="A937" s="3398">
        <v>188</v>
      </c>
      <c r="B937" s="3071">
        <v>43</v>
      </c>
      <c r="C937" s="3072" t="s">
        <v>3542</v>
      </c>
      <c r="D937" s="3118" t="s">
        <v>4717</v>
      </c>
      <c r="E937" s="3119">
        <v>133.30000000000001</v>
      </c>
      <c r="F937" s="3119">
        <v>7818978</v>
      </c>
      <c r="G937" s="3070" t="s">
        <v>3173</v>
      </c>
      <c r="H937" s="3070" t="s">
        <v>3058</v>
      </c>
      <c r="I937" s="3070">
        <f t="shared" si="15"/>
        <v>58657</v>
      </c>
      <c r="J937" s="3404"/>
      <c r="K937" s="3404"/>
      <c r="L937" s="3404"/>
      <c r="M937" s="3404"/>
      <c r="N937" s="3404"/>
    </row>
    <row r="938" spans="1:14" ht="24">
      <c r="A938" s="3399"/>
      <c r="B938" s="3071">
        <v>43</v>
      </c>
      <c r="C938" s="3072" t="s">
        <v>3544</v>
      </c>
      <c r="D938" s="3118" t="s">
        <v>4718</v>
      </c>
      <c r="E938" s="3119">
        <v>83.83</v>
      </c>
      <c r="F938" s="3119">
        <v>2514900</v>
      </c>
      <c r="G938" s="3070" t="s">
        <v>3501</v>
      </c>
      <c r="H938" s="3070" t="s">
        <v>3230</v>
      </c>
      <c r="I938" s="3070">
        <f t="shared" si="15"/>
        <v>30000</v>
      </c>
      <c r="J938" s="3404"/>
      <c r="K938" s="3404"/>
      <c r="L938" s="3404"/>
      <c r="M938" s="3404"/>
      <c r="N938" s="3404"/>
    </row>
    <row r="939" spans="1:14">
      <c r="A939" s="3399"/>
      <c r="B939" s="3071">
        <v>43</v>
      </c>
      <c r="C939" s="3072">
        <v>-205</v>
      </c>
      <c r="D939" s="3118" t="s">
        <v>4719</v>
      </c>
      <c r="E939" s="3119">
        <v>83.94</v>
      </c>
      <c r="F939" s="3119">
        <v>2518200</v>
      </c>
      <c r="G939" s="3070" t="s">
        <v>3503</v>
      </c>
      <c r="H939" s="3070" t="s">
        <v>3230</v>
      </c>
      <c r="I939" s="3070">
        <f t="shared" si="15"/>
        <v>30000</v>
      </c>
      <c r="J939" s="3404"/>
      <c r="K939" s="3404"/>
      <c r="L939" s="3404"/>
      <c r="M939" s="3404"/>
      <c r="N939" s="3404"/>
    </row>
    <row r="940" spans="1:14">
      <c r="A940" s="3399"/>
      <c r="B940" s="3071">
        <v>43</v>
      </c>
      <c r="C940" s="3071" t="s">
        <v>3199</v>
      </c>
      <c r="D940" s="3118" t="s">
        <v>4720</v>
      </c>
      <c r="E940" s="3071">
        <v>44.59</v>
      </c>
      <c r="F940" s="3071">
        <v>420000</v>
      </c>
      <c r="G940" s="3070" t="s">
        <v>3174</v>
      </c>
      <c r="H940" s="3070" t="s">
        <v>3174</v>
      </c>
      <c r="I940" s="3070">
        <f t="shared" si="15"/>
        <v>9419</v>
      </c>
      <c r="J940" s="3404"/>
      <c r="K940" s="3404"/>
      <c r="L940" s="3404"/>
      <c r="M940" s="3404"/>
      <c r="N940" s="3404"/>
    </row>
    <row r="941" spans="1:14">
      <c r="A941" s="3400"/>
      <c r="B941" s="3071">
        <v>43</v>
      </c>
      <c r="C941" s="3071" t="s">
        <v>3200</v>
      </c>
      <c r="D941" s="3118" t="s">
        <v>4721</v>
      </c>
      <c r="E941" s="3071">
        <v>44.59</v>
      </c>
      <c r="F941" s="3071">
        <v>420000</v>
      </c>
      <c r="G941" s="3070" t="s">
        <v>3174</v>
      </c>
      <c r="H941" s="3070" t="s">
        <v>3174</v>
      </c>
      <c r="I941" s="3070">
        <f t="shared" si="15"/>
        <v>9419</v>
      </c>
      <c r="J941" s="3404"/>
      <c r="K941" s="3404"/>
      <c r="L941" s="3404"/>
      <c r="M941" s="3404"/>
      <c r="N941" s="3404"/>
    </row>
    <row r="942" spans="1:14" ht="24">
      <c r="A942" s="3398">
        <v>189</v>
      </c>
      <c r="B942" s="3071">
        <v>43</v>
      </c>
      <c r="C942" s="3072" t="s">
        <v>3551</v>
      </c>
      <c r="D942" s="3118" t="s">
        <v>4722</v>
      </c>
      <c r="E942" s="3119">
        <v>133.5</v>
      </c>
      <c r="F942" s="3119">
        <v>7931635</v>
      </c>
      <c r="G942" s="3070" t="s">
        <v>3173</v>
      </c>
      <c r="H942" s="3070" t="s">
        <v>3058</v>
      </c>
      <c r="I942" s="3070">
        <f t="shared" si="15"/>
        <v>59413</v>
      </c>
      <c r="J942" s="3404"/>
      <c r="K942" s="3404"/>
      <c r="L942" s="3404"/>
      <c r="M942" s="3404"/>
      <c r="N942" s="3404"/>
    </row>
    <row r="943" spans="1:14" ht="24">
      <c r="A943" s="3399"/>
      <c r="B943" s="3071">
        <v>43</v>
      </c>
      <c r="C943" s="3072" t="s">
        <v>3553</v>
      </c>
      <c r="D943" s="3118" t="s">
        <v>4723</v>
      </c>
      <c r="E943" s="3119">
        <v>84.1</v>
      </c>
      <c r="F943" s="3119">
        <v>2523000</v>
      </c>
      <c r="G943" s="3070" t="s">
        <v>3501</v>
      </c>
      <c r="H943" s="3070" t="s">
        <v>3230</v>
      </c>
      <c r="I943" s="3070">
        <f t="shared" si="15"/>
        <v>30000</v>
      </c>
      <c r="J943" s="3404"/>
      <c r="K943" s="3404"/>
      <c r="L943" s="3404"/>
      <c r="M943" s="3404"/>
      <c r="N943" s="3404"/>
    </row>
    <row r="944" spans="1:14">
      <c r="A944" s="3399"/>
      <c r="B944" s="3071">
        <v>43</v>
      </c>
      <c r="C944" s="3072">
        <v>-206</v>
      </c>
      <c r="D944" s="3118" t="s">
        <v>4724</v>
      </c>
      <c r="E944" s="3119">
        <v>83.94</v>
      </c>
      <c r="F944" s="3119">
        <v>2518200</v>
      </c>
      <c r="G944" s="3070" t="s">
        <v>3503</v>
      </c>
      <c r="H944" s="3070" t="s">
        <v>3230</v>
      </c>
      <c r="I944" s="3070">
        <f t="shared" si="15"/>
        <v>30000</v>
      </c>
      <c r="J944" s="3404"/>
      <c r="K944" s="3404"/>
      <c r="L944" s="3404"/>
      <c r="M944" s="3404"/>
      <c r="N944" s="3404"/>
    </row>
    <row r="945" spans="1:14">
      <c r="A945" s="3399"/>
      <c r="B945" s="3071">
        <v>43</v>
      </c>
      <c r="C945" s="3071" t="s">
        <v>4725</v>
      </c>
      <c r="D945" s="3118" t="s">
        <v>4726</v>
      </c>
      <c r="E945" s="3071">
        <v>44.59</v>
      </c>
      <c r="F945" s="3071">
        <v>420000</v>
      </c>
      <c r="G945" s="3070" t="s">
        <v>3174</v>
      </c>
      <c r="H945" s="3070" t="s">
        <v>3174</v>
      </c>
      <c r="I945" s="3070">
        <f t="shared" si="15"/>
        <v>9419</v>
      </c>
      <c r="J945" s="3404"/>
      <c r="K945" s="3404"/>
      <c r="L945" s="3404"/>
      <c r="M945" s="3404"/>
      <c r="N945" s="3404"/>
    </row>
    <row r="946" spans="1:14">
      <c r="A946" s="3400"/>
      <c r="B946" s="3071">
        <v>43</v>
      </c>
      <c r="C946" s="3071" t="s">
        <v>4727</v>
      </c>
      <c r="D946" s="3118" t="s">
        <v>4728</v>
      </c>
      <c r="E946" s="3071">
        <v>44.59</v>
      </c>
      <c r="F946" s="3071">
        <v>420000</v>
      </c>
      <c r="G946" s="3070" t="s">
        <v>3174</v>
      </c>
      <c r="H946" s="3070" t="s">
        <v>3174</v>
      </c>
      <c r="I946" s="3070">
        <f t="shared" si="15"/>
        <v>9419</v>
      </c>
      <c r="J946" s="3404"/>
      <c r="K946" s="3404"/>
      <c r="L946" s="3404"/>
      <c r="M946" s="3404"/>
      <c r="N946" s="3404"/>
    </row>
    <row r="947" spans="1:14" ht="24">
      <c r="A947" s="3398">
        <v>190</v>
      </c>
      <c r="B947" s="3071">
        <v>44</v>
      </c>
      <c r="C947" s="3072" t="s">
        <v>3508</v>
      </c>
      <c r="D947" s="3118" t="s">
        <v>4729</v>
      </c>
      <c r="E947" s="3119">
        <v>133.41999999999999</v>
      </c>
      <c r="F947" s="3119">
        <v>8476572</v>
      </c>
      <c r="G947" s="3070" t="s">
        <v>3173</v>
      </c>
      <c r="H947" s="3070" t="s">
        <v>3058</v>
      </c>
      <c r="I947" s="3070">
        <f t="shared" si="15"/>
        <v>63533</v>
      </c>
      <c r="J947" s="3404">
        <v>6</v>
      </c>
      <c r="K947" s="3404">
        <v>6</v>
      </c>
      <c r="L947" s="3404">
        <f>E947+E952+E957+E962+E967+E972</f>
        <v>800.9</v>
      </c>
      <c r="M947" s="3404">
        <f>E948+E949+E953+E954+E958+E959+E963+E964+E968+E969+E973+E974</f>
        <v>1005.98</v>
      </c>
      <c r="N947" s="3404">
        <f>L947+M947</f>
        <v>1806.88</v>
      </c>
    </row>
    <row r="948" spans="1:14" ht="24">
      <c r="A948" s="3399"/>
      <c r="B948" s="3071">
        <v>44</v>
      </c>
      <c r="C948" s="3072" t="s">
        <v>3510</v>
      </c>
      <c r="D948" s="3118" t="s">
        <v>4730</v>
      </c>
      <c r="E948" s="3119">
        <v>83.76</v>
      </c>
      <c r="F948" s="3119">
        <v>2512800</v>
      </c>
      <c r="G948" s="3070" t="s">
        <v>3501</v>
      </c>
      <c r="H948" s="3070" t="s">
        <v>3230</v>
      </c>
      <c r="I948" s="3070">
        <f t="shared" si="15"/>
        <v>30000</v>
      </c>
      <c r="J948" s="3404"/>
      <c r="K948" s="3404"/>
      <c r="L948" s="3404"/>
      <c r="M948" s="3404"/>
      <c r="N948" s="3404"/>
    </row>
    <row r="949" spans="1:14">
      <c r="A949" s="3399"/>
      <c r="B949" s="3071">
        <v>44</v>
      </c>
      <c r="C949" s="3072">
        <v>-201</v>
      </c>
      <c r="D949" s="3118" t="s">
        <v>4731</v>
      </c>
      <c r="E949" s="3119">
        <v>83.24</v>
      </c>
      <c r="F949" s="3119">
        <v>2497200</v>
      </c>
      <c r="G949" s="3070" t="s">
        <v>3503</v>
      </c>
      <c r="H949" s="3070" t="s">
        <v>3230</v>
      </c>
      <c r="I949" s="3070">
        <f t="shared" si="15"/>
        <v>30000</v>
      </c>
      <c r="J949" s="3404"/>
      <c r="K949" s="3404"/>
      <c r="L949" s="3404"/>
      <c r="M949" s="3404"/>
      <c r="N949" s="3404"/>
    </row>
    <row r="950" spans="1:14">
      <c r="A950" s="3399"/>
      <c r="B950" s="3071">
        <v>44</v>
      </c>
      <c r="C950" s="3071" t="s">
        <v>3211</v>
      </c>
      <c r="D950" s="3118" t="s">
        <v>4732</v>
      </c>
      <c r="E950" s="3071">
        <v>44.59</v>
      </c>
      <c r="F950" s="3071">
        <v>420000</v>
      </c>
      <c r="G950" s="3070" t="s">
        <v>3174</v>
      </c>
      <c r="H950" s="3070" t="s">
        <v>3174</v>
      </c>
      <c r="I950" s="3070">
        <f t="shared" si="15"/>
        <v>9419</v>
      </c>
      <c r="J950" s="3404"/>
      <c r="K950" s="3404"/>
      <c r="L950" s="3404"/>
      <c r="M950" s="3404"/>
      <c r="N950" s="3404"/>
    </row>
    <row r="951" spans="1:14">
      <c r="A951" s="3400"/>
      <c r="B951" s="3071">
        <v>44</v>
      </c>
      <c r="C951" s="3071" t="s">
        <v>3212</v>
      </c>
      <c r="D951" s="3118" t="s">
        <v>4733</v>
      </c>
      <c r="E951" s="3071">
        <v>44.59</v>
      </c>
      <c r="F951" s="3071">
        <v>420000</v>
      </c>
      <c r="G951" s="3070" t="s">
        <v>3174</v>
      </c>
      <c r="H951" s="3070" t="s">
        <v>3174</v>
      </c>
      <c r="I951" s="3070">
        <f t="shared" si="15"/>
        <v>9419</v>
      </c>
      <c r="J951" s="3404"/>
      <c r="K951" s="3404"/>
      <c r="L951" s="3404"/>
      <c r="M951" s="3404"/>
      <c r="N951" s="3404"/>
    </row>
    <row r="952" spans="1:14" ht="24">
      <c r="A952" s="3398">
        <v>191</v>
      </c>
      <c r="B952" s="3071">
        <v>44</v>
      </c>
      <c r="C952" s="3072" t="s">
        <v>3497</v>
      </c>
      <c r="D952" s="3118" t="s">
        <v>4734</v>
      </c>
      <c r="E952" s="3119">
        <v>133.41999999999999</v>
      </c>
      <c r="F952" s="3119">
        <v>7726619</v>
      </c>
      <c r="G952" s="3070" t="s">
        <v>3173</v>
      </c>
      <c r="H952" s="3070" t="s">
        <v>3058</v>
      </c>
      <c r="I952" s="3070">
        <f t="shared" si="15"/>
        <v>57912</v>
      </c>
      <c r="J952" s="3404"/>
      <c r="K952" s="3404"/>
      <c r="L952" s="3404"/>
      <c r="M952" s="3404"/>
      <c r="N952" s="3404"/>
    </row>
    <row r="953" spans="1:14" ht="24">
      <c r="A953" s="3399"/>
      <c r="B953" s="3071">
        <v>44</v>
      </c>
      <c r="C953" s="3072" t="s">
        <v>3499</v>
      </c>
      <c r="D953" s="3118" t="s">
        <v>4735</v>
      </c>
      <c r="E953" s="3119">
        <v>83.9</v>
      </c>
      <c r="F953" s="3119">
        <v>2517000</v>
      </c>
      <c r="G953" s="3070" t="s">
        <v>3501</v>
      </c>
      <c r="H953" s="3070" t="s">
        <v>3230</v>
      </c>
      <c r="I953" s="3070">
        <f t="shared" si="15"/>
        <v>30000</v>
      </c>
      <c r="J953" s="3404"/>
      <c r="K953" s="3404"/>
      <c r="L953" s="3404"/>
      <c r="M953" s="3404"/>
      <c r="N953" s="3404"/>
    </row>
    <row r="954" spans="1:14">
      <c r="A954" s="3399"/>
      <c r="B954" s="3071">
        <v>44</v>
      </c>
      <c r="C954" s="3072">
        <v>-202</v>
      </c>
      <c r="D954" s="3118" t="s">
        <v>4736</v>
      </c>
      <c r="E954" s="3119">
        <v>83.96</v>
      </c>
      <c r="F954" s="3119">
        <v>2518800</v>
      </c>
      <c r="G954" s="3070" t="s">
        <v>3503</v>
      </c>
      <c r="H954" s="3070" t="s">
        <v>3230</v>
      </c>
      <c r="I954" s="3070">
        <f t="shared" si="15"/>
        <v>30000</v>
      </c>
      <c r="J954" s="3404"/>
      <c r="K954" s="3404"/>
      <c r="L954" s="3404"/>
      <c r="M954" s="3404"/>
      <c r="N954" s="3404"/>
    </row>
    <row r="955" spans="1:14">
      <c r="A955" s="3399"/>
      <c r="B955" s="3071">
        <v>44</v>
      </c>
      <c r="C955" s="3071" t="s">
        <v>3209</v>
      </c>
      <c r="D955" s="3118" t="s">
        <v>4737</v>
      </c>
      <c r="E955" s="3071">
        <v>44.59</v>
      </c>
      <c r="F955" s="3071">
        <v>420000</v>
      </c>
      <c r="G955" s="3070" t="s">
        <v>3174</v>
      </c>
      <c r="H955" s="3070" t="s">
        <v>3174</v>
      </c>
      <c r="I955" s="3070">
        <f t="shared" si="15"/>
        <v>9419</v>
      </c>
      <c r="J955" s="3404"/>
      <c r="K955" s="3404"/>
      <c r="L955" s="3404"/>
      <c r="M955" s="3404"/>
      <c r="N955" s="3404"/>
    </row>
    <row r="956" spans="1:14">
      <c r="A956" s="3400"/>
      <c r="B956" s="3071">
        <v>44</v>
      </c>
      <c r="C956" s="3071" t="s">
        <v>3210</v>
      </c>
      <c r="D956" s="3118" t="s">
        <v>4738</v>
      </c>
      <c r="E956" s="3071">
        <v>44.59</v>
      </c>
      <c r="F956" s="3071">
        <v>420000</v>
      </c>
      <c r="G956" s="3070" t="s">
        <v>3174</v>
      </c>
      <c r="H956" s="3070" t="s">
        <v>3174</v>
      </c>
      <c r="I956" s="3070">
        <f t="shared" si="15"/>
        <v>9419</v>
      </c>
      <c r="J956" s="3404"/>
      <c r="K956" s="3404"/>
      <c r="L956" s="3404"/>
      <c r="M956" s="3404"/>
      <c r="N956" s="3404"/>
    </row>
    <row r="957" spans="1:14" ht="24">
      <c r="A957" s="3398">
        <v>192</v>
      </c>
      <c r="B957" s="3071">
        <v>44</v>
      </c>
      <c r="C957" s="3072" t="s">
        <v>3524</v>
      </c>
      <c r="D957" s="3118" t="s">
        <v>4739</v>
      </c>
      <c r="E957" s="3119">
        <v>133.61000000000001</v>
      </c>
      <c r="F957" s="3119">
        <v>7838631</v>
      </c>
      <c r="G957" s="3070" t="s">
        <v>3173</v>
      </c>
      <c r="H957" s="3070" t="s">
        <v>3058</v>
      </c>
      <c r="I957" s="3070">
        <f t="shared" si="15"/>
        <v>58668</v>
      </c>
      <c r="J957" s="3404"/>
      <c r="K957" s="3404"/>
      <c r="L957" s="3404"/>
      <c r="M957" s="3404"/>
      <c r="N957" s="3404"/>
    </row>
    <row r="958" spans="1:14" ht="24">
      <c r="A958" s="3399"/>
      <c r="B958" s="3071">
        <v>44</v>
      </c>
      <c r="C958" s="3072" t="s">
        <v>3526</v>
      </c>
      <c r="D958" s="3118" t="s">
        <v>4740</v>
      </c>
      <c r="E958" s="3119">
        <v>84.17</v>
      </c>
      <c r="F958" s="3119">
        <v>2525100</v>
      </c>
      <c r="G958" s="3070" t="s">
        <v>3501</v>
      </c>
      <c r="H958" s="3070" t="s">
        <v>3230</v>
      </c>
      <c r="I958" s="3070">
        <f t="shared" si="15"/>
        <v>30000</v>
      </c>
      <c r="J958" s="3404"/>
      <c r="K958" s="3404"/>
      <c r="L958" s="3404"/>
      <c r="M958" s="3404"/>
      <c r="N958" s="3404"/>
    </row>
    <row r="959" spans="1:14">
      <c r="A959" s="3399"/>
      <c r="B959" s="3071">
        <v>44</v>
      </c>
      <c r="C959" s="3072">
        <v>-203</v>
      </c>
      <c r="D959" s="3118" t="s">
        <v>4741</v>
      </c>
      <c r="E959" s="3119">
        <v>83.96</v>
      </c>
      <c r="F959" s="3119">
        <v>2518800</v>
      </c>
      <c r="G959" s="3070" t="s">
        <v>3503</v>
      </c>
      <c r="H959" s="3070" t="s">
        <v>3230</v>
      </c>
      <c r="I959" s="3070">
        <f t="shared" si="15"/>
        <v>30000</v>
      </c>
      <c r="J959" s="3404"/>
      <c r="K959" s="3404"/>
      <c r="L959" s="3404"/>
      <c r="M959" s="3404"/>
      <c r="N959" s="3404"/>
    </row>
    <row r="960" spans="1:14">
      <c r="A960" s="3399"/>
      <c r="B960" s="3071">
        <v>44</v>
      </c>
      <c r="C960" s="3071" t="s">
        <v>3207</v>
      </c>
      <c r="D960" s="3118" t="s">
        <v>4742</v>
      </c>
      <c r="E960" s="3071">
        <v>44.59</v>
      </c>
      <c r="F960" s="3071">
        <v>420000</v>
      </c>
      <c r="G960" s="3070" t="s">
        <v>3174</v>
      </c>
      <c r="H960" s="3070" t="s">
        <v>3174</v>
      </c>
      <c r="I960" s="3070">
        <f t="shared" si="15"/>
        <v>9419</v>
      </c>
      <c r="J960" s="3404"/>
      <c r="K960" s="3404"/>
      <c r="L960" s="3404"/>
      <c r="M960" s="3404"/>
      <c r="N960" s="3404"/>
    </row>
    <row r="961" spans="1:14">
      <c r="A961" s="3400"/>
      <c r="B961" s="3071">
        <v>44</v>
      </c>
      <c r="C961" s="3071" t="s">
        <v>3208</v>
      </c>
      <c r="D961" s="3118" t="s">
        <v>4743</v>
      </c>
      <c r="E961" s="3071">
        <v>44.59</v>
      </c>
      <c r="F961" s="3071">
        <v>420000</v>
      </c>
      <c r="G961" s="3070" t="s">
        <v>3174</v>
      </c>
      <c r="H961" s="3070" t="s">
        <v>3174</v>
      </c>
      <c r="I961" s="3070">
        <f t="shared" si="15"/>
        <v>9419</v>
      </c>
      <c r="J961" s="3404"/>
      <c r="K961" s="3404"/>
      <c r="L961" s="3404"/>
      <c r="M961" s="3404"/>
      <c r="N961" s="3404"/>
    </row>
    <row r="962" spans="1:14" ht="24">
      <c r="A962" s="3398">
        <v>193</v>
      </c>
      <c r="B962" s="3071">
        <v>44</v>
      </c>
      <c r="C962" s="3072" t="s">
        <v>3533</v>
      </c>
      <c r="D962" s="3118" t="s">
        <v>4744</v>
      </c>
      <c r="E962" s="3119">
        <v>133.41999999999999</v>
      </c>
      <c r="F962" s="3119">
        <v>8476572</v>
      </c>
      <c r="G962" s="3070" t="s">
        <v>3173</v>
      </c>
      <c r="H962" s="3070" t="s">
        <v>3058</v>
      </c>
      <c r="I962" s="3070">
        <f t="shared" si="15"/>
        <v>63533</v>
      </c>
      <c r="J962" s="3404"/>
      <c r="K962" s="3404"/>
      <c r="L962" s="3404"/>
      <c r="M962" s="3404"/>
      <c r="N962" s="3404"/>
    </row>
    <row r="963" spans="1:14" ht="24">
      <c r="A963" s="3399"/>
      <c r="B963" s="3071">
        <v>44</v>
      </c>
      <c r="C963" s="3072" t="s">
        <v>3535</v>
      </c>
      <c r="D963" s="3118" t="s">
        <v>4745</v>
      </c>
      <c r="E963" s="3119">
        <v>83.76</v>
      </c>
      <c r="F963" s="3119">
        <v>2512800</v>
      </c>
      <c r="G963" s="3070" t="s">
        <v>3501</v>
      </c>
      <c r="H963" s="3070" t="s">
        <v>3230</v>
      </c>
      <c r="I963" s="3070">
        <f t="shared" si="15"/>
        <v>30000</v>
      </c>
      <c r="J963" s="3404"/>
      <c r="K963" s="3404"/>
      <c r="L963" s="3404"/>
      <c r="M963" s="3404"/>
      <c r="N963" s="3404"/>
    </row>
    <row r="964" spans="1:14">
      <c r="A964" s="3399"/>
      <c r="B964" s="3071">
        <v>44</v>
      </c>
      <c r="C964" s="3072">
        <v>-204</v>
      </c>
      <c r="D964" s="3118" t="s">
        <v>4746</v>
      </c>
      <c r="E964" s="3119">
        <v>83.24</v>
      </c>
      <c r="F964" s="3119">
        <v>2497200</v>
      </c>
      <c r="G964" s="3070" t="s">
        <v>3503</v>
      </c>
      <c r="H964" s="3070" t="s">
        <v>3230</v>
      </c>
      <c r="I964" s="3070">
        <f t="shared" si="15"/>
        <v>30000</v>
      </c>
      <c r="J964" s="3404"/>
      <c r="K964" s="3404"/>
      <c r="L964" s="3404"/>
      <c r="M964" s="3404"/>
      <c r="N964" s="3404"/>
    </row>
    <row r="965" spans="1:14">
      <c r="A965" s="3399"/>
      <c r="B965" s="3071">
        <v>44</v>
      </c>
      <c r="C965" s="3071" t="s">
        <v>4747</v>
      </c>
      <c r="D965" s="3118" t="s">
        <v>4748</v>
      </c>
      <c r="E965" s="3071">
        <v>44.59</v>
      </c>
      <c r="F965" s="3071">
        <v>420000</v>
      </c>
      <c r="G965" s="3070" t="s">
        <v>3174</v>
      </c>
      <c r="H965" s="3070" t="s">
        <v>3174</v>
      </c>
      <c r="I965" s="3070">
        <f t="shared" si="15"/>
        <v>9419</v>
      </c>
      <c r="J965" s="3404"/>
      <c r="K965" s="3404"/>
      <c r="L965" s="3404"/>
      <c r="M965" s="3404"/>
      <c r="N965" s="3404"/>
    </row>
    <row r="966" spans="1:14">
      <c r="A966" s="3400"/>
      <c r="B966" s="3071">
        <v>44</v>
      </c>
      <c r="C966" s="3071" t="s">
        <v>4749</v>
      </c>
      <c r="D966" s="3118" t="s">
        <v>4750</v>
      </c>
      <c r="E966" s="3071">
        <v>44.59</v>
      </c>
      <c r="F966" s="3071">
        <v>420000</v>
      </c>
      <c r="G966" s="3070" t="s">
        <v>3174</v>
      </c>
      <c r="H966" s="3070" t="s">
        <v>3174</v>
      </c>
      <c r="I966" s="3070">
        <f t="shared" si="15"/>
        <v>9419</v>
      </c>
      <c r="J966" s="3404"/>
      <c r="K966" s="3404"/>
      <c r="L966" s="3404"/>
      <c r="M966" s="3404"/>
      <c r="N966" s="3404"/>
    </row>
    <row r="967" spans="1:14" ht="24">
      <c r="A967" s="3398">
        <v>194</v>
      </c>
      <c r="B967" s="3071">
        <v>44</v>
      </c>
      <c r="C967" s="3072" t="s">
        <v>3542</v>
      </c>
      <c r="D967" s="3118" t="s">
        <v>4751</v>
      </c>
      <c r="E967" s="3119">
        <v>133.41999999999999</v>
      </c>
      <c r="F967" s="3119">
        <v>7826550</v>
      </c>
      <c r="G967" s="3070" t="s">
        <v>3173</v>
      </c>
      <c r="H967" s="3070" t="s">
        <v>3058</v>
      </c>
      <c r="I967" s="3070">
        <f t="shared" si="15"/>
        <v>58661</v>
      </c>
      <c r="J967" s="3404"/>
      <c r="K967" s="3404"/>
      <c r="L967" s="3404"/>
      <c r="M967" s="3404"/>
      <c r="N967" s="3404"/>
    </row>
    <row r="968" spans="1:14" ht="24">
      <c r="A968" s="3399"/>
      <c r="B968" s="3071">
        <v>44</v>
      </c>
      <c r="C968" s="3072" t="s">
        <v>3544</v>
      </c>
      <c r="D968" s="3118" t="s">
        <v>4752</v>
      </c>
      <c r="E968" s="3119">
        <v>83.9</v>
      </c>
      <c r="F968" s="3119">
        <v>2517000</v>
      </c>
      <c r="G968" s="3070" t="s">
        <v>3501</v>
      </c>
      <c r="H968" s="3070" t="s">
        <v>3230</v>
      </c>
      <c r="I968" s="3070">
        <f t="shared" si="15"/>
        <v>30000</v>
      </c>
      <c r="J968" s="3404"/>
      <c r="K968" s="3404"/>
      <c r="L968" s="3404"/>
      <c r="M968" s="3404"/>
      <c r="N968" s="3404"/>
    </row>
    <row r="969" spans="1:14">
      <c r="A969" s="3399"/>
      <c r="B969" s="3071">
        <v>44</v>
      </c>
      <c r="C969" s="3072">
        <v>-205</v>
      </c>
      <c r="D969" s="3118" t="s">
        <v>4753</v>
      </c>
      <c r="E969" s="3119">
        <v>83.96</v>
      </c>
      <c r="F969" s="3119">
        <v>2518800</v>
      </c>
      <c r="G969" s="3070" t="s">
        <v>3503</v>
      </c>
      <c r="H969" s="3070" t="s">
        <v>3230</v>
      </c>
      <c r="I969" s="3070">
        <f t="shared" si="15"/>
        <v>30000</v>
      </c>
      <c r="J969" s="3404"/>
      <c r="K969" s="3404"/>
      <c r="L969" s="3404"/>
      <c r="M969" s="3404"/>
      <c r="N969" s="3404"/>
    </row>
    <row r="970" spans="1:14">
      <c r="A970" s="3399"/>
      <c r="B970" s="3071">
        <v>44</v>
      </c>
      <c r="C970" s="3071" t="s">
        <v>4754</v>
      </c>
      <c r="D970" s="3118" t="s">
        <v>4755</v>
      </c>
      <c r="E970" s="3071">
        <v>44.59</v>
      </c>
      <c r="F970" s="3071">
        <v>420000</v>
      </c>
      <c r="G970" s="3070" t="s">
        <v>3174</v>
      </c>
      <c r="H970" s="3070" t="s">
        <v>3174</v>
      </c>
      <c r="I970" s="3070">
        <f t="shared" si="15"/>
        <v>9419</v>
      </c>
      <c r="J970" s="3404"/>
      <c r="K970" s="3404"/>
      <c r="L970" s="3404"/>
      <c r="M970" s="3404"/>
      <c r="N970" s="3404"/>
    </row>
    <row r="971" spans="1:14">
      <c r="A971" s="3400"/>
      <c r="B971" s="3071">
        <v>44</v>
      </c>
      <c r="C971" s="3071" t="s">
        <v>4756</v>
      </c>
      <c r="D971" s="3118" t="s">
        <v>4757</v>
      </c>
      <c r="E971" s="3071">
        <v>44.59</v>
      </c>
      <c r="F971" s="3071">
        <v>420000</v>
      </c>
      <c r="G971" s="3070" t="s">
        <v>3174</v>
      </c>
      <c r="H971" s="3070" t="s">
        <v>3174</v>
      </c>
      <c r="I971" s="3070">
        <f t="shared" si="15"/>
        <v>9419</v>
      </c>
      <c r="J971" s="3404"/>
      <c r="K971" s="3404"/>
      <c r="L971" s="3404"/>
      <c r="M971" s="3404"/>
      <c r="N971" s="3404"/>
    </row>
    <row r="972" spans="1:14" ht="24">
      <c r="A972" s="3398">
        <v>195</v>
      </c>
      <c r="B972" s="3071">
        <v>44</v>
      </c>
      <c r="C972" s="3072" t="s">
        <v>3551</v>
      </c>
      <c r="D972" s="3118" t="s">
        <v>4758</v>
      </c>
      <c r="E972" s="3119">
        <v>133.61000000000001</v>
      </c>
      <c r="F972" s="3119">
        <v>7938705</v>
      </c>
      <c r="G972" s="3070" t="s">
        <v>3173</v>
      </c>
      <c r="H972" s="3070" t="s">
        <v>3058</v>
      </c>
      <c r="I972" s="3070">
        <f t="shared" si="15"/>
        <v>59417</v>
      </c>
      <c r="J972" s="3404"/>
      <c r="K972" s="3404"/>
      <c r="L972" s="3404"/>
      <c r="M972" s="3404"/>
      <c r="N972" s="3404"/>
    </row>
    <row r="973" spans="1:14" ht="24">
      <c r="A973" s="3399"/>
      <c r="B973" s="3071">
        <v>44</v>
      </c>
      <c r="C973" s="3072" t="s">
        <v>3553</v>
      </c>
      <c r="D973" s="3118" t="s">
        <v>4759</v>
      </c>
      <c r="E973" s="3119">
        <v>84.17</v>
      </c>
      <c r="F973" s="3119">
        <v>2525100</v>
      </c>
      <c r="G973" s="3070" t="s">
        <v>3501</v>
      </c>
      <c r="H973" s="3070" t="s">
        <v>3230</v>
      </c>
      <c r="I973" s="3070">
        <f t="shared" si="15"/>
        <v>30000</v>
      </c>
      <c r="J973" s="3404"/>
      <c r="K973" s="3404"/>
      <c r="L973" s="3404"/>
      <c r="M973" s="3404"/>
      <c r="N973" s="3404"/>
    </row>
    <row r="974" spans="1:14">
      <c r="A974" s="3399"/>
      <c r="B974" s="3071">
        <v>44</v>
      </c>
      <c r="C974" s="3072">
        <v>-206</v>
      </c>
      <c r="D974" s="3118" t="s">
        <v>4760</v>
      </c>
      <c r="E974" s="3119">
        <v>83.96</v>
      </c>
      <c r="F974" s="3119">
        <v>2518800</v>
      </c>
      <c r="G974" s="3070" t="s">
        <v>3503</v>
      </c>
      <c r="H974" s="3070" t="s">
        <v>3230</v>
      </c>
      <c r="I974" s="3070">
        <f t="shared" si="15"/>
        <v>30000</v>
      </c>
      <c r="J974" s="3404"/>
      <c r="K974" s="3404"/>
      <c r="L974" s="3404"/>
      <c r="M974" s="3404"/>
      <c r="N974" s="3404"/>
    </row>
    <row r="975" spans="1:14">
      <c r="A975" s="3399"/>
      <c r="B975" s="3071">
        <v>44</v>
      </c>
      <c r="C975" s="3071" t="s">
        <v>4761</v>
      </c>
      <c r="D975" s="3118" t="s">
        <v>4762</v>
      </c>
      <c r="E975" s="3071">
        <v>44.59</v>
      </c>
      <c r="F975" s="3071">
        <v>420000</v>
      </c>
      <c r="G975" s="3070" t="s">
        <v>3174</v>
      </c>
      <c r="H975" s="3070" t="s">
        <v>3174</v>
      </c>
      <c r="I975" s="3070">
        <f t="shared" si="15"/>
        <v>9419</v>
      </c>
      <c r="J975" s="3404"/>
      <c r="K975" s="3404"/>
      <c r="L975" s="3404"/>
      <c r="M975" s="3404"/>
      <c r="N975" s="3404"/>
    </row>
    <row r="976" spans="1:14">
      <c r="A976" s="3400"/>
      <c r="B976" s="3071">
        <v>44</v>
      </c>
      <c r="C976" s="3071" t="s">
        <v>4763</v>
      </c>
      <c r="D976" s="3118" t="s">
        <v>4764</v>
      </c>
      <c r="E976" s="3071">
        <v>44.59</v>
      </c>
      <c r="F976" s="3071">
        <v>420000</v>
      </c>
      <c r="G976" s="3070" t="s">
        <v>3174</v>
      </c>
      <c r="H976" s="3070" t="s">
        <v>3174</v>
      </c>
      <c r="I976" s="3070">
        <f t="shared" si="15"/>
        <v>9419</v>
      </c>
      <c r="J976" s="3404"/>
      <c r="K976" s="3404"/>
      <c r="L976" s="3404"/>
      <c r="M976" s="3404"/>
      <c r="N976" s="3404"/>
    </row>
    <row r="977" spans="1:14" ht="24">
      <c r="A977" s="3398">
        <v>196</v>
      </c>
      <c r="B977" s="3071">
        <v>45</v>
      </c>
      <c r="C977" s="3072" t="s">
        <v>3508</v>
      </c>
      <c r="D977" s="3118" t="s">
        <v>4765</v>
      </c>
      <c r="E977" s="3119">
        <v>134.1</v>
      </c>
      <c r="F977" s="3119">
        <v>8519775</v>
      </c>
      <c r="G977" s="3070" t="s">
        <v>3173</v>
      </c>
      <c r="H977" s="3070" t="s">
        <v>3058</v>
      </c>
      <c r="I977" s="3070">
        <f t="shared" si="15"/>
        <v>63533</v>
      </c>
      <c r="J977" s="3404">
        <v>5</v>
      </c>
      <c r="K977" s="3404">
        <v>5</v>
      </c>
      <c r="L977" s="3404">
        <f>E977+E982+E987+E992+E997</f>
        <v>672.5</v>
      </c>
      <c r="M977" s="3404">
        <f>E978+E979+E983+E984+E988+E989+E993+E994+E998+E999</f>
        <v>842.13</v>
      </c>
      <c r="N977" s="3404">
        <f>L977+M977</f>
        <v>1514.63</v>
      </c>
    </row>
    <row r="978" spans="1:14" ht="24">
      <c r="A978" s="3399"/>
      <c r="B978" s="3071">
        <v>45</v>
      </c>
      <c r="C978" s="3072" t="s">
        <v>3510</v>
      </c>
      <c r="D978" s="3118" t="s">
        <v>4766</v>
      </c>
      <c r="E978" s="3119">
        <v>84.36</v>
      </c>
      <c r="F978" s="3119">
        <v>2530800</v>
      </c>
      <c r="G978" s="3070" t="s">
        <v>3501</v>
      </c>
      <c r="H978" s="3070" t="s">
        <v>3230</v>
      </c>
      <c r="I978" s="3070">
        <f t="shared" si="15"/>
        <v>30000</v>
      </c>
      <c r="J978" s="3404"/>
      <c r="K978" s="3404"/>
      <c r="L978" s="3404"/>
      <c r="M978" s="3404"/>
      <c r="N978" s="3404"/>
    </row>
    <row r="979" spans="1:14">
      <c r="A979" s="3399"/>
      <c r="B979" s="3071">
        <v>45</v>
      </c>
      <c r="C979" s="3072">
        <v>-201</v>
      </c>
      <c r="D979" s="3118" t="s">
        <v>4767</v>
      </c>
      <c r="E979" s="3119">
        <v>83.33</v>
      </c>
      <c r="F979" s="3119">
        <v>2499900</v>
      </c>
      <c r="G979" s="3070" t="s">
        <v>3503</v>
      </c>
      <c r="H979" s="3070" t="s">
        <v>3230</v>
      </c>
      <c r="I979" s="3070">
        <f t="shared" si="15"/>
        <v>30000</v>
      </c>
      <c r="J979" s="3404"/>
      <c r="K979" s="3404"/>
      <c r="L979" s="3404"/>
      <c r="M979" s="3404"/>
      <c r="N979" s="3404"/>
    </row>
    <row r="980" spans="1:14">
      <c r="A980" s="3399"/>
      <c r="B980" s="3071">
        <v>45</v>
      </c>
      <c r="C980" s="3071" t="s">
        <v>3205</v>
      </c>
      <c r="D980" s="3118" t="s">
        <v>4768</v>
      </c>
      <c r="E980" s="3071">
        <v>44.59</v>
      </c>
      <c r="F980" s="3071">
        <v>420000</v>
      </c>
      <c r="G980" s="3070" t="s">
        <v>3174</v>
      </c>
      <c r="H980" s="3070" t="s">
        <v>3174</v>
      </c>
      <c r="I980" s="3070">
        <f t="shared" si="15"/>
        <v>9419</v>
      </c>
      <c r="J980" s="3404"/>
      <c r="K980" s="3404"/>
      <c r="L980" s="3404"/>
      <c r="M980" s="3404"/>
      <c r="N980" s="3404"/>
    </row>
    <row r="981" spans="1:14">
      <c r="A981" s="3400"/>
      <c r="B981" s="3071">
        <v>45</v>
      </c>
      <c r="C981" s="3071" t="s">
        <v>3206</v>
      </c>
      <c r="D981" s="3118" t="s">
        <v>4769</v>
      </c>
      <c r="E981" s="3071">
        <v>44.59</v>
      </c>
      <c r="F981" s="3071">
        <v>420000</v>
      </c>
      <c r="G981" s="3070" t="s">
        <v>3174</v>
      </c>
      <c r="H981" s="3070" t="s">
        <v>3174</v>
      </c>
      <c r="I981" s="3070">
        <f t="shared" si="15"/>
        <v>9419</v>
      </c>
      <c r="J981" s="3404"/>
      <c r="K981" s="3404"/>
      <c r="L981" s="3404"/>
      <c r="M981" s="3404"/>
      <c r="N981" s="3404"/>
    </row>
    <row r="982" spans="1:14" ht="24">
      <c r="A982" s="3398">
        <v>197</v>
      </c>
      <c r="B982" s="3071">
        <v>45</v>
      </c>
      <c r="C982" s="3072" t="s">
        <v>3497</v>
      </c>
      <c r="D982" s="3118" t="s">
        <v>4770</v>
      </c>
      <c r="E982" s="3119">
        <v>134.30000000000001</v>
      </c>
      <c r="F982" s="3119">
        <v>7982523</v>
      </c>
      <c r="G982" s="3070" t="s">
        <v>3173</v>
      </c>
      <c r="H982" s="3070" t="s">
        <v>3058</v>
      </c>
      <c r="I982" s="3070">
        <f t="shared" ref="I982:I1045" si="16">ROUND(F982/E982,0)</f>
        <v>59438</v>
      </c>
      <c r="J982" s="3404"/>
      <c r="K982" s="3404"/>
      <c r="L982" s="3404"/>
      <c r="M982" s="3404"/>
      <c r="N982" s="3404"/>
    </row>
    <row r="983" spans="1:14" ht="24">
      <c r="A983" s="3399"/>
      <c r="B983" s="3071">
        <v>45</v>
      </c>
      <c r="C983" s="3072" t="s">
        <v>3499</v>
      </c>
      <c r="D983" s="3118" t="s">
        <v>4771</v>
      </c>
      <c r="E983" s="3119">
        <v>84.62</v>
      </c>
      <c r="F983" s="3119">
        <v>2538600</v>
      </c>
      <c r="G983" s="3070" t="s">
        <v>3501</v>
      </c>
      <c r="H983" s="3070" t="s">
        <v>3230</v>
      </c>
      <c r="I983" s="3070">
        <f t="shared" si="16"/>
        <v>30000</v>
      </c>
      <c r="J983" s="3404"/>
      <c r="K983" s="3404"/>
      <c r="L983" s="3404"/>
      <c r="M983" s="3404"/>
      <c r="N983" s="3404"/>
    </row>
    <row r="984" spans="1:14">
      <c r="A984" s="3399"/>
      <c r="B984" s="3071">
        <v>45</v>
      </c>
      <c r="C984" s="3072">
        <v>-202</v>
      </c>
      <c r="D984" s="3118" t="s">
        <v>4772</v>
      </c>
      <c r="E984" s="3119">
        <v>84.05</v>
      </c>
      <c r="F984" s="3119">
        <v>2521500</v>
      </c>
      <c r="G984" s="3070" t="s">
        <v>3503</v>
      </c>
      <c r="H984" s="3070" t="s">
        <v>3230</v>
      </c>
      <c r="I984" s="3070">
        <f t="shared" si="16"/>
        <v>30000</v>
      </c>
      <c r="J984" s="3404"/>
      <c r="K984" s="3404"/>
      <c r="L984" s="3404"/>
      <c r="M984" s="3404"/>
      <c r="N984" s="3404"/>
    </row>
    <row r="985" spans="1:14">
      <c r="A985" s="3399"/>
      <c r="B985" s="3071">
        <v>45</v>
      </c>
      <c r="C985" s="3071" t="s">
        <v>4773</v>
      </c>
      <c r="D985" s="3118" t="s">
        <v>4774</v>
      </c>
      <c r="E985" s="3071">
        <v>44.59</v>
      </c>
      <c r="F985" s="3071">
        <v>420000</v>
      </c>
      <c r="G985" s="3070" t="s">
        <v>3174</v>
      </c>
      <c r="H985" s="3070" t="s">
        <v>3174</v>
      </c>
      <c r="I985" s="3070">
        <f t="shared" si="16"/>
        <v>9419</v>
      </c>
      <c r="J985" s="3404"/>
      <c r="K985" s="3404"/>
      <c r="L985" s="3404"/>
      <c r="M985" s="3404"/>
      <c r="N985" s="3404"/>
    </row>
    <row r="986" spans="1:14">
      <c r="A986" s="3400"/>
      <c r="B986" s="3071">
        <v>45</v>
      </c>
      <c r="C986" s="3071" t="s">
        <v>4775</v>
      </c>
      <c r="D986" s="3118" t="s">
        <v>4776</v>
      </c>
      <c r="E986" s="3071">
        <v>44.59</v>
      </c>
      <c r="F986" s="3071">
        <v>420000</v>
      </c>
      <c r="G986" s="3070" t="s">
        <v>3174</v>
      </c>
      <c r="H986" s="3070" t="s">
        <v>3174</v>
      </c>
      <c r="I986" s="3070">
        <f t="shared" si="16"/>
        <v>9419</v>
      </c>
      <c r="J986" s="3404"/>
      <c r="K986" s="3404"/>
      <c r="L986" s="3404"/>
      <c r="M986" s="3404"/>
      <c r="N986" s="3404"/>
    </row>
    <row r="987" spans="1:14" ht="24">
      <c r="A987" s="3398">
        <v>198</v>
      </c>
      <c r="B987" s="3071">
        <v>45</v>
      </c>
      <c r="C987" s="3072" t="s">
        <v>3524</v>
      </c>
      <c r="D987" s="3118" t="s">
        <v>4777</v>
      </c>
      <c r="E987" s="3119">
        <v>134.1</v>
      </c>
      <c r="F987" s="3119">
        <v>8519775</v>
      </c>
      <c r="G987" s="3070" t="s">
        <v>3173</v>
      </c>
      <c r="H987" s="3070" t="s">
        <v>3058</v>
      </c>
      <c r="I987" s="3070">
        <f t="shared" si="16"/>
        <v>63533</v>
      </c>
      <c r="J987" s="3404"/>
      <c r="K987" s="3404"/>
      <c r="L987" s="3404"/>
      <c r="M987" s="3404"/>
      <c r="N987" s="3404"/>
    </row>
    <row r="988" spans="1:14" ht="24">
      <c r="A988" s="3399"/>
      <c r="B988" s="3071">
        <v>45</v>
      </c>
      <c r="C988" s="3072" t="s">
        <v>3526</v>
      </c>
      <c r="D988" s="3118" t="s">
        <v>4778</v>
      </c>
      <c r="E988" s="3119">
        <v>84.36</v>
      </c>
      <c r="F988" s="3119">
        <v>2530800</v>
      </c>
      <c r="G988" s="3070" t="s">
        <v>3501</v>
      </c>
      <c r="H988" s="3070" t="s">
        <v>3230</v>
      </c>
      <c r="I988" s="3070">
        <f t="shared" si="16"/>
        <v>30000</v>
      </c>
      <c r="J988" s="3404"/>
      <c r="K988" s="3404"/>
      <c r="L988" s="3404"/>
      <c r="M988" s="3404"/>
      <c r="N988" s="3404"/>
    </row>
    <row r="989" spans="1:14">
      <c r="A989" s="3399"/>
      <c r="B989" s="3071">
        <v>45</v>
      </c>
      <c r="C989" s="3072">
        <v>-203</v>
      </c>
      <c r="D989" s="3118" t="s">
        <v>4779</v>
      </c>
      <c r="E989" s="3119">
        <v>83.33</v>
      </c>
      <c r="F989" s="3119">
        <v>2499900</v>
      </c>
      <c r="G989" s="3070" t="s">
        <v>3503</v>
      </c>
      <c r="H989" s="3070" t="s">
        <v>3230</v>
      </c>
      <c r="I989" s="3070">
        <f t="shared" si="16"/>
        <v>30000</v>
      </c>
      <c r="J989" s="3404"/>
      <c r="K989" s="3404"/>
      <c r="L989" s="3404"/>
      <c r="M989" s="3404"/>
      <c r="N989" s="3404"/>
    </row>
    <row r="990" spans="1:14">
      <c r="A990" s="3399"/>
      <c r="B990" s="3071">
        <v>45</v>
      </c>
      <c r="C990" s="3071" t="s">
        <v>4780</v>
      </c>
      <c r="D990" s="3118" t="s">
        <v>4781</v>
      </c>
      <c r="E990" s="3071">
        <v>44.59</v>
      </c>
      <c r="F990" s="3071">
        <v>420000</v>
      </c>
      <c r="G990" s="3070" t="s">
        <v>3174</v>
      </c>
      <c r="H990" s="3070" t="s">
        <v>3174</v>
      </c>
      <c r="I990" s="3070">
        <f t="shared" si="16"/>
        <v>9419</v>
      </c>
      <c r="J990" s="3404"/>
      <c r="K990" s="3404"/>
      <c r="L990" s="3404"/>
      <c r="M990" s="3404"/>
      <c r="N990" s="3404"/>
    </row>
    <row r="991" spans="1:14">
      <c r="A991" s="3400"/>
      <c r="B991" s="3071">
        <v>45</v>
      </c>
      <c r="C991" s="3071" t="s">
        <v>4782</v>
      </c>
      <c r="D991" s="3118" t="s">
        <v>4783</v>
      </c>
      <c r="E991" s="3071">
        <v>44.59</v>
      </c>
      <c r="F991" s="3071">
        <v>420000</v>
      </c>
      <c r="G991" s="3070" t="s">
        <v>3174</v>
      </c>
      <c r="H991" s="3070" t="s">
        <v>3174</v>
      </c>
      <c r="I991" s="3070">
        <f t="shared" si="16"/>
        <v>9419</v>
      </c>
      <c r="J991" s="3404"/>
      <c r="K991" s="3404"/>
      <c r="L991" s="3404"/>
      <c r="M991" s="3404"/>
      <c r="N991" s="3404"/>
    </row>
    <row r="992" spans="1:14" ht="24">
      <c r="A992" s="3398">
        <v>199</v>
      </c>
      <c r="B992" s="3071">
        <v>45</v>
      </c>
      <c r="C992" s="3072" t="s">
        <v>3533</v>
      </c>
      <c r="D992" s="3118" t="s">
        <v>4784</v>
      </c>
      <c r="E992" s="3119">
        <v>134.1</v>
      </c>
      <c r="F992" s="3119">
        <v>7869792</v>
      </c>
      <c r="G992" s="3070" t="s">
        <v>3173</v>
      </c>
      <c r="H992" s="3070" t="s">
        <v>3058</v>
      </c>
      <c r="I992" s="3070">
        <f t="shared" si="16"/>
        <v>58686</v>
      </c>
      <c r="J992" s="3404"/>
      <c r="K992" s="3404"/>
      <c r="L992" s="3404"/>
      <c r="M992" s="3404"/>
      <c r="N992" s="3404"/>
    </row>
    <row r="993" spans="1:14" ht="24">
      <c r="A993" s="3399"/>
      <c r="B993" s="3071">
        <v>45</v>
      </c>
      <c r="C993" s="3072" t="s">
        <v>3535</v>
      </c>
      <c r="D993" s="3118" t="s">
        <v>4785</v>
      </c>
      <c r="E993" s="3119">
        <v>84.33</v>
      </c>
      <c r="F993" s="3119">
        <v>2529900</v>
      </c>
      <c r="G993" s="3070" t="s">
        <v>3501</v>
      </c>
      <c r="H993" s="3070" t="s">
        <v>3230</v>
      </c>
      <c r="I993" s="3070">
        <f t="shared" si="16"/>
        <v>30000</v>
      </c>
      <c r="J993" s="3404"/>
      <c r="K993" s="3404"/>
      <c r="L993" s="3404"/>
      <c r="M993" s="3404"/>
      <c r="N993" s="3404"/>
    </row>
    <row r="994" spans="1:14">
      <c r="A994" s="3399"/>
      <c r="B994" s="3071">
        <v>45</v>
      </c>
      <c r="C994" s="3072">
        <v>-204</v>
      </c>
      <c r="D994" s="3118" t="s">
        <v>4786</v>
      </c>
      <c r="E994" s="3119">
        <v>84.05</v>
      </c>
      <c r="F994" s="3119">
        <v>2521500</v>
      </c>
      <c r="G994" s="3070" t="s">
        <v>3503</v>
      </c>
      <c r="H994" s="3070" t="s">
        <v>3230</v>
      </c>
      <c r="I994" s="3070">
        <f t="shared" si="16"/>
        <v>30000</v>
      </c>
      <c r="J994" s="3404"/>
      <c r="K994" s="3404"/>
      <c r="L994" s="3404"/>
      <c r="M994" s="3404"/>
      <c r="N994" s="3404"/>
    </row>
    <row r="995" spans="1:14">
      <c r="A995" s="3399"/>
      <c r="B995" s="3071">
        <v>45</v>
      </c>
      <c r="C995" s="3071" t="s">
        <v>4787</v>
      </c>
      <c r="D995" s="3118" t="s">
        <v>4788</v>
      </c>
      <c r="E995" s="3071">
        <v>44.59</v>
      </c>
      <c r="F995" s="3071">
        <v>420000</v>
      </c>
      <c r="G995" s="3070" t="s">
        <v>3174</v>
      </c>
      <c r="H995" s="3070" t="s">
        <v>3174</v>
      </c>
      <c r="I995" s="3070">
        <f t="shared" si="16"/>
        <v>9419</v>
      </c>
      <c r="J995" s="3404"/>
      <c r="K995" s="3404"/>
      <c r="L995" s="3404"/>
      <c r="M995" s="3404"/>
      <c r="N995" s="3404"/>
    </row>
    <row r="996" spans="1:14">
      <c r="A996" s="3400"/>
      <c r="B996" s="3071">
        <v>45</v>
      </c>
      <c r="C996" s="3071" t="s">
        <v>4789</v>
      </c>
      <c r="D996" s="3118" t="s">
        <v>4790</v>
      </c>
      <c r="E996" s="3071">
        <v>44.59</v>
      </c>
      <c r="F996" s="3071">
        <v>420000</v>
      </c>
      <c r="G996" s="3070" t="s">
        <v>3174</v>
      </c>
      <c r="H996" s="3070" t="s">
        <v>3174</v>
      </c>
      <c r="I996" s="3070">
        <f t="shared" si="16"/>
        <v>9419</v>
      </c>
      <c r="J996" s="3404"/>
      <c r="K996" s="3404"/>
      <c r="L996" s="3404"/>
      <c r="M996" s="3404"/>
      <c r="N996" s="3404"/>
    </row>
    <row r="997" spans="1:14" ht="24">
      <c r="A997" s="3398">
        <v>200</v>
      </c>
      <c r="B997" s="3071">
        <v>45</v>
      </c>
      <c r="C997" s="3072" t="s">
        <v>3542</v>
      </c>
      <c r="D997" s="3118" t="s">
        <v>4791</v>
      </c>
      <c r="E997" s="3119">
        <v>135.9</v>
      </c>
      <c r="F997" s="3119">
        <v>8634134</v>
      </c>
      <c r="G997" s="3070" t="s">
        <v>3173</v>
      </c>
      <c r="H997" s="3070" t="s">
        <v>3058</v>
      </c>
      <c r="I997" s="3070">
        <f t="shared" si="16"/>
        <v>63533</v>
      </c>
      <c r="J997" s="3404"/>
      <c r="K997" s="3404"/>
      <c r="L997" s="3404"/>
      <c r="M997" s="3404"/>
      <c r="N997" s="3404"/>
    </row>
    <row r="998" spans="1:14" ht="24">
      <c r="A998" s="3399"/>
      <c r="B998" s="3071">
        <v>45</v>
      </c>
      <c r="C998" s="3072" t="s">
        <v>3544</v>
      </c>
      <c r="D998" s="3118" t="s">
        <v>4792</v>
      </c>
      <c r="E998" s="3119">
        <v>85.11</v>
      </c>
      <c r="F998" s="3119">
        <v>2553300</v>
      </c>
      <c r="G998" s="3070" t="s">
        <v>3501</v>
      </c>
      <c r="H998" s="3070" t="s">
        <v>3230</v>
      </c>
      <c r="I998" s="3070">
        <f t="shared" si="16"/>
        <v>30000</v>
      </c>
      <c r="J998" s="3404"/>
      <c r="K998" s="3404"/>
      <c r="L998" s="3404"/>
      <c r="M998" s="3404"/>
      <c r="N998" s="3404"/>
    </row>
    <row r="999" spans="1:14">
      <c r="A999" s="3399"/>
      <c r="B999" s="3071">
        <v>45</v>
      </c>
      <c r="C999" s="3072">
        <v>-205</v>
      </c>
      <c r="D999" s="3118" t="s">
        <v>4793</v>
      </c>
      <c r="E999" s="3119">
        <v>84.59</v>
      </c>
      <c r="F999" s="3119">
        <v>2537700</v>
      </c>
      <c r="G999" s="3070" t="s">
        <v>3503</v>
      </c>
      <c r="H999" s="3070" t="s">
        <v>3230</v>
      </c>
      <c r="I999" s="3070">
        <f t="shared" si="16"/>
        <v>30000</v>
      </c>
      <c r="J999" s="3404"/>
      <c r="K999" s="3404"/>
      <c r="L999" s="3404"/>
      <c r="M999" s="3404"/>
      <c r="N999" s="3404"/>
    </row>
    <row r="1000" spans="1:14">
      <c r="A1000" s="3399"/>
      <c r="B1000" s="3071">
        <v>45</v>
      </c>
      <c r="C1000" s="3071" t="s">
        <v>3215</v>
      </c>
      <c r="D1000" s="3118" t="s">
        <v>4794</v>
      </c>
      <c r="E1000" s="3071">
        <v>44.59</v>
      </c>
      <c r="F1000" s="3071">
        <v>420000</v>
      </c>
      <c r="G1000" s="3070" t="s">
        <v>3174</v>
      </c>
      <c r="H1000" s="3070" t="s">
        <v>3174</v>
      </c>
      <c r="I1000" s="3070">
        <f t="shared" si="16"/>
        <v>9419</v>
      </c>
      <c r="J1000" s="3404"/>
      <c r="K1000" s="3404"/>
      <c r="L1000" s="3404"/>
      <c r="M1000" s="3404"/>
      <c r="N1000" s="3404"/>
    </row>
    <row r="1001" spans="1:14">
      <c r="A1001" s="3400"/>
      <c r="B1001" s="3071">
        <v>45</v>
      </c>
      <c r="C1001" s="3071" t="s">
        <v>3216</v>
      </c>
      <c r="D1001" s="3118" t="s">
        <v>4795</v>
      </c>
      <c r="E1001" s="3071">
        <v>44.59</v>
      </c>
      <c r="F1001" s="3071">
        <v>420000</v>
      </c>
      <c r="G1001" s="3070" t="s">
        <v>3174</v>
      </c>
      <c r="H1001" s="3070" t="s">
        <v>3174</v>
      </c>
      <c r="I1001" s="3070">
        <f t="shared" si="16"/>
        <v>9419</v>
      </c>
      <c r="J1001" s="3404"/>
      <c r="K1001" s="3404"/>
      <c r="L1001" s="3404"/>
      <c r="M1001" s="3404"/>
      <c r="N1001" s="3404"/>
    </row>
    <row r="1002" spans="1:14" ht="24">
      <c r="A1002" s="3398">
        <v>201</v>
      </c>
      <c r="B1002" s="3071">
        <v>46</v>
      </c>
      <c r="C1002" s="3072" t="s">
        <v>3508</v>
      </c>
      <c r="D1002" s="3118" t="s">
        <v>4796</v>
      </c>
      <c r="E1002" s="3119">
        <v>180.7</v>
      </c>
      <c r="F1002" s="3119">
        <v>11480413</v>
      </c>
      <c r="G1002" s="3070" t="s">
        <v>3173</v>
      </c>
      <c r="H1002" s="3070" t="s">
        <v>3058</v>
      </c>
      <c r="I1002" s="3070">
        <f t="shared" si="16"/>
        <v>63533</v>
      </c>
      <c r="J1002" s="3404">
        <v>4</v>
      </c>
      <c r="K1002" s="3404">
        <v>4</v>
      </c>
      <c r="L1002" s="3404">
        <f>E1002+E1007+E1012+E1017</f>
        <v>723.03</v>
      </c>
      <c r="M1002" s="3404">
        <f>E1003+E1004+E1008+E1009+E1013+E1014+E1018+E1019</f>
        <v>909.89</v>
      </c>
      <c r="N1002" s="3404">
        <f>L1002+M1002</f>
        <v>1632.92</v>
      </c>
    </row>
    <row r="1003" spans="1:14" ht="24">
      <c r="A1003" s="3399"/>
      <c r="B1003" s="3071">
        <v>46</v>
      </c>
      <c r="C1003" s="3072" t="s">
        <v>3510</v>
      </c>
      <c r="D1003" s="3118" t="s">
        <v>4797</v>
      </c>
      <c r="E1003" s="3119">
        <v>116.11</v>
      </c>
      <c r="F1003" s="3119">
        <v>3483300</v>
      </c>
      <c r="G1003" s="3070" t="s">
        <v>3501</v>
      </c>
      <c r="H1003" s="3070" t="s">
        <v>3230</v>
      </c>
      <c r="I1003" s="3070">
        <f t="shared" si="16"/>
        <v>30000</v>
      </c>
      <c r="J1003" s="3404"/>
      <c r="K1003" s="3404"/>
      <c r="L1003" s="3404"/>
      <c r="M1003" s="3404"/>
      <c r="N1003" s="3404"/>
    </row>
    <row r="1004" spans="1:14">
      <c r="A1004" s="3399"/>
      <c r="B1004" s="3071">
        <v>46</v>
      </c>
      <c r="C1004" s="3072">
        <v>-201</v>
      </c>
      <c r="D1004" s="3118" t="s">
        <v>4798</v>
      </c>
      <c r="E1004" s="3119">
        <v>111.1</v>
      </c>
      <c r="F1004" s="3119">
        <v>3333000</v>
      </c>
      <c r="G1004" s="3070" t="s">
        <v>3503</v>
      </c>
      <c r="H1004" s="3070" t="s">
        <v>3230</v>
      </c>
      <c r="I1004" s="3070">
        <f t="shared" si="16"/>
        <v>30000</v>
      </c>
      <c r="J1004" s="3404"/>
      <c r="K1004" s="3404"/>
      <c r="L1004" s="3404"/>
      <c r="M1004" s="3404"/>
      <c r="N1004" s="3404"/>
    </row>
    <row r="1005" spans="1:14">
      <c r="A1005" s="3399"/>
      <c r="B1005" s="3071">
        <v>46</v>
      </c>
      <c r="C1005" s="3071" t="s">
        <v>4799</v>
      </c>
      <c r="D1005" s="3118" t="s">
        <v>4800</v>
      </c>
      <c r="E1005" s="3071">
        <v>44.59</v>
      </c>
      <c r="F1005" s="3071">
        <v>420000</v>
      </c>
      <c r="G1005" s="3070" t="s">
        <v>3174</v>
      </c>
      <c r="H1005" s="3070" t="s">
        <v>3174</v>
      </c>
      <c r="I1005" s="3070">
        <f t="shared" si="16"/>
        <v>9419</v>
      </c>
      <c r="J1005" s="3404"/>
      <c r="K1005" s="3404"/>
      <c r="L1005" s="3404"/>
      <c r="M1005" s="3404"/>
      <c r="N1005" s="3404"/>
    </row>
    <row r="1006" spans="1:14">
      <c r="A1006" s="3400"/>
      <c r="B1006" s="3071">
        <v>46</v>
      </c>
      <c r="C1006" s="3071" t="s">
        <v>4801</v>
      </c>
      <c r="D1006" s="3118" t="s">
        <v>4802</v>
      </c>
      <c r="E1006" s="3071">
        <v>44.59</v>
      </c>
      <c r="F1006" s="3071">
        <v>420000</v>
      </c>
      <c r="G1006" s="3070" t="s">
        <v>3174</v>
      </c>
      <c r="H1006" s="3070" t="s">
        <v>3174</v>
      </c>
      <c r="I1006" s="3070">
        <f t="shared" si="16"/>
        <v>9419</v>
      </c>
      <c r="J1006" s="3404"/>
      <c r="K1006" s="3404"/>
      <c r="L1006" s="3404"/>
      <c r="M1006" s="3404"/>
      <c r="N1006" s="3404"/>
    </row>
    <row r="1007" spans="1:14" ht="24">
      <c r="A1007" s="3398">
        <v>202</v>
      </c>
      <c r="B1007" s="3071">
        <v>46</v>
      </c>
      <c r="C1007" s="3072" t="s">
        <v>3497</v>
      </c>
      <c r="D1007" s="3118" t="s">
        <v>4803</v>
      </c>
      <c r="E1007" s="3119">
        <v>180.7</v>
      </c>
      <c r="F1007" s="3119">
        <v>11480413</v>
      </c>
      <c r="G1007" s="3070" t="s">
        <v>3173</v>
      </c>
      <c r="H1007" s="3070" t="s">
        <v>3058</v>
      </c>
      <c r="I1007" s="3070">
        <f t="shared" si="16"/>
        <v>63533</v>
      </c>
      <c r="J1007" s="3404"/>
      <c r="K1007" s="3404"/>
      <c r="L1007" s="3404"/>
      <c r="M1007" s="3404"/>
      <c r="N1007" s="3404"/>
    </row>
    <row r="1008" spans="1:14" ht="24">
      <c r="A1008" s="3399"/>
      <c r="B1008" s="3071">
        <v>46</v>
      </c>
      <c r="C1008" s="3072" t="s">
        <v>3499</v>
      </c>
      <c r="D1008" s="3118" t="s">
        <v>4804</v>
      </c>
      <c r="E1008" s="3119">
        <v>116.11</v>
      </c>
      <c r="F1008" s="3119">
        <v>3483300</v>
      </c>
      <c r="G1008" s="3070" t="s">
        <v>3501</v>
      </c>
      <c r="H1008" s="3070" t="s">
        <v>3230</v>
      </c>
      <c r="I1008" s="3070">
        <f t="shared" si="16"/>
        <v>30000</v>
      </c>
      <c r="J1008" s="3404"/>
      <c r="K1008" s="3404"/>
      <c r="L1008" s="3404"/>
      <c r="M1008" s="3404"/>
      <c r="N1008" s="3404"/>
    </row>
    <row r="1009" spans="1:14">
      <c r="A1009" s="3399"/>
      <c r="B1009" s="3071">
        <v>46</v>
      </c>
      <c r="C1009" s="3072">
        <v>-202</v>
      </c>
      <c r="D1009" s="3118" t="s">
        <v>4805</v>
      </c>
      <c r="E1009" s="3119">
        <v>111.1</v>
      </c>
      <c r="F1009" s="3119">
        <v>3333000</v>
      </c>
      <c r="G1009" s="3070" t="s">
        <v>3503</v>
      </c>
      <c r="H1009" s="3070" t="s">
        <v>3230</v>
      </c>
      <c r="I1009" s="3070">
        <f t="shared" si="16"/>
        <v>30000</v>
      </c>
      <c r="J1009" s="3404"/>
      <c r="K1009" s="3404"/>
      <c r="L1009" s="3404"/>
      <c r="M1009" s="3404"/>
      <c r="N1009" s="3404"/>
    </row>
    <row r="1010" spans="1:14">
      <c r="A1010" s="3399"/>
      <c r="B1010" s="3071">
        <v>46</v>
      </c>
      <c r="C1010" s="3071" t="s">
        <v>4806</v>
      </c>
      <c r="D1010" s="3118" t="s">
        <v>4807</v>
      </c>
      <c r="E1010" s="3071">
        <v>44.59</v>
      </c>
      <c r="F1010" s="3071">
        <v>420000</v>
      </c>
      <c r="G1010" s="3070" t="s">
        <v>3174</v>
      </c>
      <c r="H1010" s="3070" t="s">
        <v>3174</v>
      </c>
      <c r="I1010" s="3070">
        <f t="shared" si="16"/>
        <v>9419</v>
      </c>
      <c r="J1010" s="3404"/>
      <c r="K1010" s="3404"/>
      <c r="L1010" s="3404"/>
      <c r="M1010" s="3404"/>
      <c r="N1010" s="3404"/>
    </row>
    <row r="1011" spans="1:14">
      <c r="A1011" s="3400"/>
      <c r="B1011" s="3071">
        <v>46</v>
      </c>
      <c r="C1011" s="3071" t="s">
        <v>4808</v>
      </c>
      <c r="D1011" s="3118" t="s">
        <v>4809</v>
      </c>
      <c r="E1011" s="3071">
        <v>44.59</v>
      </c>
      <c r="F1011" s="3071">
        <v>420000</v>
      </c>
      <c r="G1011" s="3070" t="s">
        <v>3174</v>
      </c>
      <c r="H1011" s="3070" t="s">
        <v>3174</v>
      </c>
      <c r="I1011" s="3070">
        <f t="shared" si="16"/>
        <v>9419</v>
      </c>
      <c r="J1011" s="3404"/>
      <c r="K1011" s="3404"/>
      <c r="L1011" s="3404"/>
      <c r="M1011" s="3404"/>
      <c r="N1011" s="3404"/>
    </row>
    <row r="1012" spans="1:14" ht="24">
      <c r="A1012" s="3398">
        <v>203</v>
      </c>
      <c r="B1012" s="3071">
        <v>46</v>
      </c>
      <c r="C1012" s="3072" t="s">
        <v>3524</v>
      </c>
      <c r="D1012" s="3118" t="s">
        <v>4810</v>
      </c>
      <c r="E1012" s="3119">
        <v>180.7</v>
      </c>
      <c r="F1012" s="3119">
        <v>11480413</v>
      </c>
      <c r="G1012" s="3070" t="s">
        <v>3173</v>
      </c>
      <c r="H1012" s="3070" t="s">
        <v>3058</v>
      </c>
      <c r="I1012" s="3070">
        <f t="shared" si="16"/>
        <v>63533</v>
      </c>
      <c r="J1012" s="3404"/>
      <c r="K1012" s="3404"/>
      <c r="L1012" s="3404"/>
      <c r="M1012" s="3404"/>
      <c r="N1012" s="3404"/>
    </row>
    <row r="1013" spans="1:14" ht="24">
      <c r="A1013" s="3399"/>
      <c r="B1013" s="3071">
        <v>46</v>
      </c>
      <c r="C1013" s="3072" t="s">
        <v>3526</v>
      </c>
      <c r="D1013" s="3118" t="s">
        <v>4811</v>
      </c>
      <c r="E1013" s="3119">
        <v>116.11</v>
      </c>
      <c r="F1013" s="3119">
        <v>3483300</v>
      </c>
      <c r="G1013" s="3070" t="s">
        <v>3501</v>
      </c>
      <c r="H1013" s="3070" t="s">
        <v>3230</v>
      </c>
      <c r="I1013" s="3070">
        <f t="shared" si="16"/>
        <v>30000</v>
      </c>
      <c r="J1013" s="3404"/>
      <c r="K1013" s="3404"/>
      <c r="L1013" s="3404"/>
      <c r="M1013" s="3404"/>
      <c r="N1013" s="3404"/>
    </row>
    <row r="1014" spans="1:14">
      <c r="A1014" s="3399"/>
      <c r="B1014" s="3071">
        <v>46</v>
      </c>
      <c r="C1014" s="3072">
        <v>-203</v>
      </c>
      <c r="D1014" s="3118" t="s">
        <v>4812</v>
      </c>
      <c r="E1014" s="3119">
        <v>111.1</v>
      </c>
      <c r="F1014" s="3119">
        <v>3333000</v>
      </c>
      <c r="G1014" s="3070" t="s">
        <v>3503</v>
      </c>
      <c r="H1014" s="3070" t="s">
        <v>3230</v>
      </c>
      <c r="I1014" s="3070">
        <f t="shared" si="16"/>
        <v>30000</v>
      </c>
      <c r="J1014" s="3404"/>
      <c r="K1014" s="3404"/>
      <c r="L1014" s="3404"/>
      <c r="M1014" s="3404"/>
      <c r="N1014" s="3404"/>
    </row>
    <row r="1015" spans="1:14">
      <c r="A1015" s="3399"/>
      <c r="B1015" s="3071">
        <v>46</v>
      </c>
      <c r="C1015" s="3071" t="s">
        <v>4813</v>
      </c>
      <c r="D1015" s="3118" t="s">
        <v>4814</v>
      </c>
      <c r="E1015" s="3071">
        <v>44.59</v>
      </c>
      <c r="F1015" s="3071">
        <v>420000</v>
      </c>
      <c r="G1015" s="3070" t="s">
        <v>3174</v>
      </c>
      <c r="H1015" s="3070" t="s">
        <v>3174</v>
      </c>
      <c r="I1015" s="3070">
        <f t="shared" si="16"/>
        <v>9419</v>
      </c>
      <c r="J1015" s="3404"/>
      <c r="K1015" s="3404"/>
      <c r="L1015" s="3404"/>
      <c r="M1015" s="3404"/>
      <c r="N1015" s="3404"/>
    </row>
    <row r="1016" spans="1:14">
      <c r="A1016" s="3400"/>
      <c r="B1016" s="3071">
        <v>46</v>
      </c>
      <c r="C1016" s="3071" t="s">
        <v>4815</v>
      </c>
      <c r="D1016" s="3118" t="s">
        <v>4816</v>
      </c>
      <c r="E1016" s="3071">
        <v>44.59</v>
      </c>
      <c r="F1016" s="3071">
        <v>420000</v>
      </c>
      <c r="G1016" s="3070" t="s">
        <v>3174</v>
      </c>
      <c r="H1016" s="3070" t="s">
        <v>3174</v>
      </c>
      <c r="I1016" s="3070">
        <f t="shared" si="16"/>
        <v>9419</v>
      </c>
      <c r="J1016" s="3404"/>
      <c r="K1016" s="3404"/>
      <c r="L1016" s="3404"/>
      <c r="M1016" s="3404"/>
      <c r="N1016" s="3404"/>
    </row>
    <row r="1017" spans="1:14" ht="24">
      <c r="A1017" s="3398">
        <v>204</v>
      </c>
      <c r="B1017" s="3071">
        <v>46</v>
      </c>
      <c r="C1017" s="3072" t="s">
        <v>3533</v>
      </c>
      <c r="D1017" s="3118" t="s">
        <v>4817</v>
      </c>
      <c r="E1017" s="3119">
        <v>180.93</v>
      </c>
      <c r="F1017" s="3119">
        <v>11495025</v>
      </c>
      <c r="G1017" s="3070" t="s">
        <v>3173</v>
      </c>
      <c r="H1017" s="3070" t="s">
        <v>3058</v>
      </c>
      <c r="I1017" s="3070">
        <f t="shared" si="16"/>
        <v>63533</v>
      </c>
      <c r="J1017" s="3404"/>
      <c r="K1017" s="3404"/>
      <c r="L1017" s="3404"/>
      <c r="M1017" s="3404"/>
      <c r="N1017" s="3404"/>
    </row>
    <row r="1018" spans="1:14" ht="24">
      <c r="A1018" s="3399"/>
      <c r="B1018" s="3071">
        <v>46</v>
      </c>
      <c r="C1018" s="3072" t="s">
        <v>3535</v>
      </c>
      <c r="D1018" s="3118" t="s">
        <v>4818</v>
      </c>
      <c r="E1018" s="3119">
        <v>116.38</v>
      </c>
      <c r="F1018" s="3119">
        <v>3491400</v>
      </c>
      <c r="G1018" s="3070" t="s">
        <v>3501</v>
      </c>
      <c r="H1018" s="3070" t="s">
        <v>3230</v>
      </c>
      <c r="I1018" s="3070">
        <f t="shared" si="16"/>
        <v>30000</v>
      </c>
      <c r="J1018" s="3404"/>
      <c r="K1018" s="3404"/>
      <c r="L1018" s="3404"/>
      <c r="M1018" s="3404"/>
      <c r="N1018" s="3404"/>
    </row>
    <row r="1019" spans="1:14">
      <c r="A1019" s="3399"/>
      <c r="B1019" s="3071">
        <v>46</v>
      </c>
      <c r="C1019" s="3072">
        <v>-204</v>
      </c>
      <c r="D1019" s="3118" t="s">
        <v>4819</v>
      </c>
      <c r="E1019" s="3119">
        <v>111.88</v>
      </c>
      <c r="F1019" s="3119">
        <v>3356400</v>
      </c>
      <c r="G1019" s="3070" t="s">
        <v>3503</v>
      </c>
      <c r="H1019" s="3070" t="s">
        <v>3230</v>
      </c>
      <c r="I1019" s="3070">
        <f t="shared" si="16"/>
        <v>30000</v>
      </c>
      <c r="J1019" s="3404"/>
      <c r="K1019" s="3404"/>
      <c r="L1019" s="3404"/>
      <c r="M1019" s="3404"/>
      <c r="N1019" s="3404"/>
    </row>
    <row r="1020" spans="1:14">
      <c r="A1020" s="3399"/>
      <c r="B1020" s="3071">
        <v>46</v>
      </c>
      <c r="C1020" s="3071" t="s">
        <v>4820</v>
      </c>
      <c r="D1020" s="3118" t="s">
        <v>4821</v>
      </c>
      <c r="E1020" s="3071">
        <v>44.77</v>
      </c>
      <c r="F1020" s="3071">
        <v>420000</v>
      </c>
      <c r="G1020" s="3070" t="s">
        <v>3174</v>
      </c>
      <c r="H1020" s="3070" t="s">
        <v>3174</v>
      </c>
      <c r="I1020" s="3070">
        <f t="shared" si="16"/>
        <v>9381</v>
      </c>
      <c r="J1020" s="3404"/>
      <c r="K1020" s="3404"/>
      <c r="L1020" s="3404"/>
      <c r="M1020" s="3404"/>
      <c r="N1020" s="3404"/>
    </row>
    <row r="1021" spans="1:14">
      <c r="A1021" s="3400"/>
      <c r="B1021" s="3071">
        <v>46</v>
      </c>
      <c r="C1021" s="3071" t="s">
        <v>4822</v>
      </c>
      <c r="D1021" s="3118" t="s">
        <v>4823</v>
      </c>
      <c r="E1021" s="3071">
        <v>44.59</v>
      </c>
      <c r="F1021" s="3071">
        <v>420000</v>
      </c>
      <c r="G1021" s="3070" t="s">
        <v>3174</v>
      </c>
      <c r="H1021" s="3070" t="s">
        <v>3174</v>
      </c>
      <c r="I1021" s="3070">
        <f t="shared" si="16"/>
        <v>9419</v>
      </c>
      <c r="J1021" s="3404"/>
      <c r="K1021" s="3404"/>
      <c r="L1021" s="3404"/>
      <c r="M1021" s="3404"/>
      <c r="N1021" s="3404"/>
    </row>
    <row r="1022" spans="1:14" ht="24">
      <c r="A1022" s="3398">
        <v>205</v>
      </c>
      <c r="B1022" s="3071">
        <v>47</v>
      </c>
      <c r="C1022" s="3072" t="s">
        <v>3508</v>
      </c>
      <c r="D1022" s="3118" t="s">
        <v>4824</v>
      </c>
      <c r="E1022" s="3119">
        <v>180.7</v>
      </c>
      <c r="F1022" s="3119">
        <v>11480413</v>
      </c>
      <c r="G1022" s="3070" t="s">
        <v>3173</v>
      </c>
      <c r="H1022" s="3070" t="s">
        <v>3058</v>
      </c>
      <c r="I1022" s="3070">
        <f t="shared" si="16"/>
        <v>63533</v>
      </c>
      <c r="J1022" s="3404">
        <v>4</v>
      </c>
      <c r="K1022" s="3404">
        <v>4</v>
      </c>
      <c r="L1022" s="3404">
        <f>E1022+E1027+E1032+E1037</f>
        <v>723.03</v>
      </c>
      <c r="M1022" s="3404">
        <f>E1023+E1024+E1028+E1029+E1033+E1034+E1038+E1039</f>
        <v>909.89</v>
      </c>
      <c r="N1022" s="3404">
        <f>L1022+M1022</f>
        <v>1632.92</v>
      </c>
    </row>
    <row r="1023" spans="1:14" ht="24">
      <c r="A1023" s="3399"/>
      <c r="B1023" s="3071">
        <v>47</v>
      </c>
      <c r="C1023" s="3072" t="s">
        <v>3510</v>
      </c>
      <c r="D1023" s="3118" t="s">
        <v>4825</v>
      </c>
      <c r="E1023" s="3119">
        <v>116.11</v>
      </c>
      <c r="F1023" s="3119">
        <v>3483300</v>
      </c>
      <c r="G1023" s="3070" t="s">
        <v>3501</v>
      </c>
      <c r="H1023" s="3070" t="s">
        <v>3230</v>
      </c>
      <c r="I1023" s="3070">
        <f t="shared" si="16"/>
        <v>30000</v>
      </c>
      <c r="J1023" s="3404"/>
      <c r="K1023" s="3404"/>
      <c r="L1023" s="3404"/>
      <c r="M1023" s="3404"/>
      <c r="N1023" s="3404"/>
    </row>
    <row r="1024" spans="1:14">
      <c r="A1024" s="3399"/>
      <c r="B1024" s="3071">
        <v>47</v>
      </c>
      <c r="C1024" s="3072">
        <v>-201</v>
      </c>
      <c r="D1024" s="3118" t="s">
        <v>4826</v>
      </c>
      <c r="E1024" s="3119">
        <v>111.1</v>
      </c>
      <c r="F1024" s="3119">
        <v>3333000</v>
      </c>
      <c r="G1024" s="3070" t="s">
        <v>3503</v>
      </c>
      <c r="H1024" s="3070" t="s">
        <v>3230</v>
      </c>
      <c r="I1024" s="3070">
        <f t="shared" si="16"/>
        <v>30000</v>
      </c>
      <c r="J1024" s="3404"/>
      <c r="K1024" s="3404"/>
      <c r="L1024" s="3404"/>
      <c r="M1024" s="3404"/>
      <c r="N1024" s="3404"/>
    </row>
    <row r="1025" spans="1:14">
      <c r="A1025" s="3399"/>
      <c r="B1025" s="3071">
        <v>47</v>
      </c>
      <c r="C1025" s="3071" t="s">
        <v>4827</v>
      </c>
      <c r="D1025" s="3118" t="s">
        <v>4828</v>
      </c>
      <c r="E1025" s="3071">
        <v>44.59</v>
      </c>
      <c r="F1025" s="3071">
        <v>420000</v>
      </c>
      <c r="G1025" s="3070" t="s">
        <v>3174</v>
      </c>
      <c r="H1025" s="3070" t="s">
        <v>3174</v>
      </c>
      <c r="I1025" s="3070">
        <f t="shared" si="16"/>
        <v>9419</v>
      </c>
      <c r="J1025" s="3404"/>
      <c r="K1025" s="3404"/>
      <c r="L1025" s="3404"/>
      <c r="M1025" s="3404"/>
      <c r="N1025" s="3404"/>
    </row>
    <row r="1026" spans="1:14">
      <c r="A1026" s="3400"/>
      <c r="B1026" s="3071">
        <v>47</v>
      </c>
      <c r="C1026" s="3071" t="s">
        <v>4829</v>
      </c>
      <c r="D1026" s="3118" t="s">
        <v>4830</v>
      </c>
      <c r="E1026" s="3071">
        <v>44.59</v>
      </c>
      <c r="F1026" s="3071">
        <v>420000</v>
      </c>
      <c r="G1026" s="3070" t="s">
        <v>3174</v>
      </c>
      <c r="H1026" s="3070" t="s">
        <v>3174</v>
      </c>
      <c r="I1026" s="3070">
        <f t="shared" si="16"/>
        <v>9419</v>
      </c>
      <c r="J1026" s="3404"/>
      <c r="K1026" s="3404"/>
      <c r="L1026" s="3404"/>
      <c r="M1026" s="3404"/>
      <c r="N1026" s="3404"/>
    </row>
    <row r="1027" spans="1:14" ht="24">
      <c r="A1027" s="3398">
        <v>206</v>
      </c>
      <c r="B1027" s="3071">
        <v>47</v>
      </c>
      <c r="C1027" s="3072" t="s">
        <v>3497</v>
      </c>
      <c r="D1027" s="3118" t="s">
        <v>4831</v>
      </c>
      <c r="E1027" s="3119">
        <v>180.7</v>
      </c>
      <c r="F1027" s="3119">
        <v>11480413</v>
      </c>
      <c r="G1027" s="3070" t="s">
        <v>3173</v>
      </c>
      <c r="H1027" s="3070" t="s">
        <v>3058</v>
      </c>
      <c r="I1027" s="3070">
        <f t="shared" si="16"/>
        <v>63533</v>
      </c>
      <c r="J1027" s="3404"/>
      <c r="K1027" s="3404"/>
      <c r="L1027" s="3404"/>
      <c r="M1027" s="3404"/>
      <c r="N1027" s="3404"/>
    </row>
    <row r="1028" spans="1:14" ht="24">
      <c r="A1028" s="3399"/>
      <c r="B1028" s="3071">
        <v>47</v>
      </c>
      <c r="C1028" s="3072" t="s">
        <v>3499</v>
      </c>
      <c r="D1028" s="3118" t="s">
        <v>4832</v>
      </c>
      <c r="E1028" s="3119">
        <v>116.11</v>
      </c>
      <c r="F1028" s="3119">
        <v>3483300</v>
      </c>
      <c r="G1028" s="3070" t="s">
        <v>3501</v>
      </c>
      <c r="H1028" s="3070" t="s">
        <v>3230</v>
      </c>
      <c r="I1028" s="3070">
        <f t="shared" si="16"/>
        <v>30000</v>
      </c>
      <c r="J1028" s="3404"/>
      <c r="K1028" s="3404"/>
      <c r="L1028" s="3404"/>
      <c r="M1028" s="3404"/>
      <c r="N1028" s="3404"/>
    </row>
    <row r="1029" spans="1:14">
      <c r="A1029" s="3399"/>
      <c r="B1029" s="3071">
        <v>47</v>
      </c>
      <c r="C1029" s="3072">
        <v>-202</v>
      </c>
      <c r="D1029" s="3118" t="s">
        <v>4833</v>
      </c>
      <c r="E1029" s="3119">
        <v>111.1</v>
      </c>
      <c r="F1029" s="3119">
        <v>3333000</v>
      </c>
      <c r="G1029" s="3070" t="s">
        <v>3503</v>
      </c>
      <c r="H1029" s="3070" t="s">
        <v>3230</v>
      </c>
      <c r="I1029" s="3070">
        <f t="shared" si="16"/>
        <v>30000</v>
      </c>
      <c r="J1029" s="3404"/>
      <c r="K1029" s="3404"/>
      <c r="L1029" s="3404"/>
      <c r="M1029" s="3404"/>
      <c r="N1029" s="3404"/>
    </row>
    <row r="1030" spans="1:14">
      <c r="A1030" s="3399"/>
      <c r="B1030" s="3071">
        <v>47</v>
      </c>
      <c r="C1030" s="3071" t="s">
        <v>4834</v>
      </c>
      <c r="D1030" s="3118" t="s">
        <v>4835</v>
      </c>
      <c r="E1030" s="3071">
        <v>44.59</v>
      </c>
      <c r="F1030" s="3071">
        <v>420000</v>
      </c>
      <c r="G1030" s="3070" t="s">
        <v>3174</v>
      </c>
      <c r="H1030" s="3070" t="s">
        <v>3174</v>
      </c>
      <c r="I1030" s="3070">
        <f t="shared" si="16"/>
        <v>9419</v>
      </c>
      <c r="J1030" s="3404"/>
      <c r="K1030" s="3404"/>
      <c r="L1030" s="3404"/>
      <c r="M1030" s="3404"/>
      <c r="N1030" s="3404"/>
    </row>
    <row r="1031" spans="1:14">
      <c r="A1031" s="3400"/>
      <c r="B1031" s="3071">
        <v>47</v>
      </c>
      <c r="C1031" s="3071" t="s">
        <v>4836</v>
      </c>
      <c r="D1031" s="3118" t="s">
        <v>4837</v>
      </c>
      <c r="E1031" s="3071">
        <v>44.59</v>
      </c>
      <c r="F1031" s="3071">
        <v>420000</v>
      </c>
      <c r="G1031" s="3070" t="s">
        <v>3174</v>
      </c>
      <c r="H1031" s="3070" t="s">
        <v>3174</v>
      </c>
      <c r="I1031" s="3070">
        <f t="shared" si="16"/>
        <v>9419</v>
      </c>
      <c r="J1031" s="3404"/>
      <c r="K1031" s="3404"/>
      <c r="L1031" s="3404"/>
      <c r="M1031" s="3404"/>
      <c r="N1031" s="3404"/>
    </row>
    <row r="1032" spans="1:14" ht="24">
      <c r="A1032" s="3398">
        <v>207</v>
      </c>
      <c r="B1032" s="3071">
        <v>47</v>
      </c>
      <c r="C1032" s="3072" t="s">
        <v>3524</v>
      </c>
      <c r="D1032" s="3118" t="s">
        <v>4838</v>
      </c>
      <c r="E1032" s="3119">
        <v>180.7</v>
      </c>
      <c r="F1032" s="3119">
        <v>11480413</v>
      </c>
      <c r="G1032" s="3070" t="s">
        <v>3173</v>
      </c>
      <c r="H1032" s="3070" t="s">
        <v>3058</v>
      </c>
      <c r="I1032" s="3070">
        <f t="shared" si="16"/>
        <v>63533</v>
      </c>
      <c r="J1032" s="3404"/>
      <c r="K1032" s="3404"/>
      <c r="L1032" s="3404"/>
      <c r="M1032" s="3404"/>
      <c r="N1032" s="3404"/>
    </row>
    <row r="1033" spans="1:14" ht="24">
      <c r="A1033" s="3399"/>
      <c r="B1033" s="3071">
        <v>47</v>
      </c>
      <c r="C1033" s="3072" t="s">
        <v>3526</v>
      </c>
      <c r="D1033" s="3118" t="s">
        <v>4839</v>
      </c>
      <c r="E1033" s="3119">
        <v>116.11</v>
      </c>
      <c r="F1033" s="3119">
        <v>3483300</v>
      </c>
      <c r="G1033" s="3070" t="s">
        <v>3501</v>
      </c>
      <c r="H1033" s="3070" t="s">
        <v>3230</v>
      </c>
      <c r="I1033" s="3070">
        <f t="shared" si="16"/>
        <v>30000</v>
      </c>
      <c r="J1033" s="3404"/>
      <c r="K1033" s="3404"/>
      <c r="L1033" s="3404"/>
      <c r="M1033" s="3404"/>
      <c r="N1033" s="3404"/>
    </row>
    <row r="1034" spans="1:14">
      <c r="A1034" s="3399"/>
      <c r="B1034" s="3071">
        <v>47</v>
      </c>
      <c r="C1034" s="3072">
        <v>-203</v>
      </c>
      <c r="D1034" s="3118" t="s">
        <v>4840</v>
      </c>
      <c r="E1034" s="3119">
        <v>111.1</v>
      </c>
      <c r="F1034" s="3119">
        <v>3333000</v>
      </c>
      <c r="G1034" s="3070" t="s">
        <v>3503</v>
      </c>
      <c r="H1034" s="3070" t="s">
        <v>3230</v>
      </c>
      <c r="I1034" s="3070">
        <f t="shared" si="16"/>
        <v>30000</v>
      </c>
      <c r="J1034" s="3404"/>
      <c r="K1034" s="3404"/>
      <c r="L1034" s="3404"/>
      <c r="M1034" s="3404"/>
      <c r="N1034" s="3404"/>
    </row>
    <row r="1035" spans="1:14">
      <c r="A1035" s="3399"/>
      <c r="B1035" s="3071">
        <v>47</v>
      </c>
      <c r="C1035" s="3071" t="s">
        <v>3214</v>
      </c>
      <c r="D1035" s="3118" t="s">
        <v>4841</v>
      </c>
      <c r="E1035" s="3071">
        <v>44.59</v>
      </c>
      <c r="F1035" s="3071">
        <v>420000</v>
      </c>
      <c r="G1035" s="3070" t="s">
        <v>3174</v>
      </c>
      <c r="H1035" s="3070" t="s">
        <v>3174</v>
      </c>
      <c r="I1035" s="3070">
        <f t="shared" si="16"/>
        <v>9419</v>
      </c>
      <c r="J1035" s="3404"/>
      <c r="K1035" s="3404"/>
      <c r="L1035" s="3404"/>
      <c r="M1035" s="3404"/>
      <c r="N1035" s="3404"/>
    </row>
    <row r="1036" spans="1:14">
      <c r="A1036" s="3400"/>
      <c r="B1036" s="3071">
        <v>47</v>
      </c>
      <c r="C1036" s="3071" t="s">
        <v>3213</v>
      </c>
      <c r="D1036" s="3118" t="s">
        <v>4842</v>
      </c>
      <c r="E1036" s="3071">
        <v>44.59</v>
      </c>
      <c r="F1036" s="3071">
        <v>420000</v>
      </c>
      <c r="G1036" s="3070" t="s">
        <v>3174</v>
      </c>
      <c r="H1036" s="3070" t="s">
        <v>3174</v>
      </c>
      <c r="I1036" s="3070">
        <f t="shared" si="16"/>
        <v>9419</v>
      </c>
      <c r="J1036" s="3404"/>
      <c r="K1036" s="3404"/>
      <c r="L1036" s="3404"/>
      <c r="M1036" s="3404"/>
      <c r="N1036" s="3404"/>
    </row>
    <row r="1037" spans="1:14" ht="24">
      <c r="A1037" s="3398">
        <v>208</v>
      </c>
      <c r="B1037" s="3071">
        <v>47</v>
      </c>
      <c r="C1037" s="3072" t="s">
        <v>3533</v>
      </c>
      <c r="D1037" s="3118" t="s">
        <v>4843</v>
      </c>
      <c r="E1037" s="3119">
        <v>180.93</v>
      </c>
      <c r="F1037" s="3119">
        <v>11495025</v>
      </c>
      <c r="G1037" s="3070" t="s">
        <v>3173</v>
      </c>
      <c r="H1037" s="3070" t="s">
        <v>3058</v>
      </c>
      <c r="I1037" s="3070">
        <f t="shared" si="16"/>
        <v>63533</v>
      </c>
      <c r="J1037" s="3404"/>
      <c r="K1037" s="3404"/>
      <c r="L1037" s="3404"/>
      <c r="M1037" s="3404"/>
      <c r="N1037" s="3404"/>
    </row>
    <row r="1038" spans="1:14" ht="24">
      <c r="A1038" s="3399"/>
      <c r="B1038" s="3071">
        <v>47</v>
      </c>
      <c r="C1038" s="3072" t="s">
        <v>3535</v>
      </c>
      <c r="D1038" s="3118" t="s">
        <v>4844</v>
      </c>
      <c r="E1038" s="3119">
        <v>116.38</v>
      </c>
      <c r="F1038" s="3119">
        <v>3491400</v>
      </c>
      <c r="G1038" s="3070" t="s">
        <v>3501</v>
      </c>
      <c r="H1038" s="3070" t="s">
        <v>3230</v>
      </c>
      <c r="I1038" s="3070">
        <f t="shared" si="16"/>
        <v>30000</v>
      </c>
      <c r="J1038" s="3404"/>
      <c r="K1038" s="3404"/>
      <c r="L1038" s="3404"/>
      <c r="M1038" s="3404"/>
      <c r="N1038" s="3404"/>
    </row>
    <row r="1039" spans="1:14">
      <c r="A1039" s="3399"/>
      <c r="B1039" s="3071">
        <v>47</v>
      </c>
      <c r="C1039" s="3072">
        <v>-204</v>
      </c>
      <c r="D1039" s="3118" t="s">
        <v>4845</v>
      </c>
      <c r="E1039" s="3119">
        <v>111.88</v>
      </c>
      <c r="F1039" s="3119">
        <v>3356400</v>
      </c>
      <c r="G1039" s="3070" t="s">
        <v>3503</v>
      </c>
      <c r="H1039" s="3070" t="s">
        <v>3230</v>
      </c>
      <c r="I1039" s="3070">
        <f t="shared" si="16"/>
        <v>30000</v>
      </c>
      <c r="J1039" s="3404"/>
      <c r="K1039" s="3404"/>
      <c r="L1039" s="3404"/>
      <c r="M1039" s="3404"/>
      <c r="N1039" s="3404"/>
    </row>
    <row r="1040" spans="1:14">
      <c r="A1040" s="3399"/>
      <c r="B1040" s="3071">
        <v>47</v>
      </c>
      <c r="C1040" s="3071" t="s">
        <v>4846</v>
      </c>
      <c r="D1040" s="3118" t="s">
        <v>4847</v>
      </c>
      <c r="E1040" s="3071">
        <v>44.59</v>
      </c>
      <c r="F1040" s="3071">
        <v>420000</v>
      </c>
      <c r="G1040" s="3070" t="s">
        <v>3174</v>
      </c>
      <c r="H1040" s="3070" t="s">
        <v>3174</v>
      </c>
      <c r="I1040" s="3070">
        <f t="shared" si="16"/>
        <v>9419</v>
      </c>
      <c r="J1040" s="3404"/>
      <c r="K1040" s="3404"/>
      <c r="L1040" s="3404"/>
      <c r="M1040" s="3404"/>
      <c r="N1040" s="3404"/>
    </row>
    <row r="1041" spans="1:14">
      <c r="A1041" s="3400"/>
      <c r="B1041" s="3071">
        <v>47</v>
      </c>
      <c r="C1041" s="3071" t="s">
        <v>4848</v>
      </c>
      <c r="D1041" s="3118" t="s">
        <v>4849</v>
      </c>
      <c r="E1041" s="3071">
        <v>44.59</v>
      </c>
      <c r="F1041" s="3071">
        <v>420000</v>
      </c>
      <c r="G1041" s="3070" t="s">
        <v>3174</v>
      </c>
      <c r="H1041" s="3070" t="s">
        <v>3174</v>
      </c>
      <c r="I1041" s="3070">
        <f t="shared" si="16"/>
        <v>9419</v>
      </c>
      <c r="J1041" s="3404"/>
      <c r="K1041" s="3404"/>
      <c r="L1041" s="3404"/>
      <c r="M1041" s="3404"/>
      <c r="N1041" s="3404"/>
    </row>
    <row r="1042" spans="1:14" ht="24">
      <c r="A1042" s="3398">
        <v>209</v>
      </c>
      <c r="B1042" s="3071">
        <v>48</v>
      </c>
      <c r="C1042" s="3072" t="s">
        <v>3508</v>
      </c>
      <c r="D1042" s="3118" t="s">
        <v>4850</v>
      </c>
      <c r="E1042" s="3119">
        <v>133.16</v>
      </c>
      <c r="F1042" s="3119">
        <v>8460054</v>
      </c>
      <c r="G1042" s="3070" t="s">
        <v>3173</v>
      </c>
      <c r="H1042" s="3070" t="s">
        <v>3058</v>
      </c>
      <c r="I1042" s="3070">
        <f t="shared" si="16"/>
        <v>63533</v>
      </c>
      <c r="J1042" s="3404">
        <v>8</v>
      </c>
      <c r="K1042" s="3404">
        <v>6</v>
      </c>
      <c r="L1042" s="3404">
        <f>E1042+E1047+E1052+E1057+E1062+E1067</f>
        <v>799.34</v>
      </c>
      <c r="M1042" s="3404">
        <f>E1043+E1044+E1048+E1049+E1053+E1054+E1058+E1059+E1063+E1064+E1068+E1069</f>
        <v>1005.2600000000001</v>
      </c>
      <c r="N1042" s="3404">
        <f>L1042+M1042</f>
        <v>1804.6000000000001</v>
      </c>
    </row>
    <row r="1043" spans="1:14" ht="24">
      <c r="A1043" s="3399"/>
      <c r="B1043" s="3071">
        <v>48</v>
      </c>
      <c r="C1043" s="3072" t="s">
        <v>3510</v>
      </c>
      <c r="D1043" s="3118" t="s">
        <v>4851</v>
      </c>
      <c r="E1043" s="3119">
        <v>83.59</v>
      </c>
      <c r="F1043" s="3119">
        <v>2507700</v>
      </c>
      <c r="G1043" s="3070" t="s">
        <v>3501</v>
      </c>
      <c r="H1043" s="3070" t="s">
        <v>3230</v>
      </c>
      <c r="I1043" s="3070">
        <f t="shared" si="16"/>
        <v>30000</v>
      </c>
      <c r="J1043" s="3404"/>
      <c r="K1043" s="3404"/>
      <c r="L1043" s="3404"/>
      <c r="M1043" s="3404"/>
      <c r="N1043" s="3404"/>
    </row>
    <row r="1044" spans="1:14">
      <c r="A1044" s="3399"/>
      <c r="B1044" s="3071">
        <v>48</v>
      </c>
      <c r="C1044" s="3072">
        <v>-201</v>
      </c>
      <c r="D1044" s="3118" t="s">
        <v>4852</v>
      </c>
      <c r="E1044" s="3119">
        <v>83.15</v>
      </c>
      <c r="F1044" s="3119">
        <v>2494500</v>
      </c>
      <c r="G1044" s="3070" t="s">
        <v>3503</v>
      </c>
      <c r="H1044" s="3070" t="s">
        <v>3230</v>
      </c>
      <c r="I1044" s="3070">
        <f t="shared" si="16"/>
        <v>30000</v>
      </c>
      <c r="J1044" s="3404"/>
      <c r="K1044" s="3404"/>
      <c r="L1044" s="3404"/>
      <c r="M1044" s="3404"/>
      <c r="N1044" s="3404"/>
    </row>
    <row r="1045" spans="1:14">
      <c r="A1045" s="3399"/>
      <c r="B1045" s="3071">
        <v>48</v>
      </c>
      <c r="C1045" s="3071" t="s">
        <v>4853</v>
      </c>
      <c r="D1045" s="3118" t="s">
        <v>4854</v>
      </c>
      <c r="E1045" s="3071">
        <v>44.59</v>
      </c>
      <c r="F1045" s="3071">
        <v>420000</v>
      </c>
      <c r="G1045" s="3070" t="s">
        <v>3174</v>
      </c>
      <c r="H1045" s="3070" t="s">
        <v>3174</v>
      </c>
      <c r="I1045" s="3070">
        <f t="shared" si="16"/>
        <v>9419</v>
      </c>
      <c r="J1045" s="3404"/>
      <c r="K1045" s="3404"/>
      <c r="L1045" s="3404"/>
      <c r="M1045" s="3404"/>
      <c r="N1045" s="3404"/>
    </row>
    <row r="1046" spans="1:14">
      <c r="A1046" s="3400"/>
      <c r="B1046" s="3071">
        <v>48</v>
      </c>
      <c r="C1046" s="3071" t="s">
        <v>4855</v>
      </c>
      <c r="D1046" s="3118" t="s">
        <v>4856</v>
      </c>
      <c r="E1046" s="3071">
        <v>44.59</v>
      </c>
      <c r="F1046" s="3071">
        <v>420000</v>
      </c>
      <c r="G1046" s="3070" t="s">
        <v>3174</v>
      </c>
      <c r="H1046" s="3070" t="s">
        <v>3174</v>
      </c>
      <c r="I1046" s="3070">
        <f t="shared" ref="I1046:I1109" si="17">ROUND(F1046/E1046,0)</f>
        <v>9419</v>
      </c>
      <c r="J1046" s="3404"/>
      <c r="K1046" s="3404"/>
      <c r="L1046" s="3404"/>
      <c r="M1046" s="3404"/>
      <c r="N1046" s="3404"/>
    </row>
    <row r="1047" spans="1:14" ht="24">
      <c r="A1047" s="3398">
        <v>210</v>
      </c>
      <c r="B1047" s="3071">
        <v>48</v>
      </c>
      <c r="C1047" s="3072" t="s">
        <v>3497</v>
      </c>
      <c r="D1047" s="3118" t="s">
        <v>4857</v>
      </c>
      <c r="E1047" s="3119">
        <v>133.16</v>
      </c>
      <c r="F1047" s="3119">
        <v>7610094</v>
      </c>
      <c r="G1047" s="3070" t="s">
        <v>3173</v>
      </c>
      <c r="H1047" s="3070" t="s">
        <v>3058</v>
      </c>
      <c r="I1047" s="3070">
        <f t="shared" si="17"/>
        <v>57150</v>
      </c>
      <c r="J1047" s="3404"/>
      <c r="K1047" s="3404"/>
      <c r="L1047" s="3404"/>
      <c r="M1047" s="3404"/>
      <c r="N1047" s="3404"/>
    </row>
    <row r="1048" spans="1:14" ht="24">
      <c r="A1048" s="3399"/>
      <c r="B1048" s="3071">
        <v>48</v>
      </c>
      <c r="C1048" s="3072" t="s">
        <v>3499</v>
      </c>
      <c r="D1048" s="3118" t="s">
        <v>4858</v>
      </c>
      <c r="E1048" s="3119">
        <v>83.73</v>
      </c>
      <c r="F1048" s="3119">
        <v>2511900</v>
      </c>
      <c r="G1048" s="3070" t="s">
        <v>3501</v>
      </c>
      <c r="H1048" s="3070" t="s">
        <v>3230</v>
      </c>
      <c r="I1048" s="3070">
        <f t="shared" si="17"/>
        <v>30000</v>
      </c>
      <c r="J1048" s="3404"/>
      <c r="K1048" s="3404"/>
      <c r="L1048" s="3404"/>
      <c r="M1048" s="3404"/>
      <c r="N1048" s="3404"/>
    </row>
    <row r="1049" spans="1:14">
      <c r="A1049" s="3399"/>
      <c r="B1049" s="3071">
        <v>48</v>
      </c>
      <c r="C1049" s="3072">
        <v>-202</v>
      </c>
      <c r="D1049" s="3118" t="s">
        <v>4859</v>
      </c>
      <c r="E1049" s="3119">
        <v>83.87</v>
      </c>
      <c r="F1049" s="3119">
        <v>2516100</v>
      </c>
      <c r="G1049" s="3070" t="s">
        <v>3503</v>
      </c>
      <c r="H1049" s="3070" t="s">
        <v>3230</v>
      </c>
      <c r="I1049" s="3070">
        <f t="shared" si="17"/>
        <v>30000</v>
      </c>
      <c r="J1049" s="3404"/>
      <c r="K1049" s="3404"/>
      <c r="L1049" s="3404"/>
      <c r="M1049" s="3404"/>
      <c r="N1049" s="3404"/>
    </row>
    <row r="1050" spans="1:14">
      <c r="A1050" s="3399"/>
      <c r="B1050" s="3071">
        <v>48</v>
      </c>
      <c r="C1050" s="3071" t="s">
        <v>4860</v>
      </c>
      <c r="D1050" s="3118" t="s">
        <v>4861</v>
      </c>
      <c r="E1050" s="3071">
        <v>44.59</v>
      </c>
      <c r="F1050" s="3071">
        <v>420000</v>
      </c>
      <c r="G1050" s="3070" t="s">
        <v>3174</v>
      </c>
      <c r="H1050" s="3070" t="s">
        <v>3174</v>
      </c>
      <c r="I1050" s="3070">
        <f t="shared" si="17"/>
        <v>9419</v>
      </c>
      <c r="J1050" s="3404"/>
      <c r="K1050" s="3404"/>
      <c r="L1050" s="3404"/>
      <c r="M1050" s="3404"/>
      <c r="N1050" s="3404"/>
    </row>
    <row r="1051" spans="1:14">
      <c r="A1051" s="3400"/>
      <c r="B1051" s="3071">
        <v>48</v>
      </c>
      <c r="C1051" s="3071" t="s">
        <v>4862</v>
      </c>
      <c r="D1051" s="3118" t="s">
        <v>4863</v>
      </c>
      <c r="E1051" s="3071">
        <v>44.59</v>
      </c>
      <c r="F1051" s="3071">
        <v>420000</v>
      </c>
      <c r="G1051" s="3070" t="s">
        <v>3174</v>
      </c>
      <c r="H1051" s="3070" t="s">
        <v>3174</v>
      </c>
      <c r="I1051" s="3070">
        <f t="shared" si="17"/>
        <v>9419</v>
      </c>
      <c r="J1051" s="3404"/>
      <c r="K1051" s="3404"/>
      <c r="L1051" s="3404"/>
      <c r="M1051" s="3404"/>
      <c r="N1051" s="3404"/>
    </row>
    <row r="1052" spans="1:14" ht="24">
      <c r="A1052" s="3398">
        <v>211</v>
      </c>
      <c r="B1052" s="3071">
        <v>48</v>
      </c>
      <c r="C1052" s="3072" t="s">
        <v>3524</v>
      </c>
      <c r="D1052" s="3118" t="s">
        <v>4864</v>
      </c>
      <c r="E1052" s="3119">
        <v>133.16</v>
      </c>
      <c r="F1052" s="3119">
        <v>7610094</v>
      </c>
      <c r="G1052" s="3070" t="s">
        <v>3173</v>
      </c>
      <c r="H1052" s="3070" t="s">
        <v>3058</v>
      </c>
      <c r="I1052" s="3070">
        <f t="shared" si="17"/>
        <v>57150</v>
      </c>
      <c r="J1052" s="3404"/>
      <c r="K1052" s="3404"/>
      <c r="L1052" s="3404"/>
      <c r="M1052" s="3404"/>
      <c r="N1052" s="3404"/>
    </row>
    <row r="1053" spans="1:14" ht="24">
      <c r="A1053" s="3399"/>
      <c r="B1053" s="3071">
        <v>48</v>
      </c>
      <c r="C1053" s="3072" t="s">
        <v>3526</v>
      </c>
      <c r="D1053" s="3118" t="s">
        <v>4865</v>
      </c>
      <c r="E1053" s="3119">
        <v>83.73</v>
      </c>
      <c r="F1053" s="3119">
        <v>2511900</v>
      </c>
      <c r="G1053" s="3070" t="s">
        <v>3501</v>
      </c>
      <c r="H1053" s="3070" t="s">
        <v>3230</v>
      </c>
      <c r="I1053" s="3070">
        <f t="shared" si="17"/>
        <v>30000</v>
      </c>
      <c r="J1053" s="3404"/>
      <c r="K1053" s="3404"/>
      <c r="L1053" s="3404"/>
      <c r="M1053" s="3404"/>
      <c r="N1053" s="3404"/>
    </row>
    <row r="1054" spans="1:14">
      <c r="A1054" s="3399"/>
      <c r="B1054" s="3071">
        <v>48</v>
      </c>
      <c r="C1054" s="3072">
        <v>-203</v>
      </c>
      <c r="D1054" s="3118" t="s">
        <v>4866</v>
      </c>
      <c r="E1054" s="3119">
        <v>83.87</v>
      </c>
      <c r="F1054" s="3119">
        <v>2516100</v>
      </c>
      <c r="G1054" s="3070" t="s">
        <v>3503</v>
      </c>
      <c r="H1054" s="3070" t="s">
        <v>3230</v>
      </c>
      <c r="I1054" s="3070">
        <f t="shared" si="17"/>
        <v>30000</v>
      </c>
      <c r="J1054" s="3404"/>
      <c r="K1054" s="3404"/>
      <c r="L1054" s="3404"/>
      <c r="M1054" s="3404"/>
      <c r="N1054" s="3404"/>
    </row>
    <row r="1055" spans="1:14">
      <c r="A1055" s="3399"/>
      <c r="B1055" s="3071">
        <v>48</v>
      </c>
      <c r="C1055" s="3071" t="s">
        <v>4867</v>
      </c>
      <c r="D1055" s="3118" t="s">
        <v>4868</v>
      </c>
      <c r="E1055" s="3071">
        <v>44.59</v>
      </c>
      <c r="F1055" s="3071">
        <v>420000</v>
      </c>
      <c r="G1055" s="3070" t="s">
        <v>3174</v>
      </c>
      <c r="H1055" s="3070" t="s">
        <v>3174</v>
      </c>
      <c r="I1055" s="3070">
        <f t="shared" si="17"/>
        <v>9419</v>
      </c>
      <c r="J1055" s="3404"/>
      <c r="K1055" s="3404"/>
      <c r="L1055" s="3404"/>
      <c r="M1055" s="3404"/>
      <c r="N1055" s="3404"/>
    </row>
    <row r="1056" spans="1:14">
      <c r="A1056" s="3400"/>
      <c r="B1056" s="3071">
        <v>48</v>
      </c>
      <c r="C1056" s="3071" t="s">
        <v>4869</v>
      </c>
      <c r="D1056" s="3118" t="s">
        <v>4870</v>
      </c>
      <c r="E1056" s="3071">
        <v>44.59</v>
      </c>
      <c r="F1056" s="3071">
        <v>420000</v>
      </c>
      <c r="G1056" s="3070" t="s">
        <v>3174</v>
      </c>
      <c r="H1056" s="3070" t="s">
        <v>3174</v>
      </c>
      <c r="I1056" s="3070">
        <f t="shared" si="17"/>
        <v>9419</v>
      </c>
      <c r="J1056" s="3404"/>
      <c r="K1056" s="3404"/>
      <c r="L1056" s="3404"/>
      <c r="M1056" s="3404"/>
      <c r="N1056" s="3404"/>
    </row>
    <row r="1057" spans="1:14" ht="24">
      <c r="A1057" s="3398">
        <v>212</v>
      </c>
      <c r="B1057" s="3071">
        <v>48</v>
      </c>
      <c r="C1057" s="3072" t="s">
        <v>3533</v>
      </c>
      <c r="D1057" s="3118" t="s">
        <v>4871</v>
      </c>
      <c r="E1057" s="3119">
        <v>133.35</v>
      </c>
      <c r="F1057" s="3119">
        <v>7722165</v>
      </c>
      <c r="G1057" s="3070" t="s">
        <v>3173</v>
      </c>
      <c r="H1057" s="3070" t="s">
        <v>3058</v>
      </c>
      <c r="I1057" s="3070">
        <f t="shared" si="17"/>
        <v>57909</v>
      </c>
      <c r="J1057" s="3404"/>
      <c r="K1057" s="3404"/>
      <c r="L1057" s="3404"/>
      <c r="M1057" s="3404"/>
      <c r="N1057" s="3404"/>
    </row>
    <row r="1058" spans="1:14" ht="24">
      <c r="A1058" s="3399"/>
      <c r="B1058" s="3071">
        <v>48</v>
      </c>
      <c r="C1058" s="3072" t="s">
        <v>3535</v>
      </c>
      <c r="D1058" s="3118" t="s">
        <v>4872</v>
      </c>
      <c r="E1058" s="3119">
        <v>83.99</v>
      </c>
      <c r="F1058" s="3119">
        <v>2519700</v>
      </c>
      <c r="G1058" s="3070" t="s">
        <v>3501</v>
      </c>
      <c r="H1058" s="3070" t="s">
        <v>3230</v>
      </c>
      <c r="I1058" s="3070">
        <f t="shared" si="17"/>
        <v>30000</v>
      </c>
      <c r="J1058" s="3404"/>
      <c r="K1058" s="3404"/>
      <c r="L1058" s="3404"/>
      <c r="M1058" s="3404"/>
      <c r="N1058" s="3404"/>
    </row>
    <row r="1059" spans="1:14">
      <c r="A1059" s="3399"/>
      <c r="B1059" s="3071">
        <v>48</v>
      </c>
      <c r="C1059" s="3072">
        <v>-204</v>
      </c>
      <c r="D1059" s="3118" t="s">
        <v>4873</v>
      </c>
      <c r="E1059" s="3119">
        <v>83.87</v>
      </c>
      <c r="F1059" s="3119">
        <v>2516100</v>
      </c>
      <c r="G1059" s="3070" t="s">
        <v>3503</v>
      </c>
      <c r="H1059" s="3070" t="s">
        <v>3230</v>
      </c>
      <c r="I1059" s="3070">
        <f t="shared" si="17"/>
        <v>30000</v>
      </c>
      <c r="J1059" s="3404"/>
      <c r="K1059" s="3404"/>
      <c r="L1059" s="3404"/>
      <c r="M1059" s="3404"/>
      <c r="N1059" s="3404"/>
    </row>
    <row r="1060" spans="1:14">
      <c r="A1060" s="3399"/>
      <c r="B1060" s="3071">
        <v>48</v>
      </c>
      <c r="C1060" s="3071" t="s">
        <v>4874</v>
      </c>
      <c r="D1060" s="3118" t="s">
        <v>4875</v>
      </c>
      <c r="E1060" s="3071">
        <v>44.59</v>
      </c>
      <c r="F1060" s="3071">
        <v>420000</v>
      </c>
      <c r="G1060" s="3070" t="s">
        <v>3174</v>
      </c>
      <c r="H1060" s="3070" t="s">
        <v>3174</v>
      </c>
      <c r="I1060" s="3070">
        <f t="shared" si="17"/>
        <v>9419</v>
      </c>
      <c r="J1060" s="3404"/>
      <c r="K1060" s="3404"/>
      <c r="L1060" s="3404"/>
      <c r="M1060" s="3404"/>
      <c r="N1060" s="3404"/>
    </row>
    <row r="1061" spans="1:14">
      <c r="A1061" s="3400"/>
      <c r="B1061" s="3071">
        <v>48</v>
      </c>
      <c r="C1061" s="3071" t="s">
        <v>4876</v>
      </c>
      <c r="D1061" s="3118" t="s">
        <v>4877</v>
      </c>
      <c r="E1061" s="3071">
        <v>44.59</v>
      </c>
      <c r="F1061" s="3071">
        <v>420000</v>
      </c>
      <c r="G1061" s="3070" t="s">
        <v>3174</v>
      </c>
      <c r="H1061" s="3070" t="s">
        <v>3174</v>
      </c>
      <c r="I1061" s="3070">
        <f t="shared" si="17"/>
        <v>9419</v>
      </c>
      <c r="J1061" s="3404"/>
      <c r="K1061" s="3404"/>
      <c r="L1061" s="3404"/>
      <c r="M1061" s="3404"/>
      <c r="N1061" s="3404"/>
    </row>
    <row r="1062" spans="1:14" ht="24">
      <c r="A1062" s="3398">
        <v>213</v>
      </c>
      <c r="B1062" s="3071">
        <v>48</v>
      </c>
      <c r="C1062" s="3072" t="s">
        <v>3560</v>
      </c>
      <c r="D1062" s="3118" t="s">
        <v>4878</v>
      </c>
      <c r="E1062" s="3119">
        <v>133.16</v>
      </c>
      <c r="F1062" s="3119">
        <v>7710097</v>
      </c>
      <c r="G1062" s="3070" t="s">
        <v>3173</v>
      </c>
      <c r="H1062" s="3070" t="s">
        <v>3058</v>
      </c>
      <c r="I1062" s="3070">
        <f t="shared" si="17"/>
        <v>57901</v>
      </c>
      <c r="J1062" s="3404"/>
      <c r="K1062" s="3404"/>
      <c r="L1062" s="3404"/>
      <c r="M1062" s="3404"/>
      <c r="N1062" s="3404"/>
    </row>
    <row r="1063" spans="1:14" ht="24">
      <c r="A1063" s="3399"/>
      <c r="B1063" s="3071">
        <v>48</v>
      </c>
      <c r="C1063" s="3072" t="s">
        <v>3562</v>
      </c>
      <c r="D1063" s="3118" t="s">
        <v>4879</v>
      </c>
      <c r="E1063" s="3119">
        <v>83.73</v>
      </c>
      <c r="F1063" s="3119">
        <v>2511900</v>
      </c>
      <c r="G1063" s="3070" t="s">
        <v>3501</v>
      </c>
      <c r="H1063" s="3070" t="s">
        <v>3230</v>
      </c>
      <c r="I1063" s="3070">
        <f t="shared" si="17"/>
        <v>30000</v>
      </c>
      <c r="J1063" s="3404"/>
      <c r="K1063" s="3404"/>
      <c r="L1063" s="3404"/>
      <c r="M1063" s="3404"/>
      <c r="N1063" s="3404"/>
    </row>
    <row r="1064" spans="1:14">
      <c r="A1064" s="3399"/>
      <c r="B1064" s="3071">
        <v>48</v>
      </c>
      <c r="C1064" s="3072">
        <v>-207</v>
      </c>
      <c r="D1064" s="3118" t="s">
        <v>4880</v>
      </c>
      <c r="E1064" s="3119">
        <v>83.87</v>
      </c>
      <c r="F1064" s="3119">
        <v>2516100</v>
      </c>
      <c r="G1064" s="3070" t="s">
        <v>3503</v>
      </c>
      <c r="H1064" s="3070" t="s">
        <v>3230</v>
      </c>
      <c r="I1064" s="3070">
        <f t="shared" si="17"/>
        <v>30000</v>
      </c>
      <c r="J1064" s="3404"/>
      <c r="K1064" s="3404"/>
      <c r="L1064" s="3404"/>
      <c r="M1064" s="3404"/>
      <c r="N1064" s="3404"/>
    </row>
    <row r="1065" spans="1:14">
      <c r="A1065" s="3399"/>
      <c r="B1065" s="3071">
        <v>48</v>
      </c>
      <c r="C1065" s="3071" t="s">
        <v>4881</v>
      </c>
      <c r="D1065" s="3118" t="s">
        <v>4882</v>
      </c>
      <c r="E1065" s="3071">
        <v>44.59</v>
      </c>
      <c r="F1065" s="3071">
        <v>420000</v>
      </c>
      <c r="G1065" s="3070" t="s">
        <v>3174</v>
      </c>
      <c r="H1065" s="3070" t="s">
        <v>3174</v>
      </c>
      <c r="I1065" s="3070">
        <f t="shared" si="17"/>
        <v>9419</v>
      </c>
      <c r="J1065" s="3404"/>
      <c r="K1065" s="3404"/>
      <c r="L1065" s="3404"/>
      <c r="M1065" s="3404"/>
      <c r="N1065" s="3404"/>
    </row>
    <row r="1066" spans="1:14">
      <c r="A1066" s="3400"/>
      <c r="B1066" s="3071">
        <v>48</v>
      </c>
      <c r="C1066" s="3071" t="s">
        <v>4883</v>
      </c>
      <c r="D1066" s="3118" t="s">
        <v>4884</v>
      </c>
      <c r="E1066" s="3071">
        <v>44.59</v>
      </c>
      <c r="F1066" s="3071">
        <v>420000</v>
      </c>
      <c r="G1066" s="3070" t="s">
        <v>3174</v>
      </c>
      <c r="H1066" s="3070" t="s">
        <v>3174</v>
      </c>
      <c r="I1066" s="3070">
        <f t="shared" si="17"/>
        <v>9419</v>
      </c>
      <c r="J1066" s="3404"/>
      <c r="K1066" s="3404"/>
      <c r="L1066" s="3404"/>
      <c r="M1066" s="3404"/>
      <c r="N1066" s="3404"/>
    </row>
    <row r="1067" spans="1:14" ht="24">
      <c r="A1067" s="3398">
        <v>214</v>
      </c>
      <c r="B1067" s="3071">
        <v>48</v>
      </c>
      <c r="C1067" s="3072" t="s">
        <v>3611</v>
      </c>
      <c r="D1067" s="3118" t="s">
        <v>4885</v>
      </c>
      <c r="E1067" s="3119">
        <v>133.35</v>
      </c>
      <c r="F1067" s="3119">
        <v>7822177</v>
      </c>
      <c r="G1067" s="3070" t="s">
        <v>3173</v>
      </c>
      <c r="H1067" s="3070" t="s">
        <v>3058</v>
      </c>
      <c r="I1067" s="3070">
        <f t="shared" si="17"/>
        <v>58659</v>
      </c>
      <c r="J1067" s="3404"/>
      <c r="K1067" s="3404"/>
      <c r="L1067" s="3404"/>
      <c r="M1067" s="3404"/>
      <c r="N1067" s="3404"/>
    </row>
    <row r="1068" spans="1:14" ht="24">
      <c r="A1068" s="3399"/>
      <c r="B1068" s="3071">
        <v>48</v>
      </c>
      <c r="C1068" s="3072" t="s">
        <v>3613</v>
      </c>
      <c r="D1068" s="3118" t="s">
        <v>4886</v>
      </c>
      <c r="E1068" s="3119">
        <v>83.99</v>
      </c>
      <c r="F1068" s="3119">
        <v>2519700</v>
      </c>
      <c r="G1068" s="3070" t="s">
        <v>3501</v>
      </c>
      <c r="H1068" s="3070" t="s">
        <v>3230</v>
      </c>
      <c r="I1068" s="3070">
        <f t="shared" si="17"/>
        <v>30000</v>
      </c>
      <c r="J1068" s="3404"/>
      <c r="K1068" s="3404"/>
      <c r="L1068" s="3404"/>
      <c r="M1068" s="3404"/>
      <c r="N1068" s="3404"/>
    </row>
    <row r="1069" spans="1:14">
      <c r="A1069" s="3399"/>
      <c r="B1069" s="3071">
        <v>48</v>
      </c>
      <c r="C1069" s="3072">
        <v>-208</v>
      </c>
      <c r="D1069" s="3118" t="s">
        <v>4887</v>
      </c>
      <c r="E1069" s="3119">
        <v>83.87</v>
      </c>
      <c r="F1069" s="3119">
        <v>2516100</v>
      </c>
      <c r="G1069" s="3070" t="s">
        <v>3503</v>
      </c>
      <c r="H1069" s="3070" t="s">
        <v>3230</v>
      </c>
      <c r="I1069" s="3070">
        <f t="shared" si="17"/>
        <v>30000</v>
      </c>
      <c r="J1069" s="3404"/>
      <c r="K1069" s="3404"/>
      <c r="L1069" s="3404"/>
      <c r="M1069" s="3404"/>
      <c r="N1069" s="3404"/>
    </row>
    <row r="1070" spans="1:14">
      <c r="A1070" s="3399"/>
      <c r="B1070" s="3071">
        <v>48</v>
      </c>
      <c r="C1070" s="3071" t="s">
        <v>4888</v>
      </c>
      <c r="D1070" s="3118" t="s">
        <v>4889</v>
      </c>
      <c r="E1070" s="3071">
        <v>44.59</v>
      </c>
      <c r="F1070" s="3071">
        <v>420000</v>
      </c>
      <c r="G1070" s="3070" t="s">
        <v>3174</v>
      </c>
      <c r="H1070" s="3070" t="s">
        <v>3174</v>
      </c>
      <c r="I1070" s="3070">
        <f t="shared" si="17"/>
        <v>9419</v>
      </c>
      <c r="J1070" s="3404"/>
      <c r="K1070" s="3404"/>
      <c r="L1070" s="3404"/>
      <c r="M1070" s="3404"/>
      <c r="N1070" s="3404"/>
    </row>
    <row r="1071" spans="1:14">
      <c r="A1071" s="3400"/>
      <c r="B1071" s="3071">
        <v>48</v>
      </c>
      <c r="C1071" s="3071" t="s">
        <v>4890</v>
      </c>
      <c r="D1071" s="3118" t="s">
        <v>4891</v>
      </c>
      <c r="E1071" s="3071">
        <v>44.59</v>
      </c>
      <c r="F1071" s="3071">
        <v>420000</v>
      </c>
      <c r="G1071" s="3070" t="s">
        <v>3174</v>
      </c>
      <c r="H1071" s="3070" t="s">
        <v>3174</v>
      </c>
      <c r="I1071" s="3070">
        <f t="shared" si="17"/>
        <v>9419</v>
      </c>
      <c r="J1071" s="3404"/>
      <c r="K1071" s="3404"/>
      <c r="L1071" s="3404"/>
      <c r="M1071" s="3404"/>
      <c r="N1071" s="3404"/>
    </row>
    <row r="1072" spans="1:14" ht="24">
      <c r="A1072" s="3398">
        <v>215</v>
      </c>
      <c r="B1072" s="3071">
        <v>49</v>
      </c>
      <c r="C1072" s="3072" t="s">
        <v>3524</v>
      </c>
      <c r="D1072" s="3118" t="s">
        <v>4892</v>
      </c>
      <c r="E1072" s="3119">
        <v>133.25</v>
      </c>
      <c r="F1072" s="3119">
        <v>7465731</v>
      </c>
      <c r="G1072" s="3070" t="s">
        <v>3173</v>
      </c>
      <c r="H1072" s="3070" t="s">
        <v>3058</v>
      </c>
      <c r="I1072" s="3070">
        <f t="shared" si="17"/>
        <v>56028</v>
      </c>
      <c r="J1072" s="3404">
        <v>8</v>
      </c>
      <c r="K1072" s="3404">
        <v>5</v>
      </c>
      <c r="L1072" s="3404">
        <f>E1072+E1077+E1082+E1087+E1092</f>
        <v>666.63000000000011</v>
      </c>
      <c r="M1072" s="3404">
        <f>E1073+E1074+E1078+E1079+E1083+E1084+E1088+E1089+E1093+E1094</f>
        <v>838.86999999999989</v>
      </c>
      <c r="N1072" s="3404">
        <f>L1072+M1072</f>
        <v>1505.5</v>
      </c>
    </row>
    <row r="1073" spans="1:14" ht="24">
      <c r="A1073" s="3399"/>
      <c r="B1073" s="3071">
        <v>49</v>
      </c>
      <c r="C1073" s="3072" t="s">
        <v>3526</v>
      </c>
      <c r="D1073" s="3118" t="s">
        <v>4893</v>
      </c>
      <c r="E1073" s="3119">
        <v>83.78</v>
      </c>
      <c r="F1073" s="3119">
        <v>2513400</v>
      </c>
      <c r="G1073" s="3070" t="s">
        <v>3501</v>
      </c>
      <c r="H1073" s="3070" t="s">
        <v>3230</v>
      </c>
      <c r="I1073" s="3070">
        <f t="shared" si="17"/>
        <v>30000</v>
      </c>
      <c r="J1073" s="3404"/>
      <c r="K1073" s="3404"/>
      <c r="L1073" s="3404"/>
      <c r="M1073" s="3404"/>
      <c r="N1073" s="3404"/>
    </row>
    <row r="1074" spans="1:14">
      <c r="A1074" s="3399"/>
      <c r="B1074" s="3071">
        <v>49</v>
      </c>
      <c r="C1074" s="3072">
        <v>-203</v>
      </c>
      <c r="D1074" s="3118" t="s">
        <v>4894</v>
      </c>
      <c r="E1074" s="3119">
        <v>83.89</v>
      </c>
      <c r="F1074" s="3119">
        <v>2516700</v>
      </c>
      <c r="G1074" s="3070" t="s">
        <v>3503</v>
      </c>
      <c r="H1074" s="3070" t="s">
        <v>3230</v>
      </c>
      <c r="I1074" s="3070">
        <f t="shared" si="17"/>
        <v>30000</v>
      </c>
      <c r="J1074" s="3404"/>
      <c r="K1074" s="3404"/>
      <c r="L1074" s="3404"/>
      <c r="M1074" s="3404"/>
      <c r="N1074" s="3404"/>
    </row>
    <row r="1075" spans="1:14">
      <c r="A1075" s="3399"/>
      <c r="B1075" s="3071">
        <v>49</v>
      </c>
      <c r="C1075" s="3071" t="s">
        <v>4895</v>
      </c>
      <c r="D1075" s="3118" t="s">
        <v>4896</v>
      </c>
      <c r="E1075" s="3071">
        <v>44.59</v>
      </c>
      <c r="F1075" s="3071">
        <v>420000</v>
      </c>
      <c r="G1075" s="3070" t="s">
        <v>3174</v>
      </c>
      <c r="H1075" s="3070" t="s">
        <v>3174</v>
      </c>
      <c r="I1075" s="3070">
        <f t="shared" si="17"/>
        <v>9419</v>
      </c>
      <c r="J1075" s="3404"/>
      <c r="K1075" s="3404"/>
      <c r="L1075" s="3404"/>
      <c r="M1075" s="3404"/>
      <c r="N1075" s="3404"/>
    </row>
    <row r="1076" spans="1:14">
      <c r="A1076" s="3400"/>
      <c r="B1076" s="3071">
        <v>49</v>
      </c>
      <c r="C1076" s="3071" t="s">
        <v>4897</v>
      </c>
      <c r="D1076" s="3118" t="s">
        <v>4898</v>
      </c>
      <c r="E1076" s="3071">
        <v>44.59</v>
      </c>
      <c r="F1076" s="3071">
        <v>420000</v>
      </c>
      <c r="G1076" s="3070" t="s">
        <v>3174</v>
      </c>
      <c r="H1076" s="3070" t="s">
        <v>3174</v>
      </c>
      <c r="I1076" s="3070">
        <f t="shared" si="17"/>
        <v>9419</v>
      </c>
      <c r="J1076" s="3404"/>
      <c r="K1076" s="3404"/>
      <c r="L1076" s="3404"/>
      <c r="M1076" s="3404"/>
      <c r="N1076" s="3404"/>
    </row>
    <row r="1077" spans="1:14" ht="24">
      <c r="A1077" s="3398">
        <v>216</v>
      </c>
      <c r="B1077" s="3071">
        <v>49</v>
      </c>
      <c r="C1077" s="3072" t="s">
        <v>3533</v>
      </c>
      <c r="D1077" s="3118" t="s">
        <v>4899</v>
      </c>
      <c r="E1077" s="3119">
        <v>133.44</v>
      </c>
      <c r="F1077" s="3119">
        <v>7577790</v>
      </c>
      <c r="G1077" s="3070" t="s">
        <v>3173</v>
      </c>
      <c r="H1077" s="3070" t="s">
        <v>3058</v>
      </c>
      <c r="I1077" s="3070">
        <f t="shared" si="17"/>
        <v>56788</v>
      </c>
      <c r="J1077" s="3404"/>
      <c r="K1077" s="3404"/>
      <c r="L1077" s="3404"/>
      <c r="M1077" s="3404"/>
      <c r="N1077" s="3404"/>
    </row>
    <row r="1078" spans="1:14" ht="24">
      <c r="A1078" s="3399"/>
      <c r="B1078" s="3071">
        <v>49</v>
      </c>
      <c r="C1078" s="3072" t="s">
        <v>3535</v>
      </c>
      <c r="D1078" s="3118" t="s">
        <v>4900</v>
      </c>
      <c r="E1078" s="3119">
        <v>84.04</v>
      </c>
      <c r="F1078" s="3119">
        <v>2521200</v>
      </c>
      <c r="G1078" s="3070" t="s">
        <v>3501</v>
      </c>
      <c r="H1078" s="3070" t="s">
        <v>3230</v>
      </c>
      <c r="I1078" s="3070">
        <f t="shared" si="17"/>
        <v>30000</v>
      </c>
      <c r="J1078" s="3404"/>
      <c r="K1078" s="3404"/>
      <c r="L1078" s="3404"/>
      <c r="M1078" s="3404"/>
      <c r="N1078" s="3404"/>
    </row>
    <row r="1079" spans="1:14">
      <c r="A1079" s="3399"/>
      <c r="B1079" s="3071">
        <v>49</v>
      </c>
      <c r="C1079" s="3072">
        <v>-204</v>
      </c>
      <c r="D1079" s="3118" t="s">
        <v>4901</v>
      </c>
      <c r="E1079" s="3119">
        <v>83.89</v>
      </c>
      <c r="F1079" s="3119">
        <v>2516700</v>
      </c>
      <c r="G1079" s="3070" t="s">
        <v>3503</v>
      </c>
      <c r="H1079" s="3070" t="s">
        <v>3230</v>
      </c>
      <c r="I1079" s="3070">
        <f t="shared" si="17"/>
        <v>30000</v>
      </c>
      <c r="J1079" s="3404"/>
      <c r="K1079" s="3404"/>
      <c r="L1079" s="3404"/>
      <c r="M1079" s="3404"/>
      <c r="N1079" s="3404"/>
    </row>
    <row r="1080" spans="1:14">
      <c r="A1080" s="3399"/>
      <c r="B1080" s="3071">
        <v>49</v>
      </c>
      <c r="C1080" s="3071" t="s">
        <v>4902</v>
      </c>
      <c r="D1080" s="3118" t="s">
        <v>4903</v>
      </c>
      <c r="E1080" s="3071">
        <v>44.59</v>
      </c>
      <c r="F1080" s="3071">
        <v>420000</v>
      </c>
      <c r="G1080" s="3070" t="s">
        <v>3174</v>
      </c>
      <c r="H1080" s="3070" t="s">
        <v>3174</v>
      </c>
      <c r="I1080" s="3070">
        <f t="shared" si="17"/>
        <v>9419</v>
      </c>
      <c r="J1080" s="3404"/>
      <c r="K1080" s="3404"/>
      <c r="L1080" s="3404"/>
      <c r="M1080" s="3404"/>
      <c r="N1080" s="3404"/>
    </row>
    <row r="1081" spans="1:14">
      <c r="A1081" s="3400"/>
      <c r="B1081" s="3071">
        <v>49</v>
      </c>
      <c r="C1081" s="3071" t="s">
        <v>4904</v>
      </c>
      <c r="D1081" s="3118" t="s">
        <v>4905</v>
      </c>
      <c r="E1081" s="3071">
        <v>44.59</v>
      </c>
      <c r="F1081" s="3071">
        <v>420000</v>
      </c>
      <c r="G1081" s="3070" t="s">
        <v>3174</v>
      </c>
      <c r="H1081" s="3070" t="s">
        <v>3174</v>
      </c>
      <c r="I1081" s="3070">
        <f t="shared" si="17"/>
        <v>9419</v>
      </c>
      <c r="J1081" s="3404"/>
      <c r="K1081" s="3404"/>
      <c r="L1081" s="3404"/>
      <c r="M1081" s="3404"/>
      <c r="N1081" s="3404"/>
    </row>
    <row r="1082" spans="1:14" ht="24">
      <c r="A1082" s="3398">
        <v>217</v>
      </c>
      <c r="B1082" s="3071">
        <v>49</v>
      </c>
      <c r="C1082" s="3072" t="s">
        <v>3551</v>
      </c>
      <c r="D1082" s="3118" t="s">
        <v>4906</v>
      </c>
      <c r="E1082" s="3119">
        <v>133.25</v>
      </c>
      <c r="F1082" s="3119">
        <v>7715708</v>
      </c>
      <c r="G1082" s="3070" t="s">
        <v>3173</v>
      </c>
      <c r="H1082" s="3070" t="s">
        <v>3058</v>
      </c>
      <c r="I1082" s="3070">
        <f t="shared" si="17"/>
        <v>57904</v>
      </c>
      <c r="J1082" s="3404"/>
      <c r="K1082" s="3404"/>
      <c r="L1082" s="3404"/>
      <c r="M1082" s="3404"/>
      <c r="N1082" s="3404"/>
    </row>
    <row r="1083" spans="1:14" ht="24">
      <c r="A1083" s="3399"/>
      <c r="B1083" s="3071">
        <v>49</v>
      </c>
      <c r="C1083" s="3072" t="s">
        <v>3553</v>
      </c>
      <c r="D1083" s="3118" t="s">
        <v>4907</v>
      </c>
      <c r="E1083" s="3119">
        <v>83.78</v>
      </c>
      <c r="F1083" s="3119">
        <v>2513400</v>
      </c>
      <c r="G1083" s="3070" t="s">
        <v>3501</v>
      </c>
      <c r="H1083" s="3070" t="s">
        <v>3230</v>
      </c>
      <c r="I1083" s="3070">
        <f t="shared" si="17"/>
        <v>30000</v>
      </c>
      <c r="J1083" s="3404"/>
      <c r="K1083" s="3404"/>
      <c r="L1083" s="3404"/>
      <c r="M1083" s="3404"/>
      <c r="N1083" s="3404"/>
    </row>
    <row r="1084" spans="1:14">
      <c r="A1084" s="3399"/>
      <c r="B1084" s="3071">
        <v>49</v>
      </c>
      <c r="C1084" s="3072">
        <v>-206</v>
      </c>
      <c r="D1084" s="3118" t="s">
        <v>4908</v>
      </c>
      <c r="E1084" s="3119">
        <v>83.89</v>
      </c>
      <c r="F1084" s="3119">
        <v>2516700</v>
      </c>
      <c r="G1084" s="3070" t="s">
        <v>3503</v>
      </c>
      <c r="H1084" s="3070" t="s">
        <v>3230</v>
      </c>
      <c r="I1084" s="3070">
        <f t="shared" si="17"/>
        <v>30000</v>
      </c>
      <c r="J1084" s="3404"/>
      <c r="K1084" s="3404"/>
      <c r="L1084" s="3404"/>
      <c r="M1084" s="3404"/>
      <c r="N1084" s="3404"/>
    </row>
    <row r="1085" spans="1:14">
      <c r="A1085" s="3399"/>
      <c r="B1085" s="3071">
        <v>49</v>
      </c>
      <c r="C1085" s="3071" t="s">
        <v>4909</v>
      </c>
      <c r="D1085" s="3118" t="s">
        <v>4910</v>
      </c>
      <c r="E1085" s="3071">
        <v>44.59</v>
      </c>
      <c r="F1085" s="3071">
        <v>420000</v>
      </c>
      <c r="G1085" s="3070" t="s">
        <v>3174</v>
      </c>
      <c r="H1085" s="3070" t="s">
        <v>3174</v>
      </c>
      <c r="I1085" s="3070">
        <f t="shared" si="17"/>
        <v>9419</v>
      </c>
      <c r="J1085" s="3404"/>
      <c r="K1085" s="3404"/>
      <c r="L1085" s="3404"/>
      <c r="M1085" s="3404"/>
      <c r="N1085" s="3404"/>
    </row>
    <row r="1086" spans="1:14">
      <c r="A1086" s="3400"/>
      <c r="B1086" s="3071">
        <v>49</v>
      </c>
      <c r="C1086" s="3071" t="s">
        <v>4911</v>
      </c>
      <c r="D1086" s="3118" t="s">
        <v>4912</v>
      </c>
      <c r="E1086" s="3071">
        <v>44.59</v>
      </c>
      <c r="F1086" s="3071">
        <v>420000</v>
      </c>
      <c r="G1086" s="3070" t="s">
        <v>3174</v>
      </c>
      <c r="H1086" s="3070" t="s">
        <v>3174</v>
      </c>
      <c r="I1086" s="3070">
        <f t="shared" si="17"/>
        <v>9419</v>
      </c>
      <c r="J1086" s="3404"/>
      <c r="K1086" s="3404"/>
      <c r="L1086" s="3404"/>
      <c r="M1086" s="3404"/>
      <c r="N1086" s="3404"/>
    </row>
    <row r="1087" spans="1:14" ht="24">
      <c r="A1087" s="3398">
        <v>218</v>
      </c>
      <c r="B1087" s="3071">
        <v>49</v>
      </c>
      <c r="C1087" s="3072" t="s">
        <v>3560</v>
      </c>
      <c r="D1087" s="3118" t="s">
        <v>4913</v>
      </c>
      <c r="E1087" s="3119">
        <v>133.25</v>
      </c>
      <c r="F1087" s="3119">
        <v>7715708</v>
      </c>
      <c r="G1087" s="3070" t="s">
        <v>3173</v>
      </c>
      <c r="H1087" s="3070" t="s">
        <v>3058</v>
      </c>
      <c r="I1087" s="3070">
        <f t="shared" si="17"/>
        <v>57904</v>
      </c>
      <c r="J1087" s="3404"/>
      <c r="K1087" s="3404"/>
      <c r="L1087" s="3404"/>
      <c r="M1087" s="3404"/>
      <c r="N1087" s="3404"/>
    </row>
    <row r="1088" spans="1:14" ht="24">
      <c r="A1088" s="3399"/>
      <c r="B1088" s="3071">
        <v>49</v>
      </c>
      <c r="C1088" s="3072" t="s">
        <v>3562</v>
      </c>
      <c r="D1088" s="3118" t="s">
        <v>4914</v>
      </c>
      <c r="E1088" s="3119">
        <v>83.78</v>
      </c>
      <c r="F1088" s="3119">
        <v>2513400</v>
      </c>
      <c r="G1088" s="3070" t="s">
        <v>3501</v>
      </c>
      <c r="H1088" s="3070" t="s">
        <v>3230</v>
      </c>
      <c r="I1088" s="3070">
        <f t="shared" si="17"/>
        <v>30000</v>
      </c>
      <c r="J1088" s="3404"/>
      <c r="K1088" s="3404"/>
      <c r="L1088" s="3404"/>
      <c r="M1088" s="3404"/>
      <c r="N1088" s="3404"/>
    </row>
    <row r="1089" spans="1:14">
      <c r="A1089" s="3399"/>
      <c r="B1089" s="3071">
        <v>49</v>
      </c>
      <c r="C1089" s="3072">
        <v>-207</v>
      </c>
      <c r="D1089" s="3118" t="s">
        <v>4915</v>
      </c>
      <c r="E1089" s="3119">
        <v>83.89</v>
      </c>
      <c r="F1089" s="3119">
        <v>2516700</v>
      </c>
      <c r="G1089" s="3070" t="s">
        <v>3503</v>
      </c>
      <c r="H1089" s="3070" t="s">
        <v>3230</v>
      </c>
      <c r="I1089" s="3070">
        <f t="shared" si="17"/>
        <v>30000</v>
      </c>
      <c r="J1089" s="3404"/>
      <c r="K1089" s="3404"/>
      <c r="L1089" s="3404"/>
      <c r="M1089" s="3404"/>
      <c r="N1089" s="3404"/>
    </row>
    <row r="1090" spans="1:14">
      <c r="A1090" s="3399"/>
      <c r="B1090" s="3071">
        <v>49</v>
      </c>
      <c r="C1090" s="3071" t="s">
        <v>4916</v>
      </c>
      <c r="D1090" s="3118" t="s">
        <v>4917</v>
      </c>
      <c r="E1090" s="3071">
        <v>44.59</v>
      </c>
      <c r="F1090" s="3071">
        <v>420000</v>
      </c>
      <c r="G1090" s="3070" t="s">
        <v>3174</v>
      </c>
      <c r="H1090" s="3070" t="s">
        <v>3174</v>
      </c>
      <c r="I1090" s="3070">
        <f t="shared" si="17"/>
        <v>9419</v>
      </c>
      <c r="J1090" s="3404"/>
      <c r="K1090" s="3404"/>
      <c r="L1090" s="3404"/>
      <c r="M1090" s="3404"/>
      <c r="N1090" s="3404"/>
    </row>
    <row r="1091" spans="1:14">
      <c r="A1091" s="3400"/>
      <c r="B1091" s="3071">
        <v>49</v>
      </c>
      <c r="C1091" s="3071" t="s">
        <v>4918</v>
      </c>
      <c r="D1091" s="3118" t="s">
        <v>4919</v>
      </c>
      <c r="E1091" s="3071">
        <v>44.59</v>
      </c>
      <c r="F1091" s="3071">
        <v>420000</v>
      </c>
      <c r="G1091" s="3070" t="s">
        <v>3174</v>
      </c>
      <c r="H1091" s="3070" t="s">
        <v>3174</v>
      </c>
      <c r="I1091" s="3070">
        <f t="shared" si="17"/>
        <v>9419</v>
      </c>
      <c r="J1091" s="3404"/>
      <c r="K1091" s="3404"/>
      <c r="L1091" s="3404"/>
      <c r="M1091" s="3404"/>
      <c r="N1091" s="3404"/>
    </row>
    <row r="1092" spans="1:14" ht="24">
      <c r="A1092" s="3398">
        <v>219</v>
      </c>
      <c r="B1092" s="3071">
        <v>49</v>
      </c>
      <c r="C1092" s="3072" t="s">
        <v>3611</v>
      </c>
      <c r="D1092" s="3118" t="s">
        <v>4920</v>
      </c>
      <c r="E1092" s="3119">
        <v>133.44</v>
      </c>
      <c r="F1092" s="3119">
        <v>7827857</v>
      </c>
      <c r="G1092" s="3070" t="s">
        <v>3173</v>
      </c>
      <c r="H1092" s="3070" t="s">
        <v>3058</v>
      </c>
      <c r="I1092" s="3070">
        <f t="shared" si="17"/>
        <v>58662</v>
      </c>
      <c r="J1092" s="3404"/>
      <c r="K1092" s="3404"/>
      <c r="L1092" s="3404"/>
      <c r="M1092" s="3404"/>
      <c r="N1092" s="3404"/>
    </row>
    <row r="1093" spans="1:14" ht="24">
      <c r="A1093" s="3399"/>
      <c r="B1093" s="3071">
        <v>49</v>
      </c>
      <c r="C1093" s="3072" t="s">
        <v>3613</v>
      </c>
      <c r="D1093" s="3118" t="s">
        <v>4921</v>
      </c>
      <c r="E1093" s="3119">
        <v>84.04</v>
      </c>
      <c r="F1093" s="3119">
        <v>2521200</v>
      </c>
      <c r="G1093" s="3070" t="s">
        <v>3501</v>
      </c>
      <c r="H1093" s="3070" t="s">
        <v>3230</v>
      </c>
      <c r="I1093" s="3070">
        <f t="shared" si="17"/>
        <v>30000</v>
      </c>
      <c r="J1093" s="3404"/>
      <c r="K1093" s="3404"/>
      <c r="L1093" s="3404"/>
      <c r="M1093" s="3404"/>
      <c r="N1093" s="3404"/>
    </row>
    <row r="1094" spans="1:14">
      <c r="A1094" s="3399"/>
      <c r="B1094" s="3071">
        <v>49</v>
      </c>
      <c r="C1094" s="3072">
        <v>-208</v>
      </c>
      <c r="D1094" s="3118" t="s">
        <v>4922</v>
      </c>
      <c r="E1094" s="3119">
        <v>83.89</v>
      </c>
      <c r="F1094" s="3119">
        <v>2516700</v>
      </c>
      <c r="G1094" s="3070" t="s">
        <v>3503</v>
      </c>
      <c r="H1094" s="3070" t="s">
        <v>3230</v>
      </c>
      <c r="I1094" s="3070">
        <f t="shared" si="17"/>
        <v>30000</v>
      </c>
      <c r="J1094" s="3404"/>
      <c r="K1094" s="3404"/>
      <c r="L1094" s="3404"/>
      <c r="M1094" s="3404"/>
      <c r="N1094" s="3404"/>
    </row>
    <row r="1095" spans="1:14">
      <c r="A1095" s="3399"/>
      <c r="B1095" s="3071">
        <v>49</v>
      </c>
      <c r="C1095" s="3071" t="s">
        <v>4923</v>
      </c>
      <c r="D1095" s="3118" t="s">
        <v>4924</v>
      </c>
      <c r="E1095" s="3071">
        <v>44.59</v>
      </c>
      <c r="F1095" s="3071">
        <v>420000</v>
      </c>
      <c r="G1095" s="3070" t="s">
        <v>3174</v>
      </c>
      <c r="H1095" s="3070" t="s">
        <v>3174</v>
      </c>
      <c r="I1095" s="3070">
        <f t="shared" si="17"/>
        <v>9419</v>
      </c>
      <c r="J1095" s="3404"/>
      <c r="K1095" s="3404"/>
      <c r="L1095" s="3404"/>
      <c r="M1095" s="3404"/>
      <c r="N1095" s="3404"/>
    </row>
    <row r="1096" spans="1:14">
      <c r="A1096" s="3400"/>
      <c r="B1096" s="3071">
        <v>49</v>
      </c>
      <c r="C1096" s="3071" t="s">
        <v>4925</v>
      </c>
      <c r="D1096" s="3118" t="s">
        <v>4926</v>
      </c>
      <c r="E1096" s="3071">
        <v>44.59</v>
      </c>
      <c r="F1096" s="3071">
        <v>420000</v>
      </c>
      <c r="G1096" s="3070" t="s">
        <v>3174</v>
      </c>
      <c r="H1096" s="3070" t="s">
        <v>3174</v>
      </c>
      <c r="I1096" s="3070">
        <f t="shared" si="17"/>
        <v>9419</v>
      </c>
      <c r="J1096" s="3404"/>
      <c r="K1096" s="3404"/>
      <c r="L1096" s="3404"/>
      <c r="M1096" s="3404"/>
      <c r="N1096" s="3404"/>
    </row>
    <row r="1097" spans="1:14" ht="24">
      <c r="A1097" s="3398">
        <v>220</v>
      </c>
      <c r="B1097" s="3071">
        <v>50</v>
      </c>
      <c r="C1097" s="3072" t="s">
        <v>3508</v>
      </c>
      <c r="D1097" s="3118" t="s">
        <v>4927</v>
      </c>
      <c r="E1097" s="3119">
        <v>133.81</v>
      </c>
      <c r="F1097" s="3119">
        <v>8501350</v>
      </c>
      <c r="G1097" s="3070" t="s">
        <v>3173</v>
      </c>
      <c r="H1097" s="3070" t="s">
        <v>3058</v>
      </c>
      <c r="I1097" s="3070">
        <f t="shared" si="17"/>
        <v>63533</v>
      </c>
      <c r="J1097" s="3401">
        <v>7</v>
      </c>
      <c r="K1097" s="3401">
        <v>7</v>
      </c>
      <c r="L1097" s="3401">
        <f>E1097+E1102+E1107+E1112+E1117+E1122+E1127</f>
        <v>938.83999999999992</v>
      </c>
      <c r="M1097" s="3401">
        <f>E1098+E1099+E1103+E1104+E1108+E1109+E1113+E1114+E1118+E1119+E1123+E1124+E1128+E1129</f>
        <v>1178.01</v>
      </c>
      <c r="N1097" s="3401">
        <f>L1097+M1097</f>
        <v>2116.85</v>
      </c>
    </row>
    <row r="1098" spans="1:14" ht="24">
      <c r="A1098" s="3399"/>
      <c r="B1098" s="3071">
        <v>50</v>
      </c>
      <c r="C1098" s="3072" t="s">
        <v>3510</v>
      </c>
      <c r="D1098" s="3118" t="s">
        <v>4928</v>
      </c>
      <c r="E1098" s="3119">
        <v>84.05</v>
      </c>
      <c r="F1098" s="3119">
        <v>2521500</v>
      </c>
      <c r="G1098" s="3070" t="s">
        <v>3501</v>
      </c>
      <c r="H1098" s="3070" t="s">
        <v>3230</v>
      </c>
      <c r="I1098" s="3070">
        <f t="shared" si="17"/>
        <v>30000</v>
      </c>
      <c r="J1098" s="3402"/>
      <c r="K1098" s="3402"/>
      <c r="L1098" s="3402"/>
      <c r="M1098" s="3402"/>
      <c r="N1098" s="3402"/>
    </row>
    <row r="1099" spans="1:14">
      <c r="A1099" s="3399"/>
      <c r="B1099" s="3071">
        <v>50</v>
      </c>
      <c r="C1099" s="3072">
        <v>-201</v>
      </c>
      <c r="D1099" s="3118" t="s">
        <v>4929</v>
      </c>
      <c r="E1099" s="3119">
        <v>83.31</v>
      </c>
      <c r="F1099" s="3119">
        <v>2499300</v>
      </c>
      <c r="G1099" s="3070" t="s">
        <v>3503</v>
      </c>
      <c r="H1099" s="3070" t="s">
        <v>3230</v>
      </c>
      <c r="I1099" s="3070">
        <f t="shared" si="17"/>
        <v>30000</v>
      </c>
      <c r="J1099" s="3402"/>
      <c r="K1099" s="3402"/>
      <c r="L1099" s="3402"/>
      <c r="M1099" s="3402"/>
      <c r="N1099" s="3402"/>
    </row>
    <row r="1100" spans="1:14">
      <c r="A1100" s="3399"/>
      <c r="B1100" s="3071">
        <v>50</v>
      </c>
      <c r="C1100" s="3071" t="s">
        <v>4930</v>
      </c>
      <c r="D1100" s="3118" t="s">
        <v>4931</v>
      </c>
      <c r="E1100" s="3071">
        <v>44.59</v>
      </c>
      <c r="F1100" s="3071">
        <v>420000</v>
      </c>
      <c r="G1100" s="3070" t="s">
        <v>3174</v>
      </c>
      <c r="H1100" s="3070" t="s">
        <v>3174</v>
      </c>
      <c r="I1100" s="3070">
        <f t="shared" si="17"/>
        <v>9419</v>
      </c>
      <c r="J1100" s="3402"/>
      <c r="K1100" s="3402"/>
      <c r="L1100" s="3402"/>
      <c r="M1100" s="3402"/>
      <c r="N1100" s="3402"/>
    </row>
    <row r="1101" spans="1:14">
      <c r="A1101" s="3400"/>
      <c r="B1101" s="3071">
        <v>50</v>
      </c>
      <c r="C1101" s="3071" t="s">
        <v>4932</v>
      </c>
      <c r="D1101" s="3118" t="s">
        <v>4933</v>
      </c>
      <c r="E1101" s="3071">
        <v>44.59</v>
      </c>
      <c r="F1101" s="3071">
        <v>420000</v>
      </c>
      <c r="G1101" s="3070" t="s">
        <v>3174</v>
      </c>
      <c r="H1101" s="3070" t="s">
        <v>3174</v>
      </c>
      <c r="I1101" s="3070">
        <f t="shared" si="17"/>
        <v>9419</v>
      </c>
      <c r="J1101" s="3402"/>
      <c r="K1101" s="3402"/>
      <c r="L1101" s="3402"/>
      <c r="M1101" s="3402"/>
      <c r="N1101" s="3402"/>
    </row>
    <row r="1102" spans="1:14" ht="24">
      <c r="A1102" s="3398">
        <v>221</v>
      </c>
      <c r="B1102" s="3071">
        <v>50</v>
      </c>
      <c r="C1102" s="3072" t="s">
        <v>3497</v>
      </c>
      <c r="D1102" s="3118" t="s">
        <v>4934</v>
      </c>
      <c r="E1102" s="3119">
        <v>135.41</v>
      </c>
      <c r="F1102" s="3119">
        <v>8603003</v>
      </c>
      <c r="G1102" s="3070" t="s">
        <v>3173</v>
      </c>
      <c r="H1102" s="3070" t="s">
        <v>3058</v>
      </c>
      <c r="I1102" s="3070">
        <f t="shared" si="17"/>
        <v>63533</v>
      </c>
      <c r="J1102" s="3402"/>
      <c r="K1102" s="3402"/>
      <c r="L1102" s="3402"/>
      <c r="M1102" s="3402"/>
      <c r="N1102" s="3402"/>
    </row>
    <row r="1103" spans="1:14" ht="24">
      <c r="A1103" s="3399"/>
      <c r="B1103" s="3071">
        <v>50</v>
      </c>
      <c r="C1103" s="3072" t="s">
        <v>3499</v>
      </c>
      <c r="D1103" s="3118" t="s">
        <v>4935</v>
      </c>
      <c r="E1103" s="3119">
        <v>84.77</v>
      </c>
      <c r="F1103" s="3119">
        <v>2543100</v>
      </c>
      <c r="G1103" s="3070" t="s">
        <v>3501</v>
      </c>
      <c r="H1103" s="3070" t="s">
        <v>3230</v>
      </c>
      <c r="I1103" s="3070">
        <f t="shared" si="17"/>
        <v>30000</v>
      </c>
      <c r="J1103" s="3402"/>
      <c r="K1103" s="3402"/>
      <c r="L1103" s="3402"/>
      <c r="M1103" s="3402"/>
      <c r="N1103" s="3402"/>
    </row>
    <row r="1104" spans="1:14">
      <c r="A1104" s="3399"/>
      <c r="B1104" s="3071">
        <v>50</v>
      </c>
      <c r="C1104" s="3072">
        <v>-202</v>
      </c>
      <c r="D1104" s="3118" t="s">
        <v>4936</v>
      </c>
      <c r="E1104" s="3119">
        <v>84.71</v>
      </c>
      <c r="F1104" s="3119">
        <v>2541300</v>
      </c>
      <c r="G1104" s="3070" t="s">
        <v>3503</v>
      </c>
      <c r="H1104" s="3070" t="s">
        <v>3230</v>
      </c>
      <c r="I1104" s="3070">
        <f t="shared" si="17"/>
        <v>30000</v>
      </c>
      <c r="J1104" s="3402"/>
      <c r="K1104" s="3402"/>
      <c r="L1104" s="3402"/>
      <c r="M1104" s="3402"/>
      <c r="N1104" s="3402"/>
    </row>
    <row r="1105" spans="1:14">
      <c r="A1105" s="3399"/>
      <c r="B1105" s="3071">
        <v>50</v>
      </c>
      <c r="C1105" s="3071" t="s">
        <v>4937</v>
      </c>
      <c r="D1105" s="3118" t="s">
        <v>4938</v>
      </c>
      <c r="E1105" s="3071">
        <v>44.59</v>
      </c>
      <c r="F1105" s="3071">
        <v>420000</v>
      </c>
      <c r="G1105" s="3070" t="s">
        <v>3174</v>
      </c>
      <c r="H1105" s="3070" t="s">
        <v>3174</v>
      </c>
      <c r="I1105" s="3070">
        <f t="shared" si="17"/>
        <v>9419</v>
      </c>
      <c r="J1105" s="3402"/>
      <c r="K1105" s="3402"/>
      <c r="L1105" s="3402"/>
      <c r="M1105" s="3402"/>
      <c r="N1105" s="3402"/>
    </row>
    <row r="1106" spans="1:14">
      <c r="A1106" s="3400"/>
      <c r="B1106" s="3071">
        <v>50</v>
      </c>
      <c r="C1106" s="3071" t="s">
        <v>4939</v>
      </c>
      <c r="D1106" s="3118" t="s">
        <v>4940</v>
      </c>
      <c r="E1106" s="3071">
        <v>44.59</v>
      </c>
      <c r="F1106" s="3071">
        <v>420000</v>
      </c>
      <c r="G1106" s="3070" t="s">
        <v>3174</v>
      </c>
      <c r="H1106" s="3070" t="s">
        <v>3174</v>
      </c>
      <c r="I1106" s="3070">
        <f t="shared" si="17"/>
        <v>9419</v>
      </c>
      <c r="J1106" s="3402"/>
      <c r="K1106" s="3402"/>
      <c r="L1106" s="3402"/>
      <c r="M1106" s="3402"/>
      <c r="N1106" s="3402"/>
    </row>
    <row r="1107" spans="1:14" ht="24">
      <c r="A1107" s="3398">
        <v>222</v>
      </c>
      <c r="B1107" s="3071">
        <v>50</v>
      </c>
      <c r="C1107" s="3072" t="s">
        <v>3524</v>
      </c>
      <c r="D1107" s="3118" t="s">
        <v>4941</v>
      </c>
      <c r="E1107" s="3119">
        <v>133.81</v>
      </c>
      <c r="F1107" s="3119">
        <v>7501388</v>
      </c>
      <c r="G1107" s="3070" t="s">
        <v>3173</v>
      </c>
      <c r="H1107" s="3070" t="s">
        <v>3058</v>
      </c>
      <c r="I1107" s="3070">
        <f t="shared" si="17"/>
        <v>56060</v>
      </c>
      <c r="J1107" s="3402"/>
      <c r="K1107" s="3402"/>
      <c r="L1107" s="3402"/>
      <c r="M1107" s="3402"/>
      <c r="N1107" s="3402"/>
    </row>
    <row r="1108" spans="1:14" ht="24">
      <c r="A1108" s="3399"/>
      <c r="B1108" s="3071">
        <v>50</v>
      </c>
      <c r="C1108" s="3072" t="s">
        <v>3526</v>
      </c>
      <c r="D1108" s="3118" t="s">
        <v>4942</v>
      </c>
      <c r="E1108" s="3119">
        <v>84.18</v>
      </c>
      <c r="F1108" s="3119">
        <v>2525400</v>
      </c>
      <c r="G1108" s="3070" t="s">
        <v>3501</v>
      </c>
      <c r="H1108" s="3070" t="s">
        <v>3230</v>
      </c>
      <c r="I1108" s="3070">
        <f t="shared" si="17"/>
        <v>30000</v>
      </c>
      <c r="J1108" s="3402"/>
      <c r="K1108" s="3402"/>
      <c r="L1108" s="3402"/>
      <c r="M1108" s="3402"/>
      <c r="N1108" s="3402"/>
    </row>
    <row r="1109" spans="1:14">
      <c r="A1109" s="3399"/>
      <c r="B1109" s="3071">
        <v>50</v>
      </c>
      <c r="C1109" s="3072">
        <v>-203</v>
      </c>
      <c r="D1109" s="3118" t="s">
        <v>4943</v>
      </c>
      <c r="E1109" s="3119">
        <v>84.03</v>
      </c>
      <c r="F1109" s="3119">
        <v>2520900</v>
      </c>
      <c r="G1109" s="3070" t="s">
        <v>3503</v>
      </c>
      <c r="H1109" s="3070" t="s">
        <v>3230</v>
      </c>
      <c r="I1109" s="3070">
        <f t="shared" si="17"/>
        <v>30000</v>
      </c>
      <c r="J1109" s="3402"/>
      <c r="K1109" s="3402"/>
      <c r="L1109" s="3402"/>
      <c r="M1109" s="3402"/>
      <c r="N1109" s="3402"/>
    </row>
    <row r="1110" spans="1:14">
      <c r="A1110" s="3399"/>
      <c r="B1110" s="3071">
        <v>50</v>
      </c>
      <c r="C1110" s="3071" t="s">
        <v>3217</v>
      </c>
      <c r="D1110" s="3118" t="s">
        <v>4944</v>
      </c>
      <c r="E1110" s="3071">
        <v>44.59</v>
      </c>
      <c r="F1110" s="3071">
        <v>420000</v>
      </c>
      <c r="G1110" s="3070" t="s">
        <v>3174</v>
      </c>
      <c r="H1110" s="3070" t="s">
        <v>3174</v>
      </c>
      <c r="I1110" s="3070">
        <f t="shared" ref="I1110:I1173" si="18">ROUND(F1110/E1110,0)</f>
        <v>9419</v>
      </c>
      <c r="J1110" s="3402"/>
      <c r="K1110" s="3402"/>
      <c r="L1110" s="3402"/>
      <c r="M1110" s="3402"/>
      <c r="N1110" s="3402"/>
    </row>
    <row r="1111" spans="1:14">
      <c r="A1111" s="3400"/>
      <c r="B1111" s="3071">
        <v>50</v>
      </c>
      <c r="C1111" s="3071" t="s">
        <v>3218</v>
      </c>
      <c r="D1111" s="3118" t="s">
        <v>4945</v>
      </c>
      <c r="E1111" s="3071">
        <v>44.59</v>
      </c>
      <c r="F1111" s="3071">
        <v>420000</v>
      </c>
      <c r="G1111" s="3070" t="s">
        <v>3174</v>
      </c>
      <c r="H1111" s="3070" t="s">
        <v>3174</v>
      </c>
      <c r="I1111" s="3070">
        <f t="shared" si="18"/>
        <v>9419</v>
      </c>
      <c r="J1111" s="3402"/>
      <c r="K1111" s="3402"/>
      <c r="L1111" s="3402"/>
      <c r="M1111" s="3402"/>
      <c r="N1111" s="3402"/>
    </row>
    <row r="1112" spans="1:14" ht="24">
      <c r="A1112" s="3398">
        <v>223</v>
      </c>
      <c r="B1112" s="3071">
        <v>50</v>
      </c>
      <c r="C1112" s="3072" t="s">
        <v>3533</v>
      </c>
      <c r="D1112" s="3118" t="s">
        <v>4946</v>
      </c>
      <c r="E1112" s="3119">
        <v>134</v>
      </c>
      <c r="F1112" s="3119">
        <v>7613478</v>
      </c>
      <c r="G1112" s="3070" t="s">
        <v>3173</v>
      </c>
      <c r="H1112" s="3070" t="s">
        <v>3058</v>
      </c>
      <c r="I1112" s="3070">
        <f t="shared" si="18"/>
        <v>56817</v>
      </c>
      <c r="J1112" s="3402"/>
      <c r="K1112" s="3402"/>
      <c r="L1112" s="3402"/>
      <c r="M1112" s="3402"/>
      <c r="N1112" s="3402"/>
    </row>
    <row r="1113" spans="1:14" ht="24">
      <c r="A1113" s="3399"/>
      <c r="B1113" s="3071">
        <v>50</v>
      </c>
      <c r="C1113" s="3072" t="s">
        <v>3535</v>
      </c>
      <c r="D1113" s="3118" t="s">
        <v>4947</v>
      </c>
      <c r="E1113" s="3119">
        <v>84.51</v>
      </c>
      <c r="F1113" s="3119">
        <v>2535300</v>
      </c>
      <c r="G1113" s="3070" t="s">
        <v>3501</v>
      </c>
      <c r="H1113" s="3070" t="s">
        <v>3230</v>
      </c>
      <c r="I1113" s="3070">
        <f t="shared" si="18"/>
        <v>30000</v>
      </c>
      <c r="J1113" s="3402"/>
      <c r="K1113" s="3402"/>
      <c r="L1113" s="3402"/>
      <c r="M1113" s="3402"/>
      <c r="N1113" s="3402"/>
    </row>
    <row r="1114" spans="1:14">
      <c r="A1114" s="3399"/>
      <c r="B1114" s="3071">
        <v>50</v>
      </c>
      <c r="C1114" s="3072">
        <v>-204</v>
      </c>
      <c r="D1114" s="3118" t="s">
        <v>4948</v>
      </c>
      <c r="E1114" s="3119">
        <v>84.03</v>
      </c>
      <c r="F1114" s="3119">
        <v>2520900</v>
      </c>
      <c r="G1114" s="3070" t="s">
        <v>3503</v>
      </c>
      <c r="H1114" s="3070" t="s">
        <v>3230</v>
      </c>
      <c r="I1114" s="3070">
        <f t="shared" si="18"/>
        <v>30000</v>
      </c>
      <c r="J1114" s="3402"/>
      <c r="K1114" s="3402"/>
      <c r="L1114" s="3402"/>
      <c r="M1114" s="3402"/>
      <c r="N1114" s="3402"/>
    </row>
    <row r="1115" spans="1:14">
      <c r="A1115" s="3399"/>
      <c r="B1115" s="3071">
        <v>50</v>
      </c>
      <c r="C1115" s="3071" t="s">
        <v>4949</v>
      </c>
      <c r="D1115" s="3118" t="s">
        <v>4950</v>
      </c>
      <c r="E1115" s="3071">
        <v>44.59</v>
      </c>
      <c r="F1115" s="3071">
        <v>420000</v>
      </c>
      <c r="G1115" s="3070" t="s">
        <v>3174</v>
      </c>
      <c r="H1115" s="3070" t="s">
        <v>3174</v>
      </c>
      <c r="I1115" s="3070">
        <f t="shared" si="18"/>
        <v>9419</v>
      </c>
      <c r="J1115" s="3402"/>
      <c r="K1115" s="3402"/>
      <c r="L1115" s="3402"/>
      <c r="M1115" s="3402"/>
      <c r="N1115" s="3402"/>
    </row>
    <row r="1116" spans="1:14">
      <c r="A1116" s="3400"/>
      <c r="B1116" s="3071">
        <v>50</v>
      </c>
      <c r="C1116" s="3071" t="s">
        <v>4951</v>
      </c>
      <c r="D1116" s="3118" t="s">
        <v>4952</v>
      </c>
      <c r="E1116" s="3071">
        <v>44.59</v>
      </c>
      <c r="F1116" s="3071">
        <v>420000</v>
      </c>
      <c r="G1116" s="3070" t="s">
        <v>3174</v>
      </c>
      <c r="H1116" s="3070" t="s">
        <v>3174</v>
      </c>
      <c r="I1116" s="3070">
        <f t="shared" si="18"/>
        <v>9419</v>
      </c>
      <c r="J1116" s="3402"/>
      <c r="K1116" s="3402"/>
      <c r="L1116" s="3402"/>
      <c r="M1116" s="3402"/>
      <c r="N1116" s="3402"/>
    </row>
    <row r="1117" spans="1:14" ht="24">
      <c r="A1117" s="3398">
        <v>224</v>
      </c>
      <c r="B1117" s="3071">
        <v>50</v>
      </c>
      <c r="C1117" s="3072" t="s">
        <v>3542</v>
      </c>
      <c r="D1117" s="3118" t="s">
        <v>4953</v>
      </c>
      <c r="E1117" s="3119">
        <v>134</v>
      </c>
      <c r="F1117" s="3119">
        <v>8513422</v>
      </c>
      <c r="G1117" s="3070" t="s">
        <v>3173</v>
      </c>
      <c r="H1117" s="3070" t="s">
        <v>3058</v>
      </c>
      <c r="I1117" s="3070">
        <f t="shared" si="18"/>
        <v>63533</v>
      </c>
      <c r="J1117" s="3402"/>
      <c r="K1117" s="3402"/>
      <c r="L1117" s="3402"/>
      <c r="M1117" s="3402"/>
      <c r="N1117" s="3402"/>
    </row>
    <row r="1118" spans="1:14" ht="24">
      <c r="A1118" s="3399"/>
      <c r="B1118" s="3071">
        <v>50</v>
      </c>
      <c r="C1118" s="3072" t="s">
        <v>3544</v>
      </c>
      <c r="D1118" s="3118" t="s">
        <v>4954</v>
      </c>
      <c r="E1118" s="3119">
        <v>84.36</v>
      </c>
      <c r="F1118" s="3119">
        <v>2530800</v>
      </c>
      <c r="G1118" s="3070" t="s">
        <v>3501</v>
      </c>
      <c r="H1118" s="3070" t="s">
        <v>3230</v>
      </c>
      <c r="I1118" s="3070">
        <f t="shared" si="18"/>
        <v>30000</v>
      </c>
      <c r="J1118" s="3402"/>
      <c r="K1118" s="3402"/>
      <c r="L1118" s="3402"/>
      <c r="M1118" s="3402"/>
      <c r="N1118" s="3402"/>
    </row>
    <row r="1119" spans="1:14">
      <c r="A1119" s="3399"/>
      <c r="B1119" s="3071">
        <v>50</v>
      </c>
      <c r="C1119" s="3072">
        <v>-205</v>
      </c>
      <c r="D1119" s="3118" t="s">
        <v>4955</v>
      </c>
      <c r="E1119" s="3119">
        <v>83.31</v>
      </c>
      <c r="F1119" s="3119">
        <v>2499300</v>
      </c>
      <c r="G1119" s="3070" t="s">
        <v>3503</v>
      </c>
      <c r="H1119" s="3070" t="s">
        <v>3230</v>
      </c>
      <c r="I1119" s="3070">
        <f t="shared" si="18"/>
        <v>30000</v>
      </c>
      <c r="J1119" s="3402"/>
      <c r="K1119" s="3402"/>
      <c r="L1119" s="3402"/>
      <c r="M1119" s="3402"/>
      <c r="N1119" s="3402"/>
    </row>
    <row r="1120" spans="1:14">
      <c r="A1120" s="3399"/>
      <c r="B1120" s="3071">
        <v>50</v>
      </c>
      <c r="C1120" s="3071" t="s">
        <v>4956</v>
      </c>
      <c r="D1120" s="3118" t="s">
        <v>4957</v>
      </c>
      <c r="E1120" s="3071">
        <v>44.59</v>
      </c>
      <c r="F1120" s="3071">
        <v>420000</v>
      </c>
      <c r="G1120" s="3070" t="s">
        <v>3174</v>
      </c>
      <c r="H1120" s="3070" t="s">
        <v>3174</v>
      </c>
      <c r="I1120" s="3070">
        <f t="shared" si="18"/>
        <v>9419</v>
      </c>
      <c r="J1120" s="3402"/>
      <c r="K1120" s="3402"/>
      <c r="L1120" s="3402"/>
      <c r="M1120" s="3402"/>
      <c r="N1120" s="3402"/>
    </row>
    <row r="1121" spans="1:14">
      <c r="A1121" s="3400"/>
      <c r="B1121" s="3071">
        <v>50</v>
      </c>
      <c r="C1121" s="3071" t="s">
        <v>4958</v>
      </c>
      <c r="D1121" s="3118" t="s">
        <v>4959</v>
      </c>
      <c r="E1121" s="3071">
        <v>44.59</v>
      </c>
      <c r="F1121" s="3071">
        <v>420000</v>
      </c>
      <c r="G1121" s="3070" t="s">
        <v>3174</v>
      </c>
      <c r="H1121" s="3070" t="s">
        <v>3174</v>
      </c>
      <c r="I1121" s="3070">
        <f t="shared" si="18"/>
        <v>9419</v>
      </c>
      <c r="J1121" s="3402"/>
      <c r="K1121" s="3402"/>
      <c r="L1121" s="3402"/>
      <c r="M1121" s="3402"/>
      <c r="N1121" s="3402"/>
    </row>
    <row r="1122" spans="1:14" ht="24">
      <c r="A1122" s="3398">
        <v>225</v>
      </c>
      <c r="B1122" s="3071">
        <v>50</v>
      </c>
      <c r="C1122" s="3072" t="s">
        <v>3551</v>
      </c>
      <c r="D1122" s="3118" t="s">
        <v>4960</v>
      </c>
      <c r="E1122" s="3119">
        <v>133.81</v>
      </c>
      <c r="F1122" s="3119">
        <v>8501350</v>
      </c>
      <c r="G1122" s="3070" t="s">
        <v>3173</v>
      </c>
      <c r="H1122" s="3070" t="s">
        <v>3058</v>
      </c>
      <c r="I1122" s="3070">
        <f t="shared" si="18"/>
        <v>63533</v>
      </c>
      <c r="J1122" s="3402"/>
      <c r="K1122" s="3402"/>
      <c r="L1122" s="3402"/>
      <c r="M1122" s="3402"/>
      <c r="N1122" s="3402"/>
    </row>
    <row r="1123" spans="1:14" ht="24">
      <c r="A1123" s="3399"/>
      <c r="B1123" s="3071">
        <v>50</v>
      </c>
      <c r="C1123" s="3072" t="s">
        <v>3553</v>
      </c>
      <c r="D1123" s="3118" t="s">
        <v>4961</v>
      </c>
      <c r="E1123" s="3119">
        <v>84.18</v>
      </c>
      <c r="F1123" s="3119">
        <v>2525400</v>
      </c>
      <c r="G1123" s="3070" t="s">
        <v>3501</v>
      </c>
      <c r="H1123" s="3070" t="s">
        <v>3230</v>
      </c>
      <c r="I1123" s="3070">
        <f t="shared" si="18"/>
        <v>30000</v>
      </c>
      <c r="J1123" s="3402"/>
      <c r="K1123" s="3402"/>
      <c r="L1123" s="3402"/>
      <c r="M1123" s="3402"/>
      <c r="N1123" s="3402"/>
    </row>
    <row r="1124" spans="1:14">
      <c r="A1124" s="3399"/>
      <c r="B1124" s="3071">
        <v>50</v>
      </c>
      <c r="C1124" s="3072">
        <v>-206</v>
      </c>
      <c r="D1124" s="3118" t="s">
        <v>4962</v>
      </c>
      <c r="E1124" s="3119">
        <v>84.03</v>
      </c>
      <c r="F1124" s="3119">
        <v>2520900</v>
      </c>
      <c r="G1124" s="3070" t="s">
        <v>3503</v>
      </c>
      <c r="H1124" s="3070" t="s">
        <v>3230</v>
      </c>
      <c r="I1124" s="3070">
        <f t="shared" si="18"/>
        <v>30000</v>
      </c>
      <c r="J1124" s="3402"/>
      <c r="K1124" s="3402"/>
      <c r="L1124" s="3402"/>
      <c r="M1124" s="3402"/>
      <c r="N1124" s="3402"/>
    </row>
    <row r="1125" spans="1:14">
      <c r="A1125" s="3399"/>
      <c r="B1125" s="3071">
        <v>50</v>
      </c>
      <c r="C1125" s="3071" t="s">
        <v>4963</v>
      </c>
      <c r="D1125" s="3118" t="s">
        <v>4964</v>
      </c>
      <c r="E1125" s="3071">
        <v>44.59</v>
      </c>
      <c r="F1125" s="3071">
        <v>420000</v>
      </c>
      <c r="G1125" s="3070" t="s">
        <v>3174</v>
      </c>
      <c r="H1125" s="3070" t="s">
        <v>3174</v>
      </c>
      <c r="I1125" s="3070">
        <f t="shared" si="18"/>
        <v>9419</v>
      </c>
      <c r="J1125" s="3402"/>
      <c r="K1125" s="3402"/>
      <c r="L1125" s="3402"/>
      <c r="M1125" s="3402"/>
      <c r="N1125" s="3402"/>
    </row>
    <row r="1126" spans="1:14">
      <c r="A1126" s="3400"/>
      <c r="B1126" s="3071">
        <v>50</v>
      </c>
      <c r="C1126" s="3071" t="s">
        <v>4965</v>
      </c>
      <c r="D1126" s="3118" t="s">
        <v>4966</v>
      </c>
      <c r="E1126" s="3071">
        <v>44.59</v>
      </c>
      <c r="F1126" s="3071">
        <v>420000</v>
      </c>
      <c r="G1126" s="3070" t="s">
        <v>3174</v>
      </c>
      <c r="H1126" s="3070" t="s">
        <v>3174</v>
      </c>
      <c r="I1126" s="3070">
        <f t="shared" si="18"/>
        <v>9419</v>
      </c>
      <c r="J1126" s="3402"/>
      <c r="K1126" s="3402"/>
      <c r="L1126" s="3402"/>
      <c r="M1126" s="3402"/>
      <c r="N1126" s="3402"/>
    </row>
    <row r="1127" spans="1:14" ht="24">
      <c r="A1127" s="3398">
        <v>226</v>
      </c>
      <c r="B1127" s="3071">
        <v>50</v>
      </c>
      <c r="C1127" s="3072" t="s">
        <v>3560</v>
      </c>
      <c r="D1127" s="3118" t="s">
        <v>4967</v>
      </c>
      <c r="E1127" s="3119">
        <v>134</v>
      </c>
      <c r="F1127" s="3119">
        <v>7713442</v>
      </c>
      <c r="G1127" s="3070" t="s">
        <v>3173</v>
      </c>
      <c r="H1127" s="3070" t="s">
        <v>3058</v>
      </c>
      <c r="I1127" s="3070">
        <f t="shared" si="18"/>
        <v>57563</v>
      </c>
      <c r="J1127" s="3402"/>
      <c r="K1127" s="3402"/>
      <c r="L1127" s="3402"/>
      <c r="M1127" s="3402"/>
      <c r="N1127" s="3402"/>
    </row>
    <row r="1128" spans="1:14" ht="24">
      <c r="A1128" s="3399"/>
      <c r="B1128" s="3071">
        <v>50</v>
      </c>
      <c r="C1128" s="3072" t="s">
        <v>3562</v>
      </c>
      <c r="D1128" s="3118" t="s">
        <v>4968</v>
      </c>
      <c r="E1128" s="3119">
        <v>84.51</v>
      </c>
      <c r="F1128" s="3119">
        <v>2535300</v>
      </c>
      <c r="G1128" s="3070" t="s">
        <v>3501</v>
      </c>
      <c r="H1128" s="3070" t="s">
        <v>3230</v>
      </c>
      <c r="I1128" s="3070">
        <f t="shared" si="18"/>
        <v>30000</v>
      </c>
      <c r="J1128" s="3402"/>
      <c r="K1128" s="3402"/>
      <c r="L1128" s="3402"/>
      <c r="M1128" s="3402"/>
      <c r="N1128" s="3402"/>
    </row>
    <row r="1129" spans="1:14">
      <c r="A1129" s="3399"/>
      <c r="B1129" s="3071">
        <v>50</v>
      </c>
      <c r="C1129" s="3072">
        <v>-207</v>
      </c>
      <c r="D1129" s="3118" t="s">
        <v>4969</v>
      </c>
      <c r="E1129" s="3119">
        <v>84.03</v>
      </c>
      <c r="F1129" s="3119">
        <v>2520900</v>
      </c>
      <c r="G1129" s="3070" t="s">
        <v>3503</v>
      </c>
      <c r="H1129" s="3070" t="s">
        <v>3230</v>
      </c>
      <c r="I1129" s="3070">
        <f t="shared" si="18"/>
        <v>30000</v>
      </c>
      <c r="J1129" s="3402"/>
      <c r="K1129" s="3402"/>
      <c r="L1129" s="3402"/>
      <c r="M1129" s="3402"/>
      <c r="N1129" s="3402"/>
    </row>
    <row r="1130" spans="1:14">
      <c r="A1130" s="3399"/>
      <c r="B1130" s="3071">
        <v>50</v>
      </c>
      <c r="C1130" s="3071" t="s">
        <v>4970</v>
      </c>
      <c r="D1130" s="3118" t="s">
        <v>4971</v>
      </c>
      <c r="E1130" s="3071">
        <v>44.59</v>
      </c>
      <c r="F1130" s="3071">
        <v>420000</v>
      </c>
      <c r="G1130" s="3070" t="s">
        <v>3174</v>
      </c>
      <c r="H1130" s="3070" t="s">
        <v>3174</v>
      </c>
      <c r="I1130" s="3070">
        <f t="shared" si="18"/>
        <v>9419</v>
      </c>
      <c r="J1130" s="3402"/>
      <c r="K1130" s="3402"/>
      <c r="L1130" s="3402"/>
      <c r="M1130" s="3402"/>
      <c r="N1130" s="3402"/>
    </row>
    <row r="1131" spans="1:14">
      <c r="A1131" s="3400"/>
      <c r="B1131" s="3071">
        <v>50</v>
      </c>
      <c r="C1131" s="3071" t="s">
        <v>4972</v>
      </c>
      <c r="D1131" s="3118" t="s">
        <v>4973</v>
      </c>
      <c r="E1131" s="3071">
        <v>44.59</v>
      </c>
      <c r="F1131" s="3071">
        <v>420000</v>
      </c>
      <c r="G1131" s="3070" t="s">
        <v>3174</v>
      </c>
      <c r="H1131" s="3070" t="s">
        <v>3174</v>
      </c>
      <c r="I1131" s="3070">
        <f t="shared" si="18"/>
        <v>9419</v>
      </c>
      <c r="J1131" s="3403"/>
      <c r="K1131" s="3403"/>
      <c r="L1131" s="3403"/>
      <c r="M1131" s="3403"/>
      <c r="N1131" s="3403"/>
    </row>
    <row r="1132" spans="1:14" ht="24">
      <c r="A1132" s="3398">
        <v>227</v>
      </c>
      <c r="B1132" s="3071">
        <v>51</v>
      </c>
      <c r="C1132" s="3072" t="s">
        <v>3508</v>
      </c>
      <c r="D1132" s="3118" t="s">
        <v>4974</v>
      </c>
      <c r="E1132" s="3119">
        <v>133.54</v>
      </c>
      <c r="F1132" s="3119">
        <v>8484196</v>
      </c>
      <c r="G1132" s="3070" t="s">
        <v>3173</v>
      </c>
      <c r="H1132" s="3070" t="s">
        <v>3058</v>
      </c>
      <c r="I1132" s="3070">
        <f t="shared" si="18"/>
        <v>63533</v>
      </c>
      <c r="J1132" s="3401">
        <v>8</v>
      </c>
      <c r="K1132" s="3401">
        <v>8</v>
      </c>
      <c r="L1132" s="3401">
        <f>E1132+E1137+E1142+E1147+E1152+E1157+E1162+E1167</f>
        <v>1068.6999999999998</v>
      </c>
      <c r="M1132" s="3401">
        <f>E1133+E1134+E1138+E1139+E1143+E1144+E1148+E1149+E1153+E1154+E1158+E1159+E1163+E1164+E1168+E1169</f>
        <v>1468.2</v>
      </c>
      <c r="N1132" s="3401">
        <f>L1132+M1132</f>
        <v>2536.8999999999996</v>
      </c>
    </row>
    <row r="1133" spans="1:14" ht="24">
      <c r="A1133" s="3399"/>
      <c r="B1133" s="3071">
        <v>51</v>
      </c>
      <c r="C1133" s="3072" t="s">
        <v>3510</v>
      </c>
      <c r="D1133" s="3118" t="s">
        <v>4975</v>
      </c>
      <c r="E1133" s="3119">
        <v>83.83</v>
      </c>
      <c r="F1133" s="3119">
        <v>2514900</v>
      </c>
      <c r="G1133" s="3070" t="s">
        <v>3501</v>
      </c>
      <c r="H1133" s="3070" t="s">
        <v>3230</v>
      </c>
      <c r="I1133" s="3070">
        <f t="shared" si="18"/>
        <v>30000</v>
      </c>
      <c r="J1133" s="3402"/>
      <c r="K1133" s="3402"/>
      <c r="L1133" s="3402"/>
      <c r="M1133" s="3402"/>
      <c r="N1133" s="3402"/>
    </row>
    <row r="1134" spans="1:14">
      <c r="A1134" s="3399"/>
      <c r="B1134" s="3071">
        <v>51</v>
      </c>
      <c r="C1134" s="3072">
        <v>-201</v>
      </c>
      <c r="D1134" s="3118" t="s">
        <v>4976</v>
      </c>
      <c r="E1134" s="3119">
        <v>98.88</v>
      </c>
      <c r="F1134" s="3119">
        <v>2966400</v>
      </c>
      <c r="G1134" s="3070" t="s">
        <v>3503</v>
      </c>
      <c r="H1134" s="3070" t="s">
        <v>3230</v>
      </c>
      <c r="I1134" s="3070">
        <f t="shared" si="18"/>
        <v>30000</v>
      </c>
      <c r="J1134" s="3402"/>
      <c r="K1134" s="3402"/>
      <c r="L1134" s="3402"/>
      <c r="M1134" s="3402"/>
      <c r="N1134" s="3402"/>
    </row>
    <row r="1135" spans="1:14">
      <c r="A1135" s="3399"/>
      <c r="B1135" s="3071">
        <v>51</v>
      </c>
      <c r="C1135" s="3071" t="s">
        <v>3910</v>
      </c>
      <c r="D1135" s="3118" t="s">
        <v>4977</v>
      </c>
      <c r="E1135" s="3071"/>
      <c r="F1135" s="3071"/>
      <c r="G1135" s="3070" t="s">
        <v>3912</v>
      </c>
      <c r="H1135" s="3070" t="s">
        <v>3174</v>
      </c>
      <c r="I1135" s="3070" t="e">
        <f t="shared" si="18"/>
        <v>#DIV/0!</v>
      </c>
      <c r="J1135" s="3402"/>
      <c r="K1135" s="3402"/>
      <c r="L1135" s="3402"/>
      <c r="M1135" s="3402"/>
      <c r="N1135" s="3402"/>
    </row>
    <row r="1136" spans="1:14">
      <c r="A1136" s="3400"/>
      <c r="B1136" s="3071">
        <v>51</v>
      </c>
      <c r="C1136" s="3071" t="s">
        <v>3910</v>
      </c>
      <c r="D1136" s="3118" t="s">
        <v>4977</v>
      </c>
      <c r="E1136" s="3071"/>
      <c r="F1136" s="3071"/>
      <c r="G1136" s="3070" t="s">
        <v>3912</v>
      </c>
      <c r="H1136" s="3070" t="s">
        <v>3174</v>
      </c>
      <c r="I1136" s="3070" t="e">
        <f t="shared" si="18"/>
        <v>#DIV/0!</v>
      </c>
      <c r="J1136" s="3402"/>
      <c r="K1136" s="3402"/>
      <c r="L1136" s="3402"/>
      <c r="M1136" s="3402"/>
      <c r="N1136" s="3402"/>
    </row>
    <row r="1137" spans="1:14" ht="24">
      <c r="A1137" s="3398">
        <v>228</v>
      </c>
      <c r="B1137" s="3071">
        <v>51</v>
      </c>
      <c r="C1137" s="3072" t="s">
        <v>3497</v>
      </c>
      <c r="D1137" s="3118" t="s">
        <v>4978</v>
      </c>
      <c r="E1137" s="3119">
        <v>133.54</v>
      </c>
      <c r="F1137" s="3119">
        <v>7734236</v>
      </c>
      <c r="G1137" s="3070" t="s">
        <v>3173</v>
      </c>
      <c r="H1137" s="3070" t="s">
        <v>3058</v>
      </c>
      <c r="I1137" s="3070">
        <f t="shared" si="18"/>
        <v>57917</v>
      </c>
      <c r="J1137" s="3402"/>
      <c r="K1137" s="3402"/>
      <c r="L1137" s="3402"/>
      <c r="M1137" s="3402"/>
      <c r="N1137" s="3402"/>
    </row>
    <row r="1138" spans="1:14" ht="24">
      <c r="A1138" s="3399"/>
      <c r="B1138" s="3071">
        <v>51</v>
      </c>
      <c r="C1138" s="3072" t="s">
        <v>3499</v>
      </c>
      <c r="D1138" s="3118" t="s">
        <v>4979</v>
      </c>
      <c r="E1138" s="3119">
        <v>83.98</v>
      </c>
      <c r="F1138" s="3119">
        <v>2519400</v>
      </c>
      <c r="G1138" s="3070" t="s">
        <v>3501</v>
      </c>
      <c r="H1138" s="3070" t="s">
        <v>3230</v>
      </c>
      <c r="I1138" s="3070">
        <f t="shared" si="18"/>
        <v>30000</v>
      </c>
      <c r="J1138" s="3402"/>
      <c r="K1138" s="3402"/>
      <c r="L1138" s="3402"/>
      <c r="M1138" s="3402"/>
      <c r="N1138" s="3402"/>
    </row>
    <row r="1139" spans="1:14">
      <c r="A1139" s="3399"/>
      <c r="B1139" s="3071">
        <v>51</v>
      </c>
      <c r="C1139" s="3072">
        <v>-202</v>
      </c>
      <c r="D1139" s="3118" t="s">
        <v>4980</v>
      </c>
      <c r="E1139" s="3119">
        <v>99.73</v>
      </c>
      <c r="F1139" s="3119">
        <v>2991900</v>
      </c>
      <c r="G1139" s="3070" t="s">
        <v>3503</v>
      </c>
      <c r="H1139" s="3070" t="s">
        <v>3230</v>
      </c>
      <c r="I1139" s="3070">
        <f t="shared" si="18"/>
        <v>30000</v>
      </c>
      <c r="J1139" s="3402"/>
      <c r="K1139" s="3402"/>
      <c r="L1139" s="3402"/>
      <c r="M1139" s="3402"/>
      <c r="N1139" s="3402"/>
    </row>
    <row r="1140" spans="1:14">
      <c r="A1140" s="3399"/>
      <c r="B1140" s="3071">
        <v>51</v>
      </c>
      <c r="C1140" s="3071" t="s">
        <v>3910</v>
      </c>
      <c r="D1140" s="3118" t="s">
        <v>4977</v>
      </c>
      <c r="E1140" s="3071"/>
      <c r="F1140" s="3071"/>
      <c r="G1140" s="3070" t="s">
        <v>3912</v>
      </c>
      <c r="H1140" s="3070" t="s">
        <v>3174</v>
      </c>
      <c r="I1140" s="3070" t="e">
        <f t="shared" si="18"/>
        <v>#DIV/0!</v>
      </c>
      <c r="J1140" s="3402"/>
      <c r="K1140" s="3402"/>
      <c r="L1140" s="3402"/>
      <c r="M1140" s="3402"/>
      <c r="N1140" s="3402"/>
    </row>
    <row r="1141" spans="1:14">
      <c r="A1141" s="3400"/>
      <c r="B1141" s="3071">
        <v>51</v>
      </c>
      <c r="C1141" s="3071" t="s">
        <v>3910</v>
      </c>
      <c r="D1141" s="3118" t="s">
        <v>4977</v>
      </c>
      <c r="E1141" s="3071"/>
      <c r="F1141" s="3071"/>
      <c r="G1141" s="3070" t="s">
        <v>3912</v>
      </c>
      <c r="H1141" s="3070" t="s">
        <v>3174</v>
      </c>
      <c r="I1141" s="3070" t="e">
        <f t="shared" si="18"/>
        <v>#DIV/0!</v>
      </c>
      <c r="J1141" s="3402"/>
      <c r="K1141" s="3402"/>
      <c r="L1141" s="3402"/>
      <c r="M1141" s="3402"/>
      <c r="N1141" s="3402"/>
    </row>
    <row r="1142" spans="1:14" ht="24">
      <c r="A1142" s="3398">
        <v>229</v>
      </c>
      <c r="B1142" s="3071">
        <v>51</v>
      </c>
      <c r="C1142" s="3072" t="s">
        <v>3524</v>
      </c>
      <c r="D1142" s="3118" t="s">
        <v>4981</v>
      </c>
      <c r="E1142" s="3119">
        <v>133.54</v>
      </c>
      <c r="F1142" s="3119">
        <v>7734236</v>
      </c>
      <c r="G1142" s="3070" t="s">
        <v>3173</v>
      </c>
      <c r="H1142" s="3070" t="s">
        <v>3058</v>
      </c>
      <c r="I1142" s="3070">
        <f t="shared" si="18"/>
        <v>57917</v>
      </c>
      <c r="J1142" s="3402"/>
      <c r="K1142" s="3402"/>
      <c r="L1142" s="3402"/>
      <c r="M1142" s="3402"/>
      <c r="N1142" s="3402"/>
    </row>
    <row r="1143" spans="1:14" ht="24">
      <c r="A1143" s="3399"/>
      <c r="B1143" s="3071">
        <v>51</v>
      </c>
      <c r="C1143" s="3072" t="s">
        <v>3526</v>
      </c>
      <c r="D1143" s="3118" t="s">
        <v>4982</v>
      </c>
      <c r="E1143" s="3119">
        <v>83.98</v>
      </c>
      <c r="F1143" s="3119">
        <v>2519400</v>
      </c>
      <c r="G1143" s="3070" t="s">
        <v>3501</v>
      </c>
      <c r="H1143" s="3070" t="s">
        <v>3230</v>
      </c>
      <c r="I1143" s="3070">
        <f t="shared" si="18"/>
        <v>30000</v>
      </c>
      <c r="J1143" s="3402"/>
      <c r="K1143" s="3402"/>
      <c r="L1143" s="3402"/>
      <c r="M1143" s="3402"/>
      <c r="N1143" s="3402"/>
    </row>
    <row r="1144" spans="1:14">
      <c r="A1144" s="3399"/>
      <c r="B1144" s="3071">
        <v>51</v>
      </c>
      <c r="C1144" s="3072">
        <v>-203</v>
      </c>
      <c r="D1144" s="3118" t="s">
        <v>4983</v>
      </c>
      <c r="E1144" s="3119">
        <v>99.73</v>
      </c>
      <c r="F1144" s="3119">
        <v>2991900</v>
      </c>
      <c r="G1144" s="3070" t="s">
        <v>3503</v>
      </c>
      <c r="H1144" s="3070" t="s">
        <v>3230</v>
      </c>
      <c r="I1144" s="3070">
        <f t="shared" si="18"/>
        <v>30000</v>
      </c>
      <c r="J1144" s="3402"/>
      <c r="K1144" s="3402"/>
      <c r="L1144" s="3402"/>
      <c r="M1144" s="3402"/>
      <c r="N1144" s="3402"/>
    </row>
    <row r="1145" spans="1:14">
      <c r="A1145" s="3399"/>
      <c r="B1145" s="3071">
        <v>51</v>
      </c>
      <c r="C1145" s="3071" t="s">
        <v>3910</v>
      </c>
      <c r="D1145" s="3118" t="s">
        <v>4977</v>
      </c>
      <c r="E1145" s="3071"/>
      <c r="F1145" s="3071"/>
      <c r="G1145" s="3070" t="s">
        <v>3912</v>
      </c>
      <c r="H1145" s="3070" t="s">
        <v>3174</v>
      </c>
      <c r="I1145" s="3070" t="e">
        <f t="shared" si="18"/>
        <v>#DIV/0!</v>
      </c>
      <c r="J1145" s="3402"/>
      <c r="K1145" s="3402"/>
      <c r="L1145" s="3402"/>
      <c r="M1145" s="3402"/>
      <c r="N1145" s="3402"/>
    </row>
    <row r="1146" spans="1:14">
      <c r="A1146" s="3400"/>
      <c r="B1146" s="3071">
        <v>51</v>
      </c>
      <c r="C1146" s="3071" t="s">
        <v>3910</v>
      </c>
      <c r="D1146" s="3118" t="s">
        <v>4977</v>
      </c>
      <c r="E1146" s="3071"/>
      <c r="F1146" s="3071"/>
      <c r="G1146" s="3070" t="s">
        <v>3912</v>
      </c>
      <c r="H1146" s="3070" t="s">
        <v>3174</v>
      </c>
      <c r="I1146" s="3070" t="e">
        <f t="shared" si="18"/>
        <v>#DIV/0!</v>
      </c>
      <c r="J1146" s="3402"/>
      <c r="K1146" s="3402"/>
      <c r="L1146" s="3402"/>
      <c r="M1146" s="3402"/>
      <c r="N1146" s="3402"/>
    </row>
    <row r="1147" spans="1:14" ht="24">
      <c r="A1147" s="3398">
        <v>230</v>
      </c>
      <c r="B1147" s="3071">
        <v>51</v>
      </c>
      <c r="C1147" s="3072" t="s">
        <v>3533</v>
      </c>
      <c r="D1147" s="3118" t="s">
        <v>4984</v>
      </c>
      <c r="E1147" s="3119">
        <v>133.72999999999999</v>
      </c>
      <c r="F1147" s="3119">
        <v>7846206</v>
      </c>
      <c r="G1147" s="3070" t="s">
        <v>3173</v>
      </c>
      <c r="H1147" s="3070" t="s">
        <v>3058</v>
      </c>
      <c r="I1147" s="3070">
        <f t="shared" si="18"/>
        <v>58672</v>
      </c>
      <c r="J1147" s="3402"/>
      <c r="K1147" s="3402"/>
      <c r="L1147" s="3402"/>
      <c r="M1147" s="3402"/>
      <c r="N1147" s="3402"/>
    </row>
    <row r="1148" spans="1:14" ht="24">
      <c r="A1148" s="3399"/>
      <c r="B1148" s="3071">
        <v>51</v>
      </c>
      <c r="C1148" s="3072" t="s">
        <v>3535</v>
      </c>
      <c r="D1148" s="3118" t="s">
        <v>4985</v>
      </c>
      <c r="E1148" s="3119">
        <v>84.24</v>
      </c>
      <c r="F1148" s="3119">
        <v>2527200</v>
      </c>
      <c r="G1148" s="3070" t="s">
        <v>3501</v>
      </c>
      <c r="H1148" s="3070" t="s">
        <v>3230</v>
      </c>
      <c r="I1148" s="3070">
        <f t="shared" si="18"/>
        <v>30000</v>
      </c>
      <c r="J1148" s="3402"/>
      <c r="K1148" s="3402"/>
      <c r="L1148" s="3402"/>
      <c r="M1148" s="3402"/>
      <c r="N1148" s="3402"/>
    </row>
    <row r="1149" spans="1:14">
      <c r="A1149" s="3399"/>
      <c r="B1149" s="3071">
        <v>51</v>
      </c>
      <c r="C1149" s="3072">
        <v>-204</v>
      </c>
      <c r="D1149" s="3118" t="s">
        <v>4986</v>
      </c>
      <c r="E1149" s="3119">
        <v>99.73</v>
      </c>
      <c r="F1149" s="3119">
        <v>2991900</v>
      </c>
      <c r="G1149" s="3070" t="s">
        <v>3503</v>
      </c>
      <c r="H1149" s="3070" t="s">
        <v>3230</v>
      </c>
      <c r="I1149" s="3070">
        <f t="shared" si="18"/>
        <v>30000</v>
      </c>
      <c r="J1149" s="3402"/>
      <c r="K1149" s="3402"/>
      <c r="L1149" s="3402"/>
      <c r="M1149" s="3402"/>
      <c r="N1149" s="3402"/>
    </row>
    <row r="1150" spans="1:14">
      <c r="A1150" s="3399"/>
      <c r="B1150" s="3071">
        <v>51</v>
      </c>
      <c r="C1150" s="3071" t="s">
        <v>3910</v>
      </c>
      <c r="D1150" s="3118" t="s">
        <v>4977</v>
      </c>
      <c r="E1150" s="3071"/>
      <c r="F1150" s="3071"/>
      <c r="G1150" s="3070" t="s">
        <v>3912</v>
      </c>
      <c r="H1150" s="3070" t="s">
        <v>3174</v>
      </c>
      <c r="I1150" s="3070" t="e">
        <f t="shared" si="18"/>
        <v>#DIV/0!</v>
      </c>
      <c r="J1150" s="3402"/>
      <c r="K1150" s="3402"/>
      <c r="L1150" s="3402"/>
      <c r="M1150" s="3402"/>
      <c r="N1150" s="3402"/>
    </row>
    <row r="1151" spans="1:14">
      <c r="A1151" s="3400"/>
      <c r="B1151" s="3071">
        <v>51</v>
      </c>
      <c r="C1151" s="3071" t="s">
        <v>3910</v>
      </c>
      <c r="D1151" s="3118" t="s">
        <v>4977</v>
      </c>
      <c r="E1151" s="3071"/>
      <c r="F1151" s="3071"/>
      <c r="G1151" s="3070" t="s">
        <v>3912</v>
      </c>
      <c r="H1151" s="3070" t="s">
        <v>3174</v>
      </c>
      <c r="I1151" s="3070" t="e">
        <f t="shared" si="18"/>
        <v>#DIV/0!</v>
      </c>
      <c r="J1151" s="3402"/>
      <c r="K1151" s="3402"/>
      <c r="L1151" s="3402"/>
      <c r="M1151" s="3402"/>
      <c r="N1151" s="3402"/>
    </row>
    <row r="1152" spans="1:14" ht="24">
      <c r="A1152" s="3398">
        <v>231</v>
      </c>
      <c r="B1152" s="3071">
        <v>51</v>
      </c>
      <c r="C1152" s="3072" t="s">
        <v>3542</v>
      </c>
      <c r="D1152" s="3118" t="s">
        <v>4987</v>
      </c>
      <c r="E1152" s="3119">
        <v>133.54</v>
      </c>
      <c r="F1152" s="3119">
        <v>8484196</v>
      </c>
      <c r="G1152" s="3070" t="s">
        <v>3173</v>
      </c>
      <c r="H1152" s="3070" t="s">
        <v>3058</v>
      </c>
      <c r="I1152" s="3070">
        <f t="shared" si="18"/>
        <v>63533</v>
      </c>
      <c r="J1152" s="3402"/>
      <c r="K1152" s="3402"/>
      <c r="L1152" s="3402"/>
      <c r="M1152" s="3402"/>
      <c r="N1152" s="3402"/>
    </row>
    <row r="1153" spans="1:14" ht="24">
      <c r="A1153" s="3399"/>
      <c r="B1153" s="3071">
        <v>51</v>
      </c>
      <c r="C1153" s="3072" t="s">
        <v>3544</v>
      </c>
      <c r="D1153" s="3118" t="s">
        <v>4988</v>
      </c>
      <c r="E1153" s="3119">
        <v>83.83</v>
      </c>
      <c r="F1153" s="3119">
        <v>2514900</v>
      </c>
      <c r="G1153" s="3070" t="s">
        <v>3501</v>
      </c>
      <c r="H1153" s="3070" t="s">
        <v>3230</v>
      </c>
      <c r="I1153" s="3070">
        <f t="shared" si="18"/>
        <v>30000</v>
      </c>
      <c r="J1153" s="3402"/>
      <c r="K1153" s="3402"/>
      <c r="L1153" s="3402"/>
      <c r="M1153" s="3402"/>
      <c r="N1153" s="3402"/>
    </row>
    <row r="1154" spans="1:14">
      <c r="A1154" s="3399"/>
      <c r="B1154" s="3071">
        <v>51</v>
      </c>
      <c r="C1154" s="3072">
        <v>-205</v>
      </c>
      <c r="D1154" s="3118" t="s">
        <v>4989</v>
      </c>
      <c r="E1154" s="3119">
        <v>98.88</v>
      </c>
      <c r="F1154" s="3119">
        <v>2966400</v>
      </c>
      <c r="G1154" s="3070" t="s">
        <v>3503</v>
      </c>
      <c r="H1154" s="3070" t="s">
        <v>3230</v>
      </c>
      <c r="I1154" s="3070">
        <f t="shared" si="18"/>
        <v>30000</v>
      </c>
      <c r="J1154" s="3402"/>
      <c r="K1154" s="3402"/>
      <c r="L1154" s="3402"/>
      <c r="M1154" s="3402"/>
      <c r="N1154" s="3402"/>
    </row>
    <row r="1155" spans="1:14">
      <c r="A1155" s="3399"/>
      <c r="B1155" s="3071">
        <v>51</v>
      </c>
      <c r="C1155" s="3071" t="s">
        <v>4990</v>
      </c>
      <c r="D1155" s="3118" t="s">
        <v>4991</v>
      </c>
      <c r="E1155" s="3071">
        <v>44.59</v>
      </c>
      <c r="F1155" s="3071">
        <v>420000</v>
      </c>
      <c r="G1155" s="3070" t="s">
        <v>3174</v>
      </c>
      <c r="H1155" s="3070" t="s">
        <v>3174</v>
      </c>
      <c r="I1155" s="3070">
        <f t="shared" si="18"/>
        <v>9419</v>
      </c>
      <c r="J1155" s="3402"/>
      <c r="K1155" s="3402"/>
      <c r="L1155" s="3402"/>
      <c r="M1155" s="3402"/>
      <c r="N1155" s="3402"/>
    </row>
    <row r="1156" spans="1:14">
      <c r="A1156" s="3400"/>
      <c r="B1156" s="3071">
        <v>51</v>
      </c>
      <c r="C1156" s="3071" t="s">
        <v>4992</v>
      </c>
      <c r="D1156" s="3118" t="s">
        <v>4993</v>
      </c>
      <c r="E1156" s="3071">
        <v>44.59</v>
      </c>
      <c r="F1156" s="3071">
        <v>420000</v>
      </c>
      <c r="G1156" s="3070" t="s">
        <v>3174</v>
      </c>
      <c r="H1156" s="3070" t="s">
        <v>3174</v>
      </c>
      <c r="I1156" s="3070">
        <f t="shared" si="18"/>
        <v>9419</v>
      </c>
      <c r="J1156" s="3402"/>
      <c r="K1156" s="3402"/>
      <c r="L1156" s="3402"/>
      <c r="M1156" s="3402"/>
      <c r="N1156" s="3402"/>
    </row>
    <row r="1157" spans="1:14" ht="24">
      <c r="A1157" s="3398">
        <v>232</v>
      </c>
      <c r="B1157" s="3071">
        <v>51</v>
      </c>
      <c r="C1157" s="3072" t="s">
        <v>3551</v>
      </c>
      <c r="D1157" s="3118" t="s">
        <v>4994</v>
      </c>
      <c r="E1157" s="3119">
        <v>133.54</v>
      </c>
      <c r="F1157" s="3119">
        <v>7584137</v>
      </c>
      <c r="G1157" s="3070" t="s">
        <v>3173</v>
      </c>
      <c r="H1157" s="3070" t="s">
        <v>3058</v>
      </c>
      <c r="I1157" s="3070">
        <f t="shared" si="18"/>
        <v>56793</v>
      </c>
      <c r="J1157" s="3402"/>
      <c r="K1157" s="3402"/>
      <c r="L1157" s="3402"/>
      <c r="M1157" s="3402"/>
      <c r="N1157" s="3402"/>
    </row>
    <row r="1158" spans="1:14" ht="24">
      <c r="A1158" s="3399"/>
      <c r="B1158" s="3071">
        <v>51</v>
      </c>
      <c r="C1158" s="3072" t="s">
        <v>3553</v>
      </c>
      <c r="D1158" s="3118" t="s">
        <v>4995</v>
      </c>
      <c r="E1158" s="3119">
        <v>83.98</v>
      </c>
      <c r="F1158" s="3119">
        <v>2519400</v>
      </c>
      <c r="G1158" s="3070" t="s">
        <v>3501</v>
      </c>
      <c r="H1158" s="3070" t="s">
        <v>3230</v>
      </c>
      <c r="I1158" s="3070">
        <f t="shared" si="18"/>
        <v>30000</v>
      </c>
      <c r="J1158" s="3402"/>
      <c r="K1158" s="3402"/>
      <c r="L1158" s="3402"/>
      <c r="M1158" s="3402"/>
      <c r="N1158" s="3402"/>
    </row>
    <row r="1159" spans="1:14">
      <c r="A1159" s="3399"/>
      <c r="B1159" s="3071">
        <v>51</v>
      </c>
      <c r="C1159" s="3072">
        <v>-206</v>
      </c>
      <c r="D1159" s="3118" t="s">
        <v>4996</v>
      </c>
      <c r="E1159" s="3119">
        <v>99.73</v>
      </c>
      <c r="F1159" s="3119">
        <v>2991900</v>
      </c>
      <c r="G1159" s="3070" t="s">
        <v>3503</v>
      </c>
      <c r="H1159" s="3070" t="s">
        <v>3230</v>
      </c>
      <c r="I1159" s="3070">
        <f t="shared" si="18"/>
        <v>30000</v>
      </c>
      <c r="J1159" s="3402"/>
      <c r="K1159" s="3402"/>
      <c r="L1159" s="3402"/>
      <c r="M1159" s="3402"/>
      <c r="N1159" s="3402"/>
    </row>
    <row r="1160" spans="1:14">
      <c r="A1160" s="3399"/>
      <c r="B1160" s="3071">
        <v>51</v>
      </c>
      <c r="C1160" s="3071" t="s">
        <v>4997</v>
      </c>
      <c r="D1160" s="3118" t="s">
        <v>4998</v>
      </c>
      <c r="E1160" s="3071">
        <v>44.59</v>
      </c>
      <c r="F1160" s="3071">
        <v>420000</v>
      </c>
      <c r="G1160" s="3070" t="s">
        <v>3174</v>
      </c>
      <c r="H1160" s="3070" t="s">
        <v>3174</v>
      </c>
      <c r="I1160" s="3070">
        <f t="shared" si="18"/>
        <v>9419</v>
      </c>
      <c r="J1160" s="3402"/>
      <c r="K1160" s="3402"/>
      <c r="L1160" s="3402"/>
      <c r="M1160" s="3402"/>
      <c r="N1160" s="3402"/>
    </row>
    <row r="1161" spans="1:14">
      <c r="A1161" s="3400"/>
      <c r="B1161" s="3071">
        <v>51</v>
      </c>
      <c r="C1161" s="3071" t="s">
        <v>4999</v>
      </c>
      <c r="D1161" s="3118" t="s">
        <v>5000</v>
      </c>
      <c r="E1161" s="3071">
        <v>44.59</v>
      </c>
      <c r="F1161" s="3071">
        <v>420000</v>
      </c>
      <c r="G1161" s="3070" t="s">
        <v>3174</v>
      </c>
      <c r="H1161" s="3070" t="s">
        <v>3174</v>
      </c>
      <c r="I1161" s="3070">
        <f t="shared" si="18"/>
        <v>9419</v>
      </c>
      <c r="J1161" s="3402"/>
      <c r="K1161" s="3402"/>
      <c r="L1161" s="3402"/>
      <c r="M1161" s="3402"/>
      <c r="N1161" s="3402"/>
    </row>
    <row r="1162" spans="1:14" ht="24">
      <c r="A1162" s="3398">
        <v>233</v>
      </c>
      <c r="B1162" s="3071">
        <v>51</v>
      </c>
      <c r="C1162" s="3072" t="s">
        <v>3560</v>
      </c>
      <c r="D1162" s="3118" t="s">
        <v>5001</v>
      </c>
      <c r="E1162" s="3119">
        <v>133.54</v>
      </c>
      <c r="F1162" s="3119">
        <v>7584137</v>
      </c>
      <c r="G1162" s="3070" t="s">
        <v>3173</v>
      </c>
      <c r="H1162" s="3070" t="s">
        <v>3058</v>
      </c>
      <c r="I1162" s="3070">
        <f t="shared" si="18"/>
        <v>56793</v>
      </c>
      <c r="J1162" s="3402"/>
      <c r="K1162" s="3402"/>
      <c r="L1162" s="3402"/>
      <c r="M1162" s="3402"/>
      <c r="N1162" s="3402"/>
    </row>
    <row r="1163" spans="1:14" ht="24">
      <c r="A1163" s="3399"/>
      <c r="B1163" s="3071">
        <v>51</v>
      </c>
      <c r="C1163" s="3072" t="s">
        <v>3562</v>
      </c>
      <c r="D1163" s="3118" t="s">
        <v>5002</v>
      </c>
      <c r="E1163" s="3119">
        <v>83.98</v>
      </c>
      <c r="F1163" s="3119">
        <v>2519400</v>
      </c>
      <c r="G1163" s="3070" t="s">
        <v>3501</v>
      </c>
      <c r="H1163" s="3070" t="s">
        <v>3230</v>
      </c>
      <c r="I1163" s="3070">
        <f t="shared" si="18"/>
        <v>30000</v>
      </c>
      <c r="J1163" s="3402"/>
      <c r="K1163" s="3402"/>
      <c r="L1163" s="3402"/>
      <c r="M1163" s="3402"/>
      <c r="N1163" s="3402"/>
    </row>
    <row r="1164" spans="1:14">
      <c r="A1164" s="3399"/>
      <c r="B1164" s="3071">
        <v>51</v>
      </c>
      <c r="C1164" s="3072">
        <v>-207</v>
      </c>
      <c r="D1164" s="3118" t="s">
        <v>5003</v>
      </c>
      <c r="E1164" s="3119">
        <v>99.73</v>
      </c>
      <c r="F1164" s="3119">
        <v>2991900</v>
      </c>
      <c r="G1164" s="3070" t="s">
        <v>3503</v>
      </c>
      <c r="H1164" s="3070" t="s">
        <v>3230</v>
      </c>
      <c r="I1164" s="3070">
        <f t="shared" si="18"/>
        <v>30000</v>
      </c>
      <c r="J1164" s="3402"/>
      <c r="K1164" s="3402"/>
      <c r="L1164" s="3402"/>
      <c r="M1164" s="3402"/>
      <c r="N1164" s="3402"/>
    </row>
    <row r="1165" spans="1:14">
      <c r="A1165" s="3399"/>
      <c r="B1165" s="3071">
        <v>51</v>
      </c>
      <c r="C1165" s="3071" t="s">
        <v>5004</v>
      </c>
      <c r="D1165" s="3118" t="s">
        <v>5005</v>
      </c>
      <c r="E1165" s="3071">
        <v>44.59</v>
      </c>
      <c r="F1165" s="3071">
        <v>420000</v>
      </c>
      <c r="G1165" s="3070" t="s">
        <v>3174</v>
      </c>
      <c r="H1165" s="3070" t="s">
        <v>3174</v>
      </c>
      <c r="I1165" s="3070">
        <f t="shared" si="18"/>
        <v>9419</v>
      </c>
      <c r="J1165" s="3402"/>
      <c r="K1165" s="3402"/>
      <c r="L1165" s="3402"/>
      <c r="M1165" s="3402"/>
      <c r="N1165" s="3402"/>
    </row>
    <row r="1166" spans="1:14">
      <c r="A1166" s="3400"/>
      <c r="B1166" s="3071">
        <v>51</v>
      </c>
      <c r="C1166" s="3071" t="s">
        <v>5006</v>
      </c>
      <c r="D1166" s="3118" t="s">
        <v>5007</v>
      </c>
      <c r="E1166" s="3071">
        <v>44.59</v>
      </c>
      <c r="F1166" s="3071">
        <v>420000</v>
      </c>
      <c r="G1166" s="3070" t="s">
        <v>3174</v>
      </c>
      <c r="H1166" s="3070" t="s">
        <v>3174</v>
      </c>
      <c r="I1166" s="3070">
        <f t="shared" si="18"/>
        <v>9419</v>
      </c>
      <c r="J1166" s="3402"/>
      <c r="K1166" s="3402"/>
      <c r="L1166" s="3402"/>
      <c r="M1166" s="3402"/>
      <c r="N1166" s="3402"/>
    </row>
    <row r="1167" spans="1:14" ht="24">
      <c r="A1167" s="3398">
        <v>234</v>
      </c>
      <c r="B1167" s="3071">
        <v>51</v>
      </c>
      <c r="C1167" s="3072" t="s">
        <v>3611</v>
      </c>
      <c r="D1167" s="3118" t="s">
        <v>5008</v>
      </c>
      <c r="E1167" s="3119">
        <v>133.72999999999999</v>
      </c>
      <c r="F1167" s="3119">
        <v>7696295</v>
      </c>
      <c r="G1167" s="3070" t="s">
        <v>3173</v>
      </c>
      <c r="H1167" s="3070" t="s">
        <v>3058</v>
      </c>
      <c r="I1167" s="3070">
        <f t="shared" si="18"/>
        <v>57551</v>
      </c>
      <c r="J1167" s="3402"/>
      <c r="K1167" s="3402"/>
      <c r="L1167" s="3402"/>
      <c r="M1167" s="3402"/>
      <c r="N1167" s="3402"/>
    </row>
    <row r="1168" spans="1:14" ht="24">
      <c r="A1168" s="3399"/>
      <c r="B1168" s="3071">
        <v>51</v>
      </c>
      <c r="C1168" s="3072" t="s">
        <v>3613</v>
      </c>
      <c r="D1168" s="3118" t="s">
        <v>5009</v>
      </c>
      <c r="E1168" s="3119">
        <v>84.24</v>
      </c>
      <c r="F1168" s="3119">
        <v>2527200</v>
      </c>
      <c r="G1168" s="3070" t="s">
        <v>3501</v>
      </c>
      <c r="H1168" s="3070" t="s">
        <v>3230</v>
      </c>
      <c r="I1168" s="3070">
        <f t="shared" si="18"/>
        <v>30000</v>
      </c>
      <c r="J1168" s="3402"/>
      <c r="K1168" s="3402"/>
      <c r="L1168" s="3402"/>
      <c r="M1168" s="3402"/>
      <c r="N1168" s="3402"/>
    </row>
    <row r="1169" spans="1:14">
      <c r="A1169" s="3399"/>
      <c r="B1169" s="3071">
        <v>51</v>
      </c>
      <c r="C1169" s="3072">
        <v>-208</v>
      </c>
      <c r="D1169" s="3118" t="s">
        <v>5010</v>
      </c>
      <c r="E1169" s="3119">
        <v>99.73</v>
      </c>
      <c r="F1169" s="3119">
        <v>2991900</v>
      </c>
      <c r="G1169" s="3070" t="s">
        <v>3503</v>
      </c>
      <c r="H1169" s="3070" t="s">
        <v>3230</v>
      </c>
      <c r="I1169" s="3070">
        <f t="shared" si="18"/>
        <v>30000</v>
      </c>
      <c r="J1169" s="3402"/>
      <c r="K1169" s="3402"/>
      <c r="L1169" s="3402"/>
      <c r="M1169" s="3402"/>
      <c r="N1169" s="3402"/>
    </row>
    <row r="1170" spans="1:14">
      <c r="A1170" s="3399"/>
      <c r="B1170" s="3071">
        <v>51</v>
      </c>
      <c r="C1170" s="3071" t="s">
        <v>3219</v>
      </c>
      <c r="D1170" s="3118" t="s">
        <v>5011</v>
      </c>
      <c r="E1170" s="3071">
        <v>44.59</v>
      </c>
      <c r="F1170" s="3071">
        <v>420000</v>
      </c>
      <c r="G1170" s="3070" t="s">
        <v>3174</v>
      </c>
      <c r="H1170" s="3070" t="s">
        <v>3174</v>
      </c>
      <c r="I1170" s="3070">
        <f t="shared" si="18"/>
        <v>9419</v>
      </c>
      <c r="J1170" s="3402"/>
      <c r="K1170" s="3402"/>
      <c r="L1170" s="3402"/>
      <c r="M1170" s="3402"/>
      <c r="N1170" s="3402"/>
    </row>
    <row r="1171" spans="1:14">
      <c r="A1171" s="3400"/>
      <c r="B1171" s="3071">
        <v>51</v>
      </c>
      <c r="C1171" s="3071" t="s">
        <v>3220</v>
      </c>
      <c r="D1171" s="3118" t="s">
        <v>5012</v>
      </c>
      <c r="E1171" s="3071">
        <v>44.59</v>
      </c>
      <c r="F1171" s="3071">
        <v>420000</v>
      </c>
      <c r="G1171" s="3070" t="s">
        <v>3174</v>
      </c>
      <c r="H1171" s="3070" t="s">
        <v>3174</v>
      </c>
      <c r="I1171" s="3070">
        <f t="shared" si="18"/>
        <v>9419</v>
      </c>
      <c r="J1171" s="3403"/>
      <c r="K1171" s="3403"/>
      <c r="L1171" s="3403"/>
      <c r="M1171" s="3403"/>
      <c r="N1171" s="3403"/>
    </row>
    <row r="1172" spans="1:14" ht="24">
      <c r="A1172" s="3398">
        <v>235</v>
      </c>
      <c r="B1172" s="3071">
        <v>52</v>
      </c>
      <c r="C1172" s="3072" t="s">
        <v>3508</v>
      </c>
      <c r="D1172" s="3118" t="s">
        <v>5013</v>
      </c>
      <c r="E1172" s="3119">
        <v>133.16</v>
      </c>
      <c r="F1172" s="3119">
        <v>8460054</v>
      </c>
      <c r="G1172" s="3070" t="s">
        <v>3173</v>
      </c>
      <c r="H1172" s="3070" t="s">
        <v>3058</v>
      </c>
      <c r="I1172" s="3070">
        <f t="shared" si="18"/>
        <v>63533</v>
      </c>
      <c r="J1172" s="3401">
        <v>8</v>
      </c>
      <c r="K1172" s="3401">
        <v>8</v>
      </c>
      <c r="L1172" s="3401">
        <f>E1172+E1177+E1182+E1187+E1192+E1197+E1202+E1207</f>
        <v>1065.6599999999999</v>
      </c>
      <c r="M1172" s="3401">
        <f>E1173+E1174+E1178+E1179+E1183+E1184+E1188+E1189+E1193+E1194+E1198+E1199+E1203+E1204+E1208+E1209</f>
        <v>1339.6000000000004</v>
      </c>
      <c r="N1172" s="3401">
        <f>L1172+M1172</f>
        <v>2405.2600000000002</v>
      </c>
    </row>
    <row r="1173" spans="1:14" ht="24">
      <c r="A1173" s="3399"/>
      <c r="B1173" s="3071">
        <v>52</v>
      </c>
      <c r="C1173" s="3072" t="s">
        <v>3510</v>
      </c>
      <c r="D1173" s="3118" t="s">
        <v>5014</v>
      </c>
      <c r="E1173" s="3119">
        <v>83.59</v>
      </c>
      <c r="F1173" s="3119">
        <v>2507700</v>
      </c>
      <c r="G1173" s="3070" t="s">
        <v>3501</v>
      </c>
      <c r="H1173" s="3070" t="s">
        <v>3230</v>
      </c>
      <c r="I1173" s="3070">
        <f t="shared" si="18"/>
        <v>30000</v>
      </c>
      <c r="J1173" s="3402"/>
      <c r="K1173" s="3402"/>
      <c r="L1173" s="3402"/>
      <c r="M1173" s="3402"/>
      <c r="N1173" s="3402"/>
    </row>
    <row r="1174" spans="1:14">
      <c r="A1174" s="3399"/>
      <c r="B1174" s="3071">
        <v>52</v>
      </c>
      <c r="C1174" s="3072">
        <v>-201</v>
      </c>
      <c r="D1174" s="3118" t="s">
        <v>5015</v>
      </c>
      <c r="E1174" s="3119">
        <v>83.15</v>
      </c>
      <c r="F1174" s="3119">
        <v>2494500</v>
      </c>
      <c r="G1174" s="3070" t="s">
        <v>3503</v>
      </c>
      <c r="H1174" s="3070" t="s">
        <v>3230</v>
      </c>
      <c r="I1174" s="3070">
        <f t="shared" ref="I1174:I1237" si="19">ROUND(F1174/E1174,0)</f>
        <v>30000</v>
      </c>
      <c r="J1174" s="3402"/>
      <c r="K1174" s="3402"/>
      <c r="L1174" s="3402"/>
      <c r="M1174" s="3402"/>
      <c r="N1174" s="3402"/>
    </row>
    <row r="1175" spans="1:14">
      <c r="A1175" s="3399"/>
      <c r="B1175" s="3071">
        <v>52</v>
      </c>
      <c r="C1175" s="3071" t="s">
        <v>5016</v>
      </c>
      <c r="D1175" s="3118" t="s">
        <v>5017</v>
      </c>
      <c r="E1175" s="3071">
        <v>44.59</v>
      </c>
      <c r="F1175" s="3071">
        <v>420000</v>
      </c>
      <c r="G1175" s="3070" t="s">
        <v>3174</v>
      </c>
      <c r="H1175" s="3070" t="s">
        <v>3174</v>
      </c>
      <c r="I1175" s="3070">
        <f t="shared" si="19"/>
        <v>9419</v>
      </c>
      <c r="J1175" s="3402"/>
      <c r="K1175" s="3402"/>
      <c r="L1175" s="3402"/>
      <c r="M1175" s="3402"/>
      <c r="N1175" s="3402"/>
    </row>
    <row r="1176" spans="1:14">
      <c r="A1176" s="3400"/>
      <c r="B1176" s="3071">
        <v>52</v>
      </c>
      <c r="C1176" s="3071" t="s">
        <v>5018</v>
      </c>
      <c r="D1176" s="3118" t="s">
        <v>5019</v>
      </c>
      <c r="E1176" s="3071">
        <v>44.59</v>
      </c>
      <c r="F1176" s="3071">
        <v>420000</v>
      </c>
      <c r="G1176" s="3070" t="s">
        <v>3174</v>
      </c>
      <c r="H1176" s="3070" t="s">
        <v>3174</v>
      </c>
      <c r="I1176" s="3070">
        <f t="shared" si="19"/>
        <v>9419</v>
      </c>
      <c r="J1176" s="3402"/>
      <c r="K1176" s="3402"/>
      <c r="L1176" s="3402"/>
      <c r="M1176" s="3402"/>
      <c r="N1176" s="3402"/>
    </row>
    <row r="1177" spans="1:14" ht="24">
      <c r="A1177" s="3398">
        <v>236</v>
      </c>
      <c r="B1177" s="3071">
        <v>52</v>
      </c>
      <c r="C1177" s="3072" t="s">
        <v>3497</v>
      </c>
      <c r="D1177" s="3118" t="s">
        <v>5020</v>
      </c>
      <c r="E1177" s="3119">
        <v>133.16</v>
      </c>
      <c r="F1177" s="3119">
        <v>7460022</v>
      </c>
      <c r="G1177" s="3070" t="s">
        <v>3173</v>
      </c>
      <c r="H1177" s="3070" t="s">
        <v>3058</v>
      </c>
      <c r="I1177" s="3070">
        <f t="shared" si="19"/>
        <v>56023</v>
      </c>
      <c r="J1177" s="3402"/>
      <c r="K1177" s="3402"/>
      <c r="L1177" s="3402"/>
      <c r="M1177" s="3402"/>
      <c r="N1177" s="3402"/>
    </row>
    <row r="1178" spans="1:14" ht="24">
      <c r="A1178" s="3399"/>
      <c r="B1178" s="3071">
        <v>52</v>
      </c>
      <c r="C1178" s="3072" t="s">
        <v>3499</v>
      </c>
      <c r="D1178" s="3118" t="s">
        <v>5021</v>
      </c>
      <c r="E1178" s="3119">
        <v>83.73</v>
      </c>
      <c r="F1178" s="3119">
        <v>2511900</v>
      </c>
      <c r="G1178" s="3070" t="s">
        <v>3501</v>
      </c>
      <c r="H1178" s="3070" t="s">
        <v>3230</v>
      </c>
      <c r="I1178" s="3070">
        <f t="shared" si="19"/>
        <v>30000</v>
      </c>
      <c r="J1178" s="3402"/>
      <c r="K1178" s="3402"/>
      <c r="L1178" s="3402"/>
      <c r="M1178" s="3402"/>
      <c r="N1178" s="3402"/>
    </row>
    <row r="1179" spans="1:14">
      <c r="A1179" s="3399"/>
      <c r="B1179" s="3071">
        <v>52</v>
      </c>
      <c r="C1179" s="3072">
        <v>-202</v>
      </c>
      <c r="D1179" s="3118" t="s">
        <v>5022</v>
      </c>
      <c r="E1179" s="3119">
        <v>83.87</v>
      </c>
      <c r="F1179" s="3119">
        <v>2516100</v>
      </c>
      <c r="G1179" s="3070" t="s">
        <v>3503</v>
      </c>
      <c r="H1179" s="3070" t="s">
        <v>3230</v>
      </c>
      <c r="I1179" s="3070">
        <f t="shared" si="19"/>
        <v>30000</v>
      </c>
      <c r="J1179" s="3402"/>
      <c r="K1179" s="3402"/>
      <c r="L1179" s="3402"/>
      <c r="M1179" s="3402"/>
      <c r="N1179" s="3402"/>
    </row>
    <row r="1180" spans="1:14">
      <c r="A1180" s="3399"/>
      <c r="B1180" s="3071">
        <v>52</v>
      </c>
      <c r="C1180" s="3071" t="s">
        <v>5023</v>
      </c>
      <c r="D1180" s="3118" t="s">
        <v>5024</v>
      </c>
      <c r="E1180" s="3071">
        <v>44.59</v>
      </c>
      <c r="F1180" s="3071">
        <v>420000</v>
      </c>
      <c r="G1180" s="3070" t="s">
        <v>3174</v>
      </c>
      <c r="H1180" s="3070" t="s">
        <v>3174</v>
      </c>
      <c r="I1180" s="3070">
        <f t="shared" si="19"/>
        <v>9419</v>
      </c>
      <c r="J1180" s="3402"/>
      <c r="K1180" s="3402"/>
      <c r="L1180" s="3402"/>
      <c r="M1180" s="3402"/>
      <c r="N1180" s="3402"/>
    </row>
    <row r="1181" spans="1:14">
      <c r="A1181" s="3400"/>
      <c r="B1181" s="3071">
        <v>52</v>
      </c>
      <c r="C1181" s="3071" t="s">
        <v>5025</v>
      </c>
      <c r="D1181" s="3118" t="s">
        <v>5026</v>
      </c>
      <c r="E1181" s="3071">
        <v>44.59</v>
      </c>
      <c r="F1181" s="3071">
        <v>420000</v>
      </c>
      <c r="G1181" s="3070" t="s">
        <v>3174</v>
      </c>
      <c r="H1181" s="3070" t="s">
        <v>3174</v>
      </c>
      <c r="I1181" s="3070">
        <f t="shared" si="19"/>
        <v>9419</v>
      </c>
      <c r="J1181" s="3402"/>
      <c r="K1181" s="3402"/>
      <c r="L1181" s="3402"/>
      <c r="M1181" s="3402"/>
      <c r="N1181" s="3402"/>
    </row>
    <row r="1182" spans="1:14" ht="24">
      <c r="A1182" s="3398">
        <v>237</v>
      </c>
      <c r="B1182" s="3071">
        <v>52</v>
      </c>
      <c r="C1182" s="3072" t="s">
        <v>3524</v>
      </c>
      <c r="D1182" s="3118" t="s">
        <v>5027</v>
      </c>
      <c r="E1182" s="3119">
        <v>133.16</v>
      </c>
      <c r="F1182" s="3119">
        <v>7460022</v>
      </c>
      <c r="G1182" s="3070" t="s">
        <v>3173</v>
      </c>
      <c r="H1182" s="3070" t="s">
        <v>3058</v>
      </c>
      <c r="I1182" s="3070">
        <f t="shared" si="19"/>
        <v>56023</v>
      </c>
      <c r="J1182" s="3402"/>
      <c r="K1182" s="3402"/>
      <c r="L1182" s="3402"/>
      <c r="M1182" s="3402"/>
      <c r="N1182" s="3402"/>
    </row>
    <row r="1183" spans="1:14" ht="24">
      <c r="A1183" s="3399"/>
      <c r="B1183" s="3071">
        <v>52</v>
      </c>
      <c r="C1183" s="3072" t="s">
        <v>3526</v>
      </c>
      <c r="D1183" s="3118" t="s">
        <v>5028</v>
      </c>
      <c r="E1183" s="3119">
        <v>83.73</v>
      </c>
      <c r="F1183" s="3119">
        <v>2511900</v>
      </c>
      <c r="G1183" s="3070" t="s">
        <v>3501</v>
      </c>
      <c r="H1183" s="3070" t="s">
        <v>3230</v>
      </c>
      <c r="I1183" s="3070">
        <f t="shared" si="19"/>
        <v>30000</v>
      </c>
      <c r="J1183" s="3402"/>
      <c r="K1183" s="3402"/>
      <c r="L1183" s="3402"/>
      <c r="M1183" s="3402"/>
      <c r="N1183" s="3402"/>
    </row>
    <row r="1184" spans="1:14">
      <c r="A1184" s="3399"/>
      <c r="B1184" s="3071">
        <v>52</v>
      </c>
      <c r="C1184" s="3072">
        <v>-203</v>
      </c>
      <c r="D1184" s="3118" t="s">
        <v>5029</v>
      </c>
      <c r="E1184" s="3119">
        <v>83.87</v>
      </c>
      <c r="F1184" s="3119">
        <v>2516100</v>
      </c>
      <c r="G1184" s="3070" t="s">
        <v>3503</v>
      </c>
      <c r="H1184" s="3070" t="s">
        <v>3230</v>
      </c>
      <c r="I1184" s="3070">
        <f t="shared" si="19"/>
        <v>30000</v>
      </c>
      <c r="J1184" s="3402"/>
      <c r="K1184" s="3402"/>
      <c r="L1184" s="3402"/>
      <c r="M1184" s="3402"/>
      <c r="N1184" s="3402"/>
    </row>
    <row r="1185" spans="1:14">
      <c r="A1185" s="3399"/>
      <c r="B1185" s="3071">
        <v>52</v>
      </c>
      <c r="C1185" s="3071" t="s">
        <v>3221</v>
      </c>
      <c r="D1185" s="3118" t="s">
        <v>5030</v>
      </c>
      <c r="E1185" s="3071">
        <v>44.59</v>
      </c>
      <c r="F1185" s="3071">
        <v>420000</v>
      </c>
      <c r="G1185" s="3070" t="s">
        <v>3174</v>
      </c>
      <c r="H1185" s="3070" t="s">
        <v>3174</v>
      </c>
      <c r="I1185" s="3070">
        <f t="shared" si="19"/>
        <v>9419</v>
      </c>
      <c r="J1185" s="3402"/>
      <c r="K1185" s="3402"/>
      <c r="L1185" s="3402"/>
      <c r="M1185" s="3402"/>
      <c r="N1185" s="3402"/>
    </row>
    <row r="1186" spans="1:14">
      <c r="A1186" s="3400"/>
      <c r="B1186" s="3071">
        <v>52</v>
      </c>
      <c r="C1186" s="3071" t="s">
        <v>3222</v>
      </c>
      <c r="D1186" s="3118" t="s">
        <v>5031</v>
      </c>
      <c r="E1186" s="3071">
        <v>44.59</v>
      </c>
      <c r="F1186" s="3071">
        <v>420000</v>
      </c>
      <c r="G1186" s="3070" t="s">
        <v>3174</v>
      </c>
      <c r="H1186" s="3070" t="s">
        <v>3174</v>
      </c>
      <c r="I1186" s="3070">
        <f t="shared" si="19"/>
        <v>9419</v>
      </c>
      <c r="J1186" s="3402"/>
      <c r="K1186" s="3402"/>
      <c r="L1186" s="3402"/>
      <c r="M1186" s="3402"/>
      <c r="N1186" s="3402"/>
    </row>
    <row r="1187" spans="1:14" ht="24">
      <c r="A1187" s="3398">
        <v>238</v>
      </c>
      <c r="B1187" s="3071">
        <v>52</v>
      </c>
      <c r="C1187" s="3072" t="s">
        <v>3533</v>
      </c>
      <c r="D1187" s="3118" t="s">
        <v>5032</v>
      </c>
      <c r="E1187" s="3119">
        <v>133.35</v>
      </c>
      <c r="F1187" s="3119">
        <v>7572146</v>
      </c>
      <c r="G1187" s="3070" t="s">
        <v>3173</v>
      </c>
      <c r="H1187" s="3070" t="s">
        <v>3058</v>
      </c>
      <c r="I1187" s="3070">
        <f t="shared" si="19"/>
        <v>56784</v>
      </c>
      <c r="J1187" s="3402"/>
      <c r="K1187" s="3402"/>
      <c r="L1187" s="3402"/>
      <c r="M1187" s="3402"/>
      <c r="N1187" s="3402"/>
    </row>
    <row r="1188" spans="1:14" ht="24">
      <c r="A1188" s="3399"/>
      <c r="B1188" s="3071">
        <v>52</v>
      </c>
      <c r="C1188" s="3072" t="s">
        <v>3535</v>
      </c>
      <c r="D1188" s="3118" t="s">
        <v>5033</v>
      </c>
      <c r="E1188" s="3119">
        <v>83.99</v>
      </c>
      <c r="F1188" s="3119">
        <v>2519700</v>
      </c>
      <c r="G1188" s="3070" t="s">
        <v>3501</v>
      </c>
      <c r="H1188" s="3070" t="s">
        <v>3230</v>
      </c>
      <c r="I1188" s="3070">
        <f t="shared" si="19"/>
        <v>30000</v>
      </c>
      <c r="J1188" s="3402"/>
      <c r="K1188" s="3402"/>
      <c r="L1188" s="3402"/>
      <c r="M1188" s="3402"/>
      <c r="N1188" s="3402"/>
    </row>
    <row r="1189" spans="1:14">
      <c r="A1189" s="3399"/>
      <c r="B1189" s="3071">
        <v>52</v>
      </c>
      <c r="C1189" s="3072">
        <v>-204</v>
      </c>
      <c r="D1189" s="3118" t="s">
        <v>5034</v>
      </c>
      <c r="E1189" s="3119">
        <v>83.87</v>
      </c>
      <c r="F1189" s="3119">
        <v>2516100</v>
      </c>
      <c r="G1189" s="3070" t="s">
        <v>3503</v>
      </c>
      <c r="H1189" s="3070" t="s">
        <v>3230</v>
      </c>
      <c r="I1189" s="3070">
        <f t="shared" si="19"/>
        <v>30000</v>
      </c>
      <c r="J1189" s="3402"/>
      <c r="K1189" s="3402"/>
      <c r="L1189" s="3402"/>
      <c r="M1189" s="3402"/>
      <c r="N1189" s="3402"/>
    </row>
    <row r="1190" spans="1:14">
      <c r="A1190" s="3399"/>
      <c r="B1190" s="3071">
        <v>52</v>
      </c>
      <c r="C1190" s="3071" t="s">
        <v>5035</v>
      </c>
      <c r="D1190" s="3118" t="s">
        <v>5036</v>
      </c>
      <c r="E1190" s="3071">
        <v>44.59</v>
      </c>
      <c r="F1190" s="3071">
        <v>420000</v>
      </c>
      <c r="G1190" s="3070" t="s">
        <v>3174</v>
      </c>
      <c r="H1190" s="3070" t="s">
        <v>3174</v>
      </c>
      <c r="I1190" s="3070">
        <f t="shared" si="19"/>
        <v>9419</v>
      </c>
      <c r="J1190" s="3402"/>
      <c r="K1190" s="3402"/>
      <c r="L1190" s="3402"/>
      <c r="M1190" s="3402"/>
      <c r="N1190" s="3402"/>
    </row>
    <row r="1191" spans="1:14">
      <c r="A1191" s="3400"/>
      <c r="B1191" s="3071">
        <v>52</v>
      </c>
      <c r="C1191" s="3071" t="s">
        <v>5037</v>
      </c>
      <c r="D1191" s="3118" t="s">
        <v>5038</v>
      </c>
      <c r="E1191" s="3071">
        <v>44.59</v>
      </c>
      <c r="F1191" s="3071">
        <v>420000</v>
      </c>
      <c r="G1191" s="3070" t="s">
        <v>3174</v>
      </c>
      <c r="H1191" s="3070" t="s">
        <v>3174</v>
      </c>
      <c r="I1191" s="3070">
        <f t="shared" si="19"/>
        <v>9419</v>
      </c>
      <c r="J1191" s="3402"/>
      <c r="K1191" s="3402"/>
      <c r="L1191" s="3402"/>
      <c r="M1191" s="3402"/>
      <c r="N1191" s="3402"/>
    </row>
    <row r="1192" spans="1:14" ht="24">
      <c r="A1192" s="3398">
        <v>239</v>
      </c>
      <c r="B1192" s="3071">
        <v>52</v>
      </c>
      <c r="C1192" s="3072" t="s">
        <v>3542</v>
      </c>
      <c r="D1192" s="3118" t="s">
        <v>5039</v>
      </c>
      <c r="E1192" s="3119">
        <v>133.16</v>
      </c>
      <c r="F1192" s="3119">
        <v>8460054</v>
      </c>
      <c r="G1192" s="3070" t="s">
        <v>3173</v>
      </c>
      <c r="H1192" s="3070" t="s">
        <v>3058</v>
      </c>
      <c r="I1192" s="3070">
        <f t="shared" si="19"/>
        <v>63533</v>
      </c>
      <c r="J1192" s="3402"/>
      <c r="K1192" s="3402"/>
      <c r="L1192" s="3402"/>
      <c r="M1192" s="3402"/>
      <c r="N1192" s="3402"/>
    </row>
    <row r="1193" spans="1:14" ht="24">
      <c r="A1193" s="3399"/>
      <c r="B1193" s="3071">
        <v>52</v>
      </c>
      <c r="C1193" s="3072" t="s">
        <v>3544</v>
      </c>
      <c r="D1193" s="3118" t="s">
        <v>5040</v>
      </c>
      <c r="E1193" s="3119">
        <v>83.59</v>
      </c>
      <c r="F1193" s="3119">
        <v>2507700</v>
      </c>
      <c r="G1193" s="3070" t="s">
        <v>3501</v>
      </c>
      <c r="H1193" s="3070" t="s">
        <v>3230</v>
      </c>
      <c r="I1193" s="3070">
        <f t="shared" si="19"/>
        <v>30000</v>
      </c>
      <c r="J1193" s="3402"/>
      <c r="K1193" s="3402"/>
      <c r="L1193" s="3402"/>
      <c r="M1193" s="3402"/>
      <c r="N1193" s="3402"/>
    </row>
    <row r="1194" spans="1:14">
      <c r="A1194" s="3399"/>
      <c r="B1194" s="3071">
        <v>52</v>
      </c>
      <c r="C1194" s="3072">
        <v>-205</v>
      </c>
      <c r="D1194" s="3118" t="s">
        <v>5041</v>
      </c>
      <c r="E1194" s="3119">
        <v>83.15</v>
      </c>
      <c r="F1194" s="3119">
        <v>2494500</v>
      </c>
      <c r="G1194" s="3070" t="s">
        <v>3503</v>
      </c>
      <c r="H1194" s="3070" t="s">
        <v>3230</v>
      </c>
      <c r="I1194" s="3070">
        <f t="shared" si="19"/>
        <v>30000</v>
      </c>
      <c r="J1194" s="3402"/>
      <c r="K1194" s="3402"/>
      <c r="L1194" s="3402"/>
      <c r="M1194" s="3402"/>
      <c r="N1194" s="3402"/>
    </row>
    <row r="1195" spans="1:14">
      <c r="A1195" s="3399"/>
      <c r="B1195" s="3071">
        <v>52</v>
      </c>
      <c r="C1195" s="3071" t="s">
        <v>5042</v>
      </c>
      <c r="D1195" s="3118" t="s">
        <v>5043</v>
      </c>
      <c r="E1195" s="3071">
        <v>44.59</v>
      </c>
      <c r="F1195" s="3071">
        <v>420000</v>
      </c>
      <c r="G1195" s="3070" t="s">
        <v>3174</v>
      </c>
      <c r="H1195" s="3070" t="s">
        <v>3174</v>
      </c>
      <c r="I1195" s="3070">
        <f t="shared" si="19"/>
        <v>9419</v>
      </c>
      <c r="J1195" s="3402"/>
      <c r="K1195" s="3402"/>
      <c r="L1195" s="3402"/>
      <c r="M1195" s="3402"/>
      <c r="N1195" s="3402"/>
    </row>
    <row r="1196" spans="1:14">
      <c r="A1196" s="3400"/>
      <c r="B1196" s="3071">
        <v>52</v>
      </c>
      <c r="C1196" s="3071" t="s">
        <v>5044</v>
      </c>
      <c r="D1196" s="3118" t="s">
        <v>5045</v>
      </c>
      <c r="E1196" s="3071">
        <v>44.59</v>
      </c>
      <c r="F1196" s="3071">
        <v>420000</v>
      </c>
      <c r="G1196" s="3070" t="s">
        <v>3174</v>
      </c>
      <c r="H1196" s="3070" t="s">
        <v>3174</v>
      </c>
      <c r="I1196" s="3070">
        <f t="shared" si="19"/>
        <v>9419</v>
      </c>
      <c r="J1196" s="3402"/>
      <c r="K1196" s="3402"/>
      <c r="L1196" s="3402"/>
      <c r="M1196" s="3402"/>
      <c r="N1196" s="3402"/>
    </row>
    <row r="1197" spans="1:14" ht="24">
      <c r="A1197" s="3398">
        <v>240</v>
      </c>
      <c r="B1197" s="3071">
        <v>52</v>
      </c>
      <c r="C1197" s="3072" t="s">
        <v>3551</v>
      </c>
      <c r="D1197" s="3118" t="s">
        <v>5046</v>
      </c>
      <c r="E1197" s="3119">
        <v>133.16</v>
      </c>
      <c r="F1197" s="3119">
        <v>7810100</v>
      </c>
      <c r="G1197" s="3070" t="s">
        <v>3173</v>
      </c>
      <c r="H1197" s="3070" t="s">
        <v>3058</v>
      </c>
      <c r="I1197" s="3070">
        <f t="shared" si="19"/>
        <v>58652</v>
      </c>
      <c r="J1197" s="3402"/>
      <c r="K1197" s="3402"/>
      <c r="L1197" s="3402"/>
      <c r="M1197" s="3402"/>
      <c r="N1197" s="3402"/>
    </row>
    <row r="1198" spans="1:14" ht="24">
      <c r="A1198" s="3399"/>
      <c r="B1198" s="3071">
        <v>52</v>
      </c>
      <c r="C1198" s="3072" t="s">
        <v>3553</v>
      </c>
      <c r="D1198" s="3118" t="s">
        <v>5047</v>
      </c>
      <c r="E1198" s="3119">
        <v>83.73</v>
      </c>
      <c r="F1198" s="3119">
        <v>2511900</v>
      </c>
      <c r="G1198" s="3070" t="s">
        <v>3501</v>
      </c>
      <c r="H1198" s="3070" t="s">
        <v>3230</v>
      </c>
      <c r="I1198" s="3070">
        <f t="shared" si="19"/>
        <v>30000</v>
      </c>
      <c r="J1198" s="3402"/>
      <c r="K1198" s="3402"/>
      <c r="L1198" s="3402"/>
      <c r="M1198" s="3402"/>
      <c r="N1198" s="3402"/>
    </row>
    <row r="1199" spans="1:14">
      <c r="A1199" s="3399"/>
      <c r="B1199" s="3071">
        <v>52</v>
      </c>
      <c r="C1199" s="3072">
        <v>-206</v>
      </c>
      <c r="D1199" s="3118" t="s">
        <v>5048</v>
      </c>
      <c r="E1199" s="3119">
        <v>83.87</v>
      </c>
      <c r="F1199" s="3119">
        <v>2516100</v>
      </c>
      <c r="G1199" s="3070" t="s">
        <v>3503</v>
      </c>
      <c r="H1199" s="3070" t="s">
        <v>3230</v>
      </c>
      <c r="I1199" s="3070">
        <f t="shared" si="19"/>
        <v>30000</v>
      </c>
      <c r="J1199" s="3402"/>
      <c r="K1199" s="3402"/>
      <c r="L1199" s="3402"/>
      <c r="M1199" s="3402"/>
      <c r="N1199" s="3402"/>
    </row>
    <row r="1200" spans="1:14">
      <c r="A1200" s="3399"/>
      <c r="B1200" s="3071">
        <v>52</v>
      </c>
      <c r="C1200" s="3071" t="s">
        <v>5049</v>
      </c>
      <c r="D1200" s="3118" t="s">
        <v>5050</v>
      </c>
      <c r="E1200" s="3071">
        <v>44.59</v>
      </c>
      <c r="F1200" s="3071">
        <v>420000</v>
      </c>
      <c r="G1200" s="3070" t="s">
        <v>3174</v>
      </c>
      <c r="H1200" s="3070" t="s">
        <v>3174</v>
      </c>
      <c r="I1200" s="3070">
        <f t="shared" si="19"/>
        <v>9419</v>
      </c>
      <c r="J1200" s="3402"/>
      <c r="K1200" s="3402"/>
      <c r="L1200" s="3402"/>
      <c r="M1200" s="3402"/>
      <c r="N1200" s="3402"/>
    </row>
    <row r="1201" spans="1:14">
      <c r="A1201" s="3400"/>
      <c r="B1201" s="3071">
        <v>52</v>
      </c>
      <c r="C1201" s="3071" t="s">
        <v>5051</v>
      </c>
      <c r="D1201" s="3118" t="s">
        <v>5052</v>
      </c>
      <c r="E1201" s="3071">
        <v>44.59</v>
      </c>
      <c r="F1201" s="3071">
        <v>420000</v>
      </c>
      <c r="G1201" s="3070" t="s">
        <v>3174</v>
      </c>
      <c r="H1201" s="3070" t="s">
        <v>3174</v>
      </c>
      <c r="I1201" s="3070">
        <f t="shared" si="19"/>
        <v>9419</v>
      </c>
      <c r="J1201" s="3402"/>
      <c r="K1201" s="3402"/>
      <c r="L1201" s="3402"/>
      <c r="M1201" s="3402"/>
      <c r="N1201" s="3402"/>
    </row>
    <row r="1202" spans="1:14" ht="24">
      <c r="A1202" s="3398">
        <v>241</v>
      </c>
      <c r="B1202" s="3071">
        <v>52</v>
      </c>
      <c r="C1202" s="3072" t="s">
        <v>3560</v>
      </c>
      <c r="D1202" s="3118" t="s">
        <v>5053</v>
      </c>
      <c r="E1202" s="3119">
        <v>133.16</v>
      </c>
      <c r="F1202" s="3119">
        <v>7810100</v>
      </c>
      <c r="G1202" s="3070" t="s">
        <v>3173</v>
      </c>
      <c r="H1202" s="3070" t="s">
        <v>3058</v>
      </c>
      <c r="I1202" s="3070">
        <f t="shared" si="19"/>
        <v>58652</v>
      </c>
      <c r="J1202" s="3402"/>
      <c r="K1202" s="3402"/>
      <c r="L1202" s="3402"/>
      <c r="M1202" s="3402"/>
      <c r="N1202" s="3402"/>
    </row>
    <row r="1203" spans="1:14" ht="24">
      <c r="A1203" s="3399"/>
      <c r="B1203" s="3071">
        <v>52</v>
      </c>
      <c r="C1203" s="3072" t="s">
        <v>3562</v>
      </c>
      <c r="D1203" s="3118" t="s">
        <v>5054</v>
      </c>
      <c r="E1203" s="3119">
        <v>83.73</v>
      </c>
      <c r="F1203" s="3119">
        <v>2511900</v>
      </c>
      <c r="G1203" s="3070" t="s">
        <v>3501</v>
      </c>
      <c r="H1203" s="3070" t="s">
        <v>3230</v>
      </c>
      <c r="I1203" s="3070">
        <f t="shared" si="19"/>
        <v>30000</v>
      </c>
      <c r="J1203" s="3402"/>
      <c r="K1203" s="3402"/>
      <c r="L1203" s="3402"/>
      <c r="M1203" s="3402"/>
      <c r="N1203" s="3402"/>
    </row>
    <row r="1204" spans="1:14">
      <c r="A1204" s="3399"/>
      <c r="B1204" s="3071">
        <v>52</v>
      </c>
      <c r="C1204" s="3072">
        <v>-207</v>
      </c>
      <c r="D1204" s="3118" t="s">
        <v>5055</v>
      </c>
      <c r="E1204" s="3119">
        <v>83.87</v>
      </c>
      <c r="F1204" s="3119">
        <v>2516100</v>
      </c>
      <c r="G1204" s="3070" t="s">
        <v>3503</v>
      </c>
      <c r="H1204" s="3070" t="s">
        <v>3230</v>
      </c>
      <c r="I1204" s="3070">
        <f t="shared" si="19"/>
        <v>30000</v>
      </c>
      <c r="J1204" s="3402"/>
      <c r="K1204" s="3402"/>
      <c r="L1204" s="3402"/>
      <c r="M1204" s="3402"/>
      <c r="N1204" s="3402"/>
    </row>
    <row r="1205" spans="1:14">
      <c r="A1205" s="3399"/>
      <c r="B1205" s="3071">
        <v>52</v>
      </c>
      <c r="C1205" s="3071" t="s">
        <v>5056</v>
      </c>
      <c r="D1205" s="3118" t="s">
        <v>5057</v>
      </c>
      <c r="E1205" s="3071">
        <v>44.59</v>
      </c>
      <c r="F1205" s="3071">
        <v>420000</v>
      </c>
      <c r="G1205" s="3070" t="s">
        <v>3174</v>
      </c>
      <c r="H1205" s="3070" t="s">
        <v>3174</v>
      </c>
      <c r="I1205" s="3070">
        <f t="shared" si="19"/>
        <v>9419</v>
      </c>
      <c r="J1205" s="3402"/>
      <c r="K1205" s="3402"/>
      <c r="L1205" s="3402"/>
      <c r="M1205" s="3402"/>
      <c r="N1205" s="3402"/>
    </row>
    <row r="1206" spans="1:14">
      <c r="A1206" s="3400"/>
      <c r="B1206" s="3071">
        <v>52</v>
      </c>
      <c r="C1206" s="3071" t="s">
        <v>5058</v>
      </c>
      <c r="D1206" s="3118" t="s">
        <v>5059</v>
      </c>
      <c r="E1206" s="3071">
        <v>44.59</v>
      </c>
      <c r="F1206" s="3071">
        <v>420000</v>
      </c>
      <c r="G1206" s="3070" t="s">
        <v>3174</v>
      </c>
      <c r="H1206" s="3070" t="s">
        <v>3174</v>
      </c>
      <c r="I1206" s="3070">
        <f t="shared" si="19"/>
        <v>9419</v>
      </c>
      <c r="J1206" s="3402"/>
      <c r="K1206" s="3402"/>
      <c r="L1206" s="3402"/>
      <c r="M1206" s="3402"/>
      <c r="N1206" s="3402"/>
    </row>
    <row r="1207" spans="1:14" ht="24">
      <c r="A1207" s="3398">
        <v>242</v>
      </c>
      <c r="B1207" s="3071">
        <v>52</v>
      </c>
      <c r="C1207" s="3072" t="s">
        <v>3611</v>
      </c>
      <c r="D1207" s="3118" t="s">
        <v>5060</v>
      </c>
      <c r="E1207" s="3119">
        <v>133.35</v>
      </c>
      <c r="F1207" s="3119">
        <v>7922190</v>
      </c>
      <c r="G1207" s="3070" t="s">
        <v>3173</v>
      </c>
      <c r="H1207" s="3070" t="s">
        <v>3058</v>
      </c>
      <c r="I1207" s="3070">
        <f t="shared" si="19"/>
        <v>59409</v>
      </c>
      <c r="J1207" s="3402"/>
      <c r="K1207" s="3402"/>
      <c r="L1207" s="3402"/>
      <c r="M1207" s="3402"/>
      <c r="N1207" s="3402"/>
    </row>
    <row r="1208" spans="1:14" ht="24">
      <c r="A1208" s="3399"/>
      <c r="B1208" s="3071">
        <v>52</v>
      </c>
      <c r="C1208" s="3072" t="s">
        <v>3613</v>
      </c>
      <c r="D1208" s="3118" t="s">
        <v>5061</v>
      </c>
      <c r="E1208" s="3119">
        <v>83.99</v>
      </c>
      <c r="F1208" s="3119">
        <v>2519700</v>
      </c>
      <c r="G1208" s="3070" t="s">
        <v>3501</v>
      </c>
      <c r="H1208" s="3070" t="s">
        <v>3230</v>
      </c>
      <c r="I1208" s="3070">
        <f t="shared" si="19"/>
        <v>30000</v>
      </c>
      <c r="J1208" s="3402"/>
      <c r="K1208" s="3402"/>
      <c r="L1208" s="3402"/>
      <c r="M1208" s="3402"/>
      <c r="N1208" s="3402"/>
    </row>
    <row r="1209" spans="1:14">
      <c r="A1209" s="3399"/>
      <c r="B1209" s="3071">
        <v>52</v>
      </c>
      <c r="C1209" s="3072">
        <v>-208</v>
      </c>
      <c r="D1209" s="3118" t="s">
        <v>5062</v>
      </c>
      <c r="E1209" s="3119">
        <v>83.87</v>
      </c>
      <c r="F1209" s="3119">
        <v>2516100</v>
      </c>
      <c r="G1209" s="3070" t="s">
        <v>3503</v>
      </c>
      <c r="H1209" s="3070" t="s">
        <v>3230</v>
      </c>
      <c r="I1209" s="3070">
        <f t="shared" si="19"/>
        <v>30000</v>
      </c>
      <c r="J1209" s="3402"/>
      <c r="K1209" s="3402"/>
      <c r="L1209" s="3402"/>
      <c r="M1209" s="3402"/>
      <c r="N1209" s="3402"/>
    </row>
    <row r="1210" spans="1:14">
      <c r="A1210" s="3399"/>
      <c r="B1210" s="3071">
        <v>52</v>
      </c>
      <c r="C1210" s="3071" t="s">
        <v>5063</v>
      </c>
      <c r="D1210" s="3118" t="s">
        <v>5064</v>
      </c>
      <c r="E1210" s="3071">
        <v>44.59</v>
      </c>
      <c r="F1210" s="3071">
        <v>420000</v>
      </c>
      <c r="G1210" s="3070" t="s">
        <v>3174</v>
      </c>
      <c r="H1210" s="3070" t="s">
        <v>3174</v>
      </c>
      <c r="I1210" s="3070">
        <f t="shared" si="19"/>
        <v>9419</v>
      </c>
      <c r="J1210" s="3402"/>
      <c r="K1210" s="3402"/>
      <c r="L1210" s="3402"/>
      <c r="M1210" s="3402"/>
      <c r="N1210" s="3402"/>
    </row>
    <row r="1211" spans="1:14">
      <c r="A1211" s="3400"/>
      <c r="B1211" s="3071">
        <v>52</v>
      </c>
      <c r="C1211" s="3071" t="s">
        <v>5065</v>
      </c>
      <c r="D1211" s="3118" t="s">
        <v>5066</v>
      </c>
      <c r="E1211" s="3071">
        <v>44.59</v>
      </c>
      <c r="F1211" s="3071">
        <v>420000</v>
      </c>
      <c r="G1211" s="3070" t="s">
        <v>3174</v>
      </c>
      <c r="H1211" s="3070" t="s">
        <v>3174</v>
      </c>
      <c r="I1211" s="3070">
        <f t="shared" si="19"/>
        <v>9419</v>
      </c>
      <c r="J1211" s="3403"/>
      <c r="K1211" s="3403"/>
      <c r="L1211" s="3403"/>
      <c r="M1211" s="3403"/>
      <c r="N1211" s="3403"/>
    </row>
    <row r="1212" spans="1:14" ht="24">
      <c r="A1212" s="3398">
        <v>243</v>
      </c>
      <c r="B1212" s="3071">
        <v>53</v>
      </c>
      <c r="C1212" s="3072" t="s">
        <v>3508</v>
      </c>
      <c r="D1212" s="3118" t="s">
        <v>5067</v>
      </c>
      <c r="E1212" s="3119">
        <v>133.27000000000001</v>
      </c>
      <c r="F1212" s="3119">
        <v>8467042</v>
      </c>
      <c r="G1212" s="3070" t="s">
        <v>3173</v>
      </c>
      <c r="H1212" s="3070" t="s">
        <v>3058</v>
      </c>
      <c r="I1212" s="3070">
        <f t="shared" si="19"/>
        <v>63533</v>
      </c>
      <c r="J1212" s="3401">
        <v>8</v>
      </c>
      <c r="K1212" s="3401">
        <v>8</v>
      </c>
      <c r="L1212" s="3401">
        <f>E1212+E1217+E1222+E1227+E1232+E1237+E1242+E1247</f>
        <v>1066.54</v>
      </c>
      <c r="M1212" s="3401">
        <f>E1213+E1214+E1218+E1219+E1223+E1224+E1228+E1229+E1233+E1234+E1238+E1239+E1243+E1244+E1248+E1249</f>
        <v>1340.3200000000002</v>
      </c>
      <c r="N1212" s="3401">
        <f>L1212+M1212</f>
        <v>2406.86</v>
      </c>
    </row>
    <row r="1213" spans="1:14" ht="24">
      <c r="A1213" s="3399"/>
      <c r="B1213" s="3071">
        <v>53</v>
      </c>
      <c r="C1213" s="3072" t="s">
        <v>3510</v>
      </c>
      <c r="D1213" s="3118" t="s">
        <v>5068</v>
      </c>
      <c r="E1213" s="3119">
        <v>83.65</v>
      </c>
      <c r="F1213" s="3119">
        <v>2509500</v>
      </c>
      <c r="G1213" s="3070" t="s">
        <v>3501</v>
      </c>
      <c r="H1213" s="3070" t="s">
        <v>3230</v>
      </c>
      <c r="I1213" s="3070">
        <f t="shared" si="19"/>
        <v>30000</v>
      </c>
      <c r="J1213" s="3402"/>
      <c r="K1213" s="3402"/>
      <c r="L1213" s="3402"/>
      <c r="M1213" s="3402"/>
      <c r="N1213" s="3402"/>
    </row>
    <row r="1214" spans="1:14">
      <c r="A1214" s="3399"/>
      <c r="B1214" s="3071">
        <v>53</v>
      </c>
      <c r="C1214" s="3072">
        <v>-201</v>
      </c>
      <c r="D1214" s="3118" t="s">
        <v>5069</v>
      </c>
      <c r="E1214" s="3119">
        <v>83.18</v>
      </c>
      <c r="F1214" s="3119">
        <v>2495400</v>
      </c>
      <c r="G1214" s="3070" t="s">
        <v>3503</v>
      </c>
      <c r="H1214" s="3070" t="s">
        <v>3230</v>
      </c>
      <c r="I1214" s="3070">
        <f t="shared" si="19"/>
        <v>30000</v>
      </c>
      <c r="J1214" s="3402"/>
      <c r="K1214" s="3402"/>
      <c r="L1214" s="3402"/>
      <c r="M1214" s="3402"/>
      <c r="N1214" s="3402"/>
    </row>
    <row r="1215" spans="1:14">
      <c r="A1215" s="3399"/>
      <c r="B1215" s="3071">
        <v>53</v>
      </c>
      <c r="C1215" s="3071" t="s">
        <v>5070</v>
      </c>
      <c r="D1215" s="3118" t="s">
        <v>5071</v>
      </c>
      <c r="E1215" s="3071">
        <v>44.59</v>
      </c>
      <c r="F1215" s="3071">
        <v>420000</v>
      </c>
      <c r="G1215" s="3070" t="s">
        <v>3174</v>
      </c>
      <c r="H1215" s="3070" t="s">
        <v>3174</v>
      </c>
      <c r="I1215" s="3070">
        <f t="shared" si="19"/>
        <v>9419</v>
      </c>
      <c r="J1215" s="3402"/>
      <c r="K1215" s="3402"/>
      <c r="L1215" s="3402"/>
      <c r="M1215" s="3402"/>
      <c r="N1215" s="3402"/>
    </row>
    <row r="1216" spans="1:14">
      <c r="A1216" s="3400"/>
      <c r="B1216" s="3071">
        <v>53</v>
      </c>
      <c r="C1216" s="3071" t="s">
        <v>5072</v>
      </c>
      <c r="D1216" s="3118" t="s">
        <v>5073</v>
      </c>
      <c r="E1216" s="3071">
        <v>44.59</v>
      </c>
      <c r="F1216" s="3071">
        <v>420000</v>
      </c>
      <c r="G1216" s="3070" t="s">
        <v>3174</v>
      </c>
      <c r="H1216" s="3070" t="s">
        <v>3174</v>
      </c>
      <c r="I1216" s="3070">
        <f t="shared" si="19"/>
        <v>9419</v>
      </c>
      <c r="J1216" s="3402"/>
      <c r="K1216" s="3402"/>
      <c r="L1216" s="3402"/>
      <c r="M1216" s="3402"/>
      <c r="N1216" s="3402"/>
    </row>
    <row r="1217" spans="1:14" ht="24">
      <c r="A1217" s="3398">
        <v>244</v>
      </c>
      <c r="B1217" s="3071">
        <v>53</v>
      </c>
      <c r="C1217" s="3072" t="s">
        <v>3497</v>
      </c>
      <c r="D1217" s="3118" t="s">
        <v>5074</v>
      </c>
      <c r="E1217" s="3119">
        <v>133.27000000000001</v>
      </c>
      <c r="F1217" s="3119">
        <v>7567070</v>
      </c>
      <c r="G1217" s="3070" t="s">
        <v>3173</v>
      </c>
      <c r="H1217" s="3070" t="s">
        <v>3058</v>
      </c>
      <c r="I1217" s="3070">
        <f t="shared" si="19"/>
        <v>56780</v>
      </c>
      <c r="J1217" s="3402"/>
      <c r="K1217" s="3402"/>
      <c r="L1217" s="3402"/>
      <c r="M1217" s="3402"/>
      <c r="N1217" s="3402"/>
    </row>
    <row r="1218" spans="1:14" ht="24">
      <c r="A1218" s="3399"/>
      <c r="B1218" s="3071">
        <v>53</v>
      </c>
      <c r="C1218" s="3072" t="s">
        <v>3499</v>
      </c>
      <c r="D1218" s="3118" t="s">
        <v>5075</v>
      </c>
      <c r="E1218" s="3119">
        <v>83.8</v>
      </c>
      <c r="F1218" s="3119">
        <v>2514000</v>
      </c>
      <c r="G1218" s="3070" t="s">
        <v>3501</v>
      </c>
      <c r="H1218" s="3070" t="s">
        <v>3230</v>
      </c>
      <c r="I1218" s="3070">
        <f t="shared" si="19"/>
        <v>30000</v>
      </c>
      <c r="J1218" s="3402"/>
      <c r="K1218" s="3402"/>
      <c r="L1218" s="3402"/>
      <c r="M1218" s="3402"/>
      <c r="N1218" s="3402"/>
    </row>
    <row r="1219" spans="1:14">
      <c r="A1219" s="3399"/>
      <c r="B1219" s="3071">
        <v>53</v>
      </c>
      <c r="C1219" s="3072">
        <v>-202</v>
      </c>
      <c r="D1219" s="3118" t="s">
        <v>5076</v>
      </c>
      <c r="E1219" s="3119">
        <v>83.89</v>
      </c>
      <c r="F1219" s="3119">
        <v>2516700</v>
      </c>
      <c r="G1219" s="3070" t="s">
        <v>3503</v>
      </c>
      <c r="H1219" s="3070" t="s">
        <v>3230</v>
      </c>
      <c r="I1219" s="3070">
        <f t="shared" si="19"/>
        <v>30000</v>
      </c>
      <c r="J1219" s="3402"/>
      <c r="K1219" s="3402"/>
      <c r="L1219" s="3402"/>
      <c r="M1219" s="3402"/>
      <c r="N1219" s="3402"/>
    </row>
    <row r="1220" spans="1:14">
      <c r="A1220" s="3399"/>
      <c r="B1220" s="3071">
        <v>53</v>
      </c>
      <c r="C1220" s="3071" t="s">
        <v>3223</v>
      </c>
      <c r="D1220" s="3118" t="s">
        <v>5077</v>
      </c>
      <c r="E1220" s="3071">
        <v>44.59</v>
      </c>
      <c r="F1220" s="3071">
        <v>420000</v>
      </c>
      <c r="G1220" s="3070" t="s">
        <v>3174</v>
      </c>
      <c r="H1220" s="3070" t="s">
        <v>3174</v>
      </c>
      <c r="I1220" s="3070">
        <f t="shared" si="19"/>
        <v>9419</v>
      </c>
      <c r="J1220" s="3402"/>
      <c r="K1220" s="3402"/>
      <c r="L1220" s="3402"/>
      <c r="M1220" s="3402"/>
      <c r="N1220" s="3402"/>
    </row>
    <row r="1221" spans="1:14">
      <c r="A1221" s="3400"/>
      <c r="B1221" s="3071">
        <v>53</v>
      </c>
      <c r="C1221" s="3071" t="s">
        <v>3224</v>
      </c>
      <c r="D1221" s="3118" t="s">
        <v>5078</v>
      </c>
      <c r="E1221" s="3071">
        <v>44.59</v>
      </c>
      <c r="F1221" s="3071">
        <v>420000</v>
      </c>
      <c r="G1221" s="3070" t="s">
        <v>3174</v>
      </c>
      <c r="H1221" s="3070" t="s">
        <v>3174</v>
      </c>
      <c r="I1221" s="3070">
        <f t="shared" si="19"/>
        <v>9419</v>
      </c>
      <c r="J1221" s="3402"/>
      <c r="K1221" s="3402"/>
      <c r="L1221" s="3402"/>
      <c r="M1221" s="3402"/>
      <c r="N1221" s="3402"/>
    </row>
    <row r="1222" spans="1:14" ht="24">
      <c r="A1222" s="3398">
        <v>245</v>
      </c>
      <c r="B1222" s="3071">
        <v>53</v>
      </c>
      <c r="C1222" s="3072" t="s">
        <v>3524</v>
      </c>
      <c r="D1222" s="3118" t="s">
        <v>5079</v>
      </c>
      <c r="E1222" s="3119">
        <v>133.27000000000001</v>
      </c>
      <c r="F1222" s="3119">
        <v>7466984</v>
      </c>
      <c r="G1222" s="3070" t="s">
        <v>3173</v>
      </c>
      <c r="H1222" s="3070" t="s">
        <v>3058</v>
      </c>
      <c r="I1222" s="3070">
        <f t="shared" si="19"/>
        <v>56029</v>
      </c>
      <c r="J1222" s="3402"/>
      <c r="K1222" s="3402"/>
      <c r="L1222" s="3402"/>
      <c r="M1222" s="3402"/>
      <c r="N1222" s="3402"/>
    </row>
    <row r="1223" spans="1:14" ht="24">
      <c r="A1223" s="3399"/>
      <c r="B1223" s="3071">
        <v>53</v>
      </c>
      <c r="C1223" s="3072" t="s">
        <v>3526</v>
      </c>
      <c r="D1223" s="3118" t="s">
        <v>5080</v>
      </c>
      <c r="E1223" s="3119">
        <v>83.8</v>
      </c>
      <c r="F1223" s="3119">
        <v>2514000</v>
      </c>
      <c r="G1223" s="3070" t="s">
        <v>3501</v>
      </c>
      <c r="H1223" s="3070" t="s">
        <v>3230</v>
      </c>
      <c r="I1223" s="3070">
        <f t="shared" si="19"/>
        <v>30000</v>
      </c>
      <c r="J1223" s="3402"/>
      <c r="K1223" s="3402"/>
      <c r="L1223" s="3402"/>
      <c r="M1223" s="3402"/>
      <c r="N1223" s="3402"/>
    </row>
    <row r="1224" spans="1:14">
      <c r="A1224" s="3399"/>
      <c r="B1224" s="3071">
        <v>53</v>
      </c>
      <c r="C1224" s="3072">
        <v>-203</v>
      </c>
      <c r="D1224" s="3118" t="s">
        <v>5081</v>
      </c>
      <c r="E1224" s="3119">
        <v>83.89</v>
      </c>
      <c r="F1224" s="3119">
        <v>2516700</v>
      </c>
      <c r="G1224" s="3070" t="s">
        <v>3503</v>
      </c>
      <c r="H1224" s="3070" t="s">
        <v>3230</v>
      </c>
      <c r="I1224" s="3070">
        <f t="shared" si="19"/>
        <v>30000</v>
      </c>
      <c r="J1224" s="3402"/>
      <c r="K1224" s="3402"/>
      <c r="L1224" s="3402"/>
      <c r="M1224" s="3402"/>
      <c r="N1224" s="3402"/>
    </row>
    <row r="1225" spans="1:14">
      <c r="A1225" s="3399"/>
      <c r="B1225" s="3071">
        <v>53</v>
      </c>
      <c r="C1225" s="3071" t="s">
        <v>5082</v>
      </c>
      <c r="D1225" s="3118" t="s">
        <v>5083</v>
      </c>
      <c r="E1225" s="3071">
        <v>44.59</v>
      </c>
      <c r="F1225" s="3071">
        <v>420000</v>
      </c>
      <c r="G1225" s="3070" t="s">
        <v>3174</v>
      </c>
      <c r="H1225" s="3070" t="s">
        <v>3174</v>
      </c>
      <c r="I1225" s="3070">
        <f t="shared" si="19"/>
        <v>9419</v>
      </c>
      <c r="J1225" s="3402"/>
      <c r="K1225" s="3402"/>
      <c r="L1225" s="3402"/>
      <c r="M1225" s="3402"/>
      <c r="N1225" s="3402"/>
    </row>
    <row r="1226" spans="1:14">
      <c r="A1226" s="3400"/>
      <c r="B1226" s="3071">
        <v>53</v>
      </c>
      <c r="C1226" s="3071" t="s">
        <v>5084</v>
      </c>
      <c r="D1226" s="3118" t="s">
        <v>5085</v>
      </c>
      <c r="E1226" s="3071">
        <v>44.59</v>
      </c>
      <c r="F1226" s="3071">
        <v>420000</v>
      </c>
      <c r="G1226" s="3070" t="s">
        <v>3174</v>
      </c>
      <c r="H1226" s="3070" t="s">
        <v>3174</v>
      </c>
      <c r="I1226" s="3070">
        <f t="shared" si="19"/>
        <v>9419</v>
      </c>
      <c r="J1226" s="3402"/>
      <c r="K1226" s="3402"/>
      <c r="L1226" s="3402"/>
      <c r="M1226" s="3402"/>
      <c r="N1226" s="3402"/>
    </row>
    <row r="1227" spans="1:14" ht="24">
      <c r="A1227" s="3398">
        <v>246</v>
      </c>
      <c r="B1227" s="3071">
        <v>53</v>
      </c>
      <c r="C1227" s="3072" t="s">
        <v>3533</v>
      </c>
      <c r="D1227" s="3118" t="s">
        <v>5086</v>
      </c>
      <c r="E1227" s="3119">
        <v>133.46</v>
      </c>
      <c r="F1227" s="3119">
        <v>7579059</v>
      </c>
      <c r="G1227" s="3070" t="s">
        <v>3173</v>
      </c>
      <c r="H1227" s="3070" t="s">
        <v>3058</v>
      </c>
      <c r="I1227" s="3070">
        <f t="shared" si="19"/>
        <v>56789</v>
      </c>
      <c r="J1227" s="3402"/>
      <c r="K1227" s="3402"/>
      <c r="L1227" s="3402"/>
      <c r="M1227" s="3402"/>
      <c r="N1227" s="3402"/>
    </row>
    <row r="1228" spans="1:14" ht="24">
      <c r="A1228" s="3399"/>
      <c r="B1228" s="3071">
        <v>53</v>
      </c>
      <c r="C1228" s="3072" t="s">
        <v>3535</v>
      </c>
      <c r="D1228" s="3118" t="s">
        <v>5087</v>
      </c>
      <c r="E1228" s="3119">
        <v>84.06</v>
      </c>
      <c r="F1228" s="3119">
        <v>2521800</v>
      </c>
      <c r="G1228" s="3070" t="s">
        <v>3501</v>
      </c>
      <c r="H1228" s="3070" t="s">
        <v>3230</v>
      </c>
      <c r="I1228" s="3070">
        <f t="shared" si="19"/>
        <v>30000</v>
      </c>
      <c r="J1228" s="3402"/>
      <c r="K1228" s="3402"/>
      <c r="L1228" s="3402"/>
      <c r="M1228" s="3402"/>
      <c r="N1228" s="3402"/>
    </row>
    <row r="1229" spans="1:14">
      <c r="A1229" s="3399"/>
      <c r="B1229" s="3071">
        <v>53</v>
      </c>
      <c r="C1229" s="3072">
        <v>-204</v>
      </c>
      <c r="D1229" s="3118" t="s">
        <v>5088</v>
      </c>
      <c r="E1229" s="3119">
        <v>83.89</v>
      </c>
      <c r="F1229" s="3119">
        <v>2516700</v>
      </c>
      <c r="G1229" s="3070" t="s">
        <v>3503</v>
      </c>
      <c r="H1229" s="3070" t="s">
        <v>3230</v>
      </c>
      <c r="I1229" s="3070">
        <f t="shared" si="19"/>
        <v>30000</v>
      </c>
      <c r="J1229" s="3402"/>
      <c r="K1229" s="3402"/>
      <c r="L1229" s="3402"/>
      <c r="M1229" s="3402"/>
      <c r="N1229" s="3402"/>
    </row>
    <row r="1230" spans="1:14">
      <c r="A1230" s="3399"/>
      <c r="B1230" s="3071">
        <v>53</v>
      </c>
      <c r="C1230" s="3071" t="s">
        <v>5089</v>
      </c>
      <c r="D1230" s="3118" t="s">
        <v>5090</v>
      </c>
      <c r="E1230" s="3071">
        <v>44.59</v>
      </c>
      <c r="F1230" s="3071">
        <v>420000</v>
      </c>
      <c r="G1230" s="3070" t="s">
        <v>3174</v>
      </c>
      <c r="H1230" s="3070" t="s">
        <v>3174</v>
      </c>
      <c r="I1230" s="3070">
        <f t="shared" si="19"/>
        <v>9419</v>
      </c>
      <c r="J1230" s="3402"/>
      <c r="K1230" s="3402"/>
      <c r="L1230" s="3402"/>
      <c r="M1230" s="3402"/>
      <c r="N1230" s="3402"/>
    </row>
    <row r="1231" spans="1:14">
      <c r="A1231" s="3400"/>
      <c r="B1231" s="3071">
        <v>53</v>
      </c>
      <c r="C1231" s="3071" t="s">
        <v>5091</v>
      </c>
      <c r="D1231" s="3118" t="s">
        <v>5092</v>
      </c>
      <c r="E1231" s="3071">
        <v>44.59</v>
      </c>
      <c r="F1231" s="3071">
        <v>420000</v>
      </c>
      <c r="G1231" s="3070" t="s">
        <v>3174</v>
      </c>
      <c r="H1231" s="3070" t="s">
        <v>3174</v>
      </c>
      <c r="I1231" s="3070">
        <f t="shared" si="19"/>
        <v>9419</v>
      </c>
      <c r="J1231" s="3402"/>
      <c r="K1231" s="3402"/>
      <c r="L1231" s="3402"/>
      <c r="M1231" s="3402"/>
      <c r="N1231" s="3402"/>
    </row>
    <row r="1232" spans="1:14" ht="24">
      <c r="A1232" s="3398">
        <v>247</v>
      </c>
      <c r="B1232" s="3071">
        <v>53</v>
      </c>
      <c r="C1232" s="3072" t="s">
        <v>3542</v>
      </c>
      <c r="D1232" s="3118" t="s">
        <v>5093</v>
      </c>
      <c r="E1232" s="3119">
        <v>133.27000000000001</v>
      </c>
      <c r="F1232" s="3119">
        <v>8467042</v>
      </c>
      <c r="G1232" s="3070" t="s">
        <v>3173</v>
      </c>
      <c r="H1232" s="3070" t="s">
        <v>3058</v>
      </c>
      <c r="I1232" s="3070">
        <f t="shared" si="19"/>
        <v>63533</v>
      </c>
      <c r="J1232" s="3402"/>
      <c r="K1232" s="3402"/>
      <c r="L1232" s="3402"/>
      <c r="M1232" s="3402"/>
      <c r="N1232" s="3402"/>
    </row>
    <row r="1233" spans="1:14" ht="24">
      <c r="A1233" s="3399"/>
      <c r="B1233" s="3071">
        <v>53</v>
      </c>
      <c r="C1233" s="3072" t="s">
        <v>3544</v>
      </c>
      <c r="D1233" s="3118" t="s">
        <v>5094</v>
      </c>
      <c r="E1233" s="3119">
        <v>83.65</v>
      </c>
      <c r="F1233" s="3119">
        <v>2509500</v>
      </c>
      <c r="G1233" s="3070" t="s">
        <v>3501</v>
      </c>
      <c r="H1233" s="3070" t="s">
        <v>3230</v>
      </c>
      <c r="I1233" s="3070">
        <f t="shared" si="19"/>
        <v>30000</v>
      </c>
      <c r="J1233" s="3402"/>
      <c r="K1233" s="3402"/>
      <c r="L1233" s="3402"/>
      <c r="M1233" s="3402"/>
      <c r="N1233" s="3402"/>
    </row>
    <row r="1234" spans="1:14">
      <c r="A1234" s="3399"/>
      <c r="B1234" s="3071">
        <v>53</v>
      </c>
      <c r="C1234" s="3072">
        <v>-205</v>
      </c>
      <c r="D1234" s="3118" t="s">
        <v>5095</v>
      </c>
      <c r="E1234" s="3119">
        <v>83.18</v>
      </c>
      <c r="F1234" s="3119">
        <v>2495400</v>
      </c>
      <c r="G1234" s="3070" t="s">
        <v>3503</v>
      </c>
      <c r="H1234" s="3070" t="s">
        <v>3230</v>
      </c>
      <c r="I1234" s="3070">
        <f t="shared" si="19"/>
        <v>30000</v>
      </c>
      <c r="J1234" s="3402"/>
      <c r="K1234" s="3402"/>
      <c r="L1234" s="3402"/>
      <c r="M1234" s="3402"/>
      <c r="N1234" s="3402"/>
    </row>
    <row r="1235" spans="1:14">
      <c r="A1235" s="3399"/>
      <c r="B1235" s="3071">
        <v>53</v>
      </c>
      <c r="C1235" s="3071" t="s">
        <v>5096</v>
      </c>
      <c r="D1235" s="3118" t="s">
        <v>5097</v>
      </c>
      <c r="E1235" s="3071">
        <v>44.59</v>
      </c>
      <c r="F1235" s="3071">
        <v>420000</v>
      </c>
      <c r="G1235" s="3070" t="s">
        <v>3174</v>
      </c>
      <c r="H1235" s="3070" t="s">
        <v>3174</v>
      </c>
      <c r="I1235" s="3070">
        <f t="shared" si="19"/>
        <v>9419</v>
      </c>
      <c r="J1235" s="3402"/>
      <c r="K1235" s="3402"/>
      <c r="L1235" s="3402"/>
      <c r="M1235" s="3402"/>
      <c r="N1235" s="3402"/>
    </row>
    <row r="1236" spans="1:14">
      <c r="A1236" s="3400"/>
      <c r="B1236" s="3071">
        <v>53</v>
      </c>
      <c r="C1236" s="3071" t="s">
        <v>5098</v>
      </c>
      <c r="D1236" s="3118" t="s">
        <v>5099</v>
      </c>
      <c r="E1236" s="3071">
        <v>44.59</v>
      </c>
      <c r="F1236" s="3071">
        <v>420000</v>
      </c>
      <c r="G1236" s="3070" t="s">
        <v>3174</v>
      </c>
      <c r="H1236" s="3070" t="s">
        <v>3174</v>
      </c>
      <c r="I1236" s="3070">
        <f t="shared" si="19"/>
        <v>9419</v>
      </c>
      <c r="J1236" s="3402"/>
      <c r="K1236" s="3402"/>
      <c r="L1236" s="3402"/>
      <c r="M1236" s="3402"/>
      <c r="N1236" s="3402"/>
    </row>
    <row r="1237" spans="1:14" ht="24">
      <c r="A1237" s="3398">
        <v>248</v>
      </c>
      <c r="B1237" s="3071">
        <v>53</v>
      </c>
      <c r="C1237" s="3072" t="s">
        <v>3551</v>
      </c>
      <c r="D1237" s="3118" t="s">
        <v>5100</v>
      </c>
      <c r="E1237" s="3119">
        <v>133.27000000000001</v>
      </c>
      <c r="F1237" s="3119">
        <v>7567070</v>
      </c>
      <c r="G1237" s="3070" t="s">
        <v>3173</v>
      </c>
      <c r="H1237" s="3070" t="s">
        <v>3058</v>
      </c>
      <c r="I1237" s="3070">
        <f t="shared" si="19"/>
        <v>56780</v>
      </c>
      <c r="J1237" s="3402"/>
      <c r="K1237" s="3402"/>
      <c r="L1237" s="3402"/>
      <c r="M1237" s="3402"/>
      <c r="N1237" s="3402"/>
    </row>
    <row r="1238" spans="1:14" ht="24">
      <c r="A1238" s="3399"/>
      <c r="B1238" s="3071">
        <v>53</v>
      </c>
      <c r="C1238" s="3072" t="s">
        <v>3553</v>
      </c>
      <c r="D1238" s="3118" t="s">
        <v>5101</v>
      </c>
      <c r="E1238" s="3119">
        <v>83.8</v>
      </c>
      <c r="F1238" s="3119">
        <v>2514000</v>
      </c>
      <c r="G1238" s="3070" t="s">
        <v>3501</v>
      </c>
      <c r="H1238" s="3070" t="s">
        <v>3230</v>
      </c>
      <c r="I1238" s="3070">
        <f t="shared" ref="I1238:I1301" si="20">ROUND(F1238/E1238,0)</f>
        <v>30000</v>
      </c>
      <c r="J1238" s="3402"/>
      <c r="K1238" s="3402"/>
      <c r="L1238" s="3402"/>
      <c r="M1238" s="3402"/>
      <c r="N1238" s="3402"/>
    </row>
    <row r="1239" spans="1:14">
      <c r="A1239" s="3399"/>
      <c r="B1239" s="3071">
        <v>53</v>
      </c>
      <c r="C1239" s="3072">
        <v>-206</v>
      </c>
      <c r="D1239" s="3118" t="s">
        <v>5102</v>
      </c>
      <c r="E1239" s="3119">
        <v>83.89</v>
      </c>
      <c r="F1239" s="3119">
        <v>2516700</v>
      </c>
      <c r="G1239" s="3070" t="s">
        <v>3503</v>
      </c>
      <c r="H1239" s="3070" t="s">
        <v>3230</v>
      </c>
      <c r="I1239" s="3070">
        <f t="shared" si="20"/>
        <v>30000</v>
      </c>
      <c r="J1239" s="3402"/>
      <c r="K1239" s="3402"/>
      <c r="L1239" s="3402"/>
      <c r="M1239" s="3402"/>
      <c r="N1239" s="3402"/>
    </row>
    <row r="1240" spans="1:14">
      <c r="A1240" s="3399"/>
      <c r="B1240" s="3071">
        <v>53</v>
      </c>
      <c r="C1240" s="3071" t="s">
        <v>5103</v>
      </c>
      <c r="D1240" s="3118" t="s">
        <v>5104</v>
      </c>
      <c r="E1240" s="3071">
        <v>44.59</v>
      </c>
      <c r="F1240" s="3071">
        <v>420000</v>
      </c>
      <c r="G1240" s="3070" t="s">
        <v>3174</v>
      </c>
      <c r="H1240" s="3070" t="s">
        <v>3174</v>
      </c>
      <c r="I1240" s="3070">
        <f t="shared" si="20"/>
        <v>9419</v>
      </c>
      <c r="J1240" s="3402"/>
      <c r="K1240" s="3402"/>
      <c r="L1240" s="3402"/>
      <c r="M1240" s="3402"/>
      <c r="N1240" s="3402"/>
    </row>
    <row r="1241" spans="1:14">
      <c r="A1241" s="3400"/>
      <c r="B1241" s="3071">
        <v>53</v>
      </c>
      <c r="C1241" s="3071" t="s">
        <v>5105</v>
      </c>
      <c r="D1241" s="3118" t="s">
        <v>5106</v>
      </c>
      <c r="E1241" s="3071">
        <v>44.59</v>
      </c>
      <c r="F1241" s="3071">
        <v>420000</v>
      </c>
      <c r="G1241" s="3070" t="s">
        <v>3174</v>
      </c>
      <c r="H1241" s="3070" t="s">
        <v>3174</v>
      </c>
      <c r="I1241" s="3070">
        <f t="shared" si="20"/>
        <v>9419</v>
      </c>
      <c r="J1241" s="3402"/>
      <c r="K1241" s="3402"/>
      <c r="L1241" s="3402"/>
      <c r="M1241" s="3402"/>
      <c r="N1241" s="3402"/>
    </row>
    <row r="1242" spans="1:14" ht="24">
      <c r="A1242" s="3398">
        <v>249</v>
      </c>
      <c r="B1242" s="3071">
        <v>53</v>
      </c>
      <c r="C1242" s="3072" t="s">
        <v>3560</v>
      </c>
      <c r="D1242" s="3118" t="s">
        <v>5107</v>
      </c>
      <c r="E1242" s="3119">
        <v>133.27000000000001</v>
      </c>
      <c r="F1242" s="3119">
        <v>7567070</v>
      </c>
      <c r="G1242" s="3070" t="s">
        <v>3173</v>
      </c>
      <c r="H1242" s="3070" t="s">
        <v>3058</v>
      </c>
      <c r="I1242" s="3070">
        <f t="shared" si="20"/>
        <v>56780</v>
      </c>
      <c r="J1242" s="3402"/>
      <c r="K1242" s="3402"/>
      <c r="L1242" s="3402"/>
      <c r="M1242" s="3402"/>
      <c r="N1242" s="3402"/>
    </row>
    <row r="1243" spans="1:14" ht="24">
      <c r="A1243" s="3399"/>
      <c r="B1243" s="3071">
        <v>53</v>
      </c>
      <c r="C1243" s="3072" t="s">
        <v>3562</v>
      </c>
      <c r="D1243" s="3118" t="s">
        <v>5108</v>
      </c>
      <c r="E1243" s="3119">
        <v>83.8</v>
      </c>
      <c r="F1243" s="3119">
        <v>2514000</v>
      </c>
      <c r="G1243" s="3070" t="s">
        <v>3501</v>
      </c>
      <c r="H1243" s="3070" t="s">
        <v>3230</v>
      </c>
      <c r="I1243" s="3070">
        <f t="shared" si="20"/>
        <v>30000</v>
      </c>
      <c r="J1243" s="3402"/>
      <c r="K1243" s="3402"/>
      <c r="L1243" s="3402"/>
      <c r="M1243" s="3402"/>
      <c r="N1243" s="3402"/>
    </row>
    <row r="1244" spans="1:14">
      <c r="A1244" s="3399"/>
      <c r="B1244" s="3071">
        <v>53</v>
      </c>
      <c r="C1244" s="3072">
        <v>-207</v>
      </c>
      <c r="D1244" s="3118" t="s">
        <v>5109</v>
      </c>
      <c r="E1244" s="3119">
        <v>83.89</v>
      </c>
      <c r="F1244" s="3119">
        <v>2516700</v>
      </c>
      <c r="G1244" s="3070" t="s">
        <v>3503</v>
      </c>
      <c r="H1244" s="3070" t="s">
        <v>3230</v>
      </c>
      <c r="I1244" s="3070">
        <f t="shared" si="20"/>
        <v>30000</v>
      </c>
      <c r="J1244" s="3402"/>
      <c r="K1244" s="3402"/>
      <c r="L1244" s="3402"/>
      <c r="M1244" s="3402"/>
      <c r="N1244" s="3402"/>
    </row>
    <row r="1245" spans="1:14">
      <c r="A1245" s="3399"/>
      <c r="B1245" s="3071">
        <v>53</v>
      </c>
      <c r="C1245" s="3071" t="s">
        <v>5110</v>
      </c>
      <c r="D1245" s="3118" t="s">
        <v>5111</v>
      </c>
      <c r="E1245" s="3071">
        <v>44.59</v>
      </c>
      <c r="F1245" s="3071">
        <v>420000</v>
      </c>
      <c r="G1245" s="3070" t="s">
        <v>3174</v>
      </c>
      <c r="H1245" s="3070" t="s">
        <v>3174</v>
      </c>
      <c r="I1245" s="3070">
        <f t="shared" si="20"/>
        <v>9419</v>
      </c>
      <c r="J1245" s="3402"/>
      <c r="K1245" s="3402"/>
      <c r="L1245" s="3402"/>
      <c r="M1245" s="3402"/>
      <c r="N1245" s="3402"/>
    </row>
    <row r="1246" spans="1:14">
      <c r="A1246" s="3400"/>
      <c r="B1246" s="3071">
        <v>53</v>
      </c>
      <c r="C1246" s="3071" t="s">
        <v>5112</v>
      </c>
      <c r="D1246" s="3118" t="s">
        <v>5113</v>
      </c>
      <c r="E1246" s="3071">
        <v>44.59</v>
      </c>
      <c r="F1246" s="3071">
        <v>420000</v>
      </c>
      <c r="G1246" s="3070" t="s">
        <v>3174</v>
      </c>
      <c r="H1246" s="3070" t="s">
        <v>3174</v>
      </c>
      <c r="I1246" s="3070">
        <f t="shared" si="20"/>
        <v>9419</v>
      </c>
      <c r="J1246" s="3402"/>
      <c r="K1246" s="3402"/>
      <c r="L1246" s="3402"/>
      <c r="M1246" s="3402"/>
      <c r="N1246" s="3402"/>
    </row>
    <row r="1247" spans="1:14" ht="24">
      <c r="A1247" s="3398">
        <v>250</v>
      </c>
      <c r="B1247" s="3071">
        <v>53</v>
      </c>
      <c r="C1247" s="3072" t="s">
        <v>3611</v>
      </c>
      <c r="D1247" s="3118" t="s">
        <v>5114</v>
      </c>
      <c r="E1247" s="3119">
        <v>133.46</v>
      </c>
      <c r="F1247" s="3119">
        <v>7679154</v>
      </c>
      <c r="G1247" s="3070" t="s">
        <v>3173</v>
      </c>
      <c r="H1247" s="3070" t="s">
        <v>3058</v>
      </c>
      <c r="I1247" s="3070">
        <f t="shared" si="20"/>
        <v>57539</v>
      </c>
      <c r="J1247" s="3402"/>
      <c r="K1247" s="3402"/>
      <c r="L1247" s="3402"/>
      <c r="M1247" s="3402"/>
      <c r="N1247" s="3402"/>
    </row>
    <row r="1248" spans="1:14" ht="24">
      <c r="A1248" s="3399"/>
      <c r="B1248" s="3071">
        <v>53</v>
      </c>
      <c r="C1248" s="3072" t="s">
        <v>3613</v>
      </c>
      <c r="D1248" s="3118" t="s">
        <v>5115</v>
      </c>
      <c r="E1248" s="3119">
        <v>84.06</v>
      </c>
      <c r="F1248" s="3119">
        <v>2521800</v>
      </c>
      <c r="G1248" s="3070" t="s">
        <v>3501</v>
      </c>
      <c r="H1248" s="3070" t="s">
        <v>3230</v>
      </c>
      <c r="I1248" s="3070">
        <f t="shared" si="20"/>
        <v>30000</v>
      </c>
      <c r="J1248" s="3402"/>
      <c r="K1248" s="3402"/>
      <c r="L1248" s="3402"/>
      <c r="M1248" s="3402"/>
      <c r="N1248" s="3402"/>
    </row>
    <row r="1249" spans="1:14">
      <c r="A1249" s="3399"/>
      <c r="B1249" s="3071">
        <v>53</v>
      </c>
      <c r="C1249" s="3072">
        <v>-208</v>
      </c>
      <c r="D1249" s="3118" t="s">
        <v>5116</v>
      </c>
      <c r="E1249" s="3119">
        <v>83.89</v>
      </c>
      <c r="F1249" s="3119">
        <v>2516700</v>
      </c>
      <c r="G1249" s="3070" t="s">
        <v>3503</v>
      </c>
      <c r="H1249" s="3070" t="s">
        <v>3230</v>
      </c>
      <c r="I1249" s="3070">
        <f t="shared" si="20"/>
        <v>30000</v>
      </c>
      <c r="J1249" s="3402"/>
      <c r="K1249" s="3402"/>
      <c r="L1249" s="3402"/>
      <c r="M1249" s="3402"/>
      <c r="N1249" s="3402"/>
    </row>
    <row r="1250" spans="1:14">
      <c r="A1250" s="3399"/>
      <c r="B1250" s="3071">
        <v>53</v>
      </c>
      <c r="C1250" s="3071" t="s">
        <v>5117</v>
      </c>
      <c r="D1250" s="3118" t="s">
        <v>5118</v>
      </c>
      <c r="E1250" s="3071">
        <v>44.59</v>
      </c>
      <c r="F1250" s="3071">
        <v>420000</v>
      </c>
      <c r="G1250" s="3070" t="s">
        <v>3174</v>
      </c>
      <c r="H1250" s="3070" t="s">
        <v>3174</v>
      </c>
      <c r="I1250" s="3070">
        <f t="shared" si="20"/>
        <v>9419</v>
      </c>
      <c r="J1250" s="3402"/>
      <c r="K1250" s="3402"/>
      <c r="L1250" s="3402"/>
      <c r="M1250" s="3402"/>
      <c r="N1250" s="3402"/>
    </row>
    <row r="1251" spans="1:14">
      <c r="A1251" s="3400"/>
      <c r="B1251" s="3071">
        <v>53</v>
      </c>
      <c r="C1251" s="3071" t="s">
        <v>5119</v>
      </c>
      <c r="D1251" s="3118" t="s">
        <v>5120</v>
      </c>
      <c r="E1251" s="3071">
        <v>44.59</v>
      </c>
      <c r="F1251" s="3071">
        <v>420000</v>
      </c>
      <c r="G1251" s="3070" t="s">
        <v>3174</v>
      </c>
      <c r="H1251" s="3070" t="s">
        <v>3174</v>
      </c>
      <c r="I1251" s="3070">
        <f t="shared" si="20"/>
        <v>9419</v>
      </c>
      <c r="J1251" s="3403"/>
      <c r="K1251" s="3403"/>
      <c r="L1251" s="3403"/>
      <c r="M1251" s="3403"/>
      <c r="N1251" s="3403"/>
    </row>
    <row r="1252" spans="1:14" ht="24">
      <c r="A1252" s="3398">
        <v>251</v>
      </c>
      <c r="B1252" s="3071">
        <v>54</v>
      </c>
      <c r="C1252" s="3072" t="s">
        <v>3508</v>
      </c>
      <c r="D1252" s="3118" t="s">
        <v>5121</v>
      </c>
      <c r="E1252" s="3119">
        <v>134.02000000000001</v>
      </c>
      <c r="F1252" s="3119">
        <v>8514692</v>
      </c>
      <c r="G1252" s="3070" t="s">
        <v>3173</v>
      </c>
      <c r="H1252" s="3070" t="s">
        <v>3058</v>
      </c>
      <c r="I1252" s="3070">
        <f t="shared" si="20"/>
        <v>63533</v>
      </c>
      <c r="J1252" s="3401">
        <v>7</v>
      </c>
      <c r="K1252" s="3401">
        <v>7</v>
      </c>
      <c r="L1252" s="3401">
        <f>E1252+E1257+E1262+E1267+E1272+E1277+E1282</f>
        <v>940.31000000000006</v>
      </c>
      <c r="M1252" s="3401">
        <f>E1253+E1254+E1258+E1259+E1263+E1264+E1268+E1269+E1273+E1274+E1278+E1279+E1283+E1284</f>
        <v>1179.32</v>
      </c>
      <c r="N1252" s="3401">
        <f>L1252+M1252</f>
        <v>2119.63</v>
      </c>
    </row>
    <row r="1253" spans="1:14" ht="24">
      <c r="A1253" s="3399"/>
      <c r="B1253" s="3071">
        <v>54</v>
      </c>
      <c r="C1253" s="3072" t="s">
        <v>3510</v>
      </c>
      <c r="D1253" s="3118" t="s">
        <v>5122</v>
      </c>
      <c r="E1253" s="3119">
        <v>84.18</v>
      </c>
      <c r="F1253" s="3119">
        <v>2525400</v>
      </c>
      <c r="G1253" s="3070" t="s">
        <v>3501</v>
      </c>
      <c r="H1253" s="3070" t="s">
        <v>3230</v>
      </c>
      <c r="I1253" s="3070">
        <f t="shared" si="20"/>
        <v>30000</v>
      </c>
      <c r="J1253" s="3402"/>
      <c r="K1253" s="3402"/>
      <c r="L1253" s="3402"/>
      <c r="M1253" s="3402"/>
      <c r="N1253" s="3402"/>
    </row>
    <row r="1254" spans="1:14">
      <c r="A1254" s="3399"/>
      <c r="B1254" s="3071">
        <v>54</v>
      </c>
      <c r="C1254" s="3072">
        <v>-201</v>
      </c>
      <c r="D1254" s="3118" t="s">
        <v>5123</v>
      </c>
      <c r="E1254" s="3119">
        <v>83.36</v>
      </c>
      <c r="F1254" s="3119">
        <v>2500800</v>
      </c>
      <c r="G1254" s="3070" t="s">
        <v>3503</v>
      </c>
      <c r="H1254" s="3070" t="s">
        <v>3230</v>
      </c>
      <c r="I1254" s="3070">
        <f t="shared" si="20"/>
        <v>30000</v>
      </c>
      <c r="J1254" s="3402"/>
      <c r="K1254" s="3402"/>
      <c r="L1254" s="3402"/>
      <c r="M1254" s="3402"/>
      <c r="N1254" s="3402"/>
    </row>
    <row r="1255" spans="1:14">
      <c r="A1255" s="3399"/>
      <c r="B1255" s="3071">
        <v>54</v>
      </c>
      <c r="C1255" s="3071" t="s">
        <v>5124</v>
      </c>
      <c r="D1255" s="3118" t="s">
        <v>5125</v>
      </c>
      <c r="E1255" s="3071">
        <v>44.59</v>
      </c>
      <c r="F1255" s="3071">
        <v>420000</v>
      </c>
      <c r="G1255" s="3070" t="s">
        <v>3174</v>
      </c>
      <c r="H1255" s="3070" t="s">
        <v>3174</v>
      </c>
      <c r="I1255" s="3070">
        <f t="shared" si="20"/>
        <v>9419</v>
      </c>
      <c r="J1255" s="3402"/>
      <c r="K1255" s="3402"/>
      <c r="L1255" s="3402"/>
      <c r="M1255" s="3402"/>
      <c r="N1255" s="3402"/>
    </row>
    <row r="1256" spans="1:14">
      <c r="A1256" s="3400"/>
      <c r="B1256" s="3071">
        <v>54</v>
      </c>
      <c r="C1256" s="3071" t="s">
        <v>5126</v>
      </c>
      <c r="D1256" s="3118" t="s">
        <v>5127</v>
      </c>
      <c r="E1256" s="3071">
        <v>44.59</v>
      </c>
      <c r="F1256" s="3071">
        <v>420000</v>
      </c>
      <c r="G1256" s="3070" t="s">
        <v>3174</v>
      </c>
      <c r="H1256" s="3070" t="s">
        <v>3174</v>
      </c>
      <c r="I1256" s="3070">
        <f t="shared" si="20"/>
        <v>9419</v>
      </c>
      <c r="J1256" s="3402"/>
      <c r="K1256" s="3402"/>
      <c r="L1256" s="3402"/>
      <c r="M1256" s="3402"/>
      <c r="N1256" s="3402"/>
    </row>
    <row r="1257" spans="1:14" ht="24">
      <c r="A1257" s="3398">
        <v>252</v>
      </c>
      <c r="B1257" s="3071">
        <v>54</v>
      </c>
      <c r="C1257" s="3072" t="s">
        <v>3497</v>
      </c>
      <c r="D1257" s="3118" t="s">
        <v>5128</v>
      </c>
      <c r="E1257" s="3119">
        <v>135.62</v>
      </c>
      <c r="F1257" s="3119">
        <v>8616345</v>
      </c>
      <c r="G1257" s="3070" t="s">
        <v>3173</v>
      </c>
      <c r="H1257" s="3070" t="s">
        <v>3058</v>
      </c>
      <c r="I1257" s="3070">
        <f t="shared" si="20"/>
        <v>63533</v>
      </c>
      <c r="J1257" s="3402"/>
      <c r="K1257" s="3402"/>
      <c r="L1257" s="3402"/>
      <c r="M1257" s="3402"/>
      <c r="N1257" s="3402"/>
    </row>
    <row r="1258" spans="1:14" ht="24">
      <c r="A1258" s="3399"/>
      <c r="B1258" s="3071">
        <v>54</v>
      </c>
      <c r="C1258" s="3072" t="s">
        <v>3499</v>
      </c>
      <c r="D1258" s="3118" t="s">
        <v>5129</v>
      </c>
      <c r="E1258" s="3119">
        <v>84.91</v>
      </c>
      <c r="F1258" s="3119">
        <v>2547300</v>
      </c>
      <c r="G1258" s="3070" t="s">
        <v>3501</v>
      </c>
      <c r="H1258" s="3070" t="s">
        <v>3230</v>
      </c>
      <c r="I1258" s="3070">
        <f t="shared" si="20"/>
        <v>30000</v>
      </c>
      <c r="J1258" s="3402"/>
      <c r="K1258" s="3402"/>
      <c r="L1258" s="3402"/>
      <c r="M1258" s="3402"/>
      <c r="N1258" s="3402"/>
    </row>
    <row r="1259" spans="1:14">
      <c r="A1259" s="3399"/>
      <c r="B1259" s="3071">
        <v>54</v>
      </c>
      <c r="C1259" s="3072">
        <v>-202</v>
      </c>
      <c r="D1259" s="3118" t="s">
        <v>5130</v>
      </c>
      <c r="E1259" s="3119">
        <v>84.75</v>
      </c>
      <c r="F1259" s="3119">
        <v>2542500</v>
      </c>
      <c r="G1259" s="3070" t="s">
        <v>3503</v>
      </c>
      <c r="H1259" s="3070" t="s">
        <v>3230</v>
      </c>
      <c r="I1259" s="3070">
        <f t="shared" si="20"/>
        <v>30000</v>
      </c>
      <c r="J1259" s="3402"/>
      <c r="K1259" s="3402"/>
      <c r="L1259" s="3402"/>
      <c r="M1259" s="3402"/>
      <c r="N1259" s="3402"/>
    </row>
    <row r="1260" spans="1:14">
      <c r="A1260" s="3399"/>
      <c r="B1260" s="3071">
        <v>54</v>
      </c>
      <c r="C1260" s="3071" t="s">
        <v>5131</v>
      </c>
      <c r="D1260" s="3118" t="s">
        <v>5132</v>
      </c>
      <c r="E1260" s="3071">
        <v>44.59</v>
      </c>
      <c r="F1260" s="3071">
        <v>420000</v>
      </c>
      <c r="G1260" s="3070" t="s">
        <v>3174</v>
      </c>
      <c r="H1260" s="3070" t="s">
        <v>3174</v>
      </c>
      <c r="I1260" s="3070">
        <f t="shared" si="20"/>
        <v>9419</v>
      </c>
      <c r="J1260" s="3402"/>
      <c r="K1260" s="3402"/>
      <c r="L1260" s="3402"/>
      <c r="M1260" s="3402"/>
      <c r="N1260" s="3402"/>
    </row>
    <row r="1261" spans="1:14">
      <c r="A1261" s="3400"/>
      <c r="B1261" s="3071">
        <v>54</v>
      </c>
      <c r="C1261" s="3071" t="s">
        <v>5133</v>
      </c>
      <c r="D1261" s="3118" t="s">
        <v>5134</v>
      </c>
      <c r="E1261" s="3071">
        <v>44.59</v>
      </c>
      <c r="F1261" s="3071">
        <v>420000</v>
      </c>
      <c r="G1261" s="3070" t="s">
        <v>3174</v>
      </c>
      <c r="H1261" s="3070" t="s">
        <v>3174</v>
      </c>
      <c r="I1261" s="3070">
        <f t="shared" si="20"/>
        <v>9419</v>
      </c>
      <c r="J1261" s="3402"/>
      <c r="K1261" s="3402"/>
      <c r="L1261" s="3402"/>
      <c r="M1261" s="3402"/>
      <c r="N1261" s="3402"/>
    </row>
    <row r="1262" spans="1:14" ht="24">
      <c r="A1262" s="3398">
        <v>253</v>
      </c>
      <c r="B1262" s="3071">
        <v>54</v>
      </c>
      <c r="C1262" s="3072" t="s">
        <v>3524</v>
      </c>
      <c r="D1262" s="3118" t="s">
        <v>5135</v>
      </c>
      <c r="E1262" s="3119">
        <v>134.02000000000001</v>
      </c>
      <c r="F1262" s="3119">
        <v>7514635</v>
      </c>
      <c r="G1262" s="3070" t="s">
        <v>3173</v>
      </c>
      <c r="H1262" s="3070" t="s">
        <v>3058</v>
      </c>
      <c r="I1262" s="3070">
        <f t="shared" si="20"/>
        <v>56071</v>
      </c>
      <c r="J1262" s="3402"/>
      <c r="K1262" s="3402"/>
      <c r="L1262" s="3402"/>
      <c r="M1262" s="3402"/>
      <c r="N1262" s="3402"/>
    </row>
    <row r="1263" spans="1:14" ht="24">
      <c r="A1263" s="3399"/>
      <c r="B1263" s="3071">
        <v>54</v>
      </c>
      <c r="C1263" s="3072" t="s">
        <v>3526</v>
      </c>
      <c r="D1263" s="3118" t="s">
        <v>5136</v>
      </c>
      <c r="E1263" s="3119">
        <v>84.32</v>
      </c>
      <c r="F1263" s="3119">
        <v>2529600</v>
      </c>
      <c r="G1263" s="3070" t="s">
        <v>3501</v>
      </c>
      <c r="H1263" s="3070" t="s">
        <v>3230</v>
      </c>
      <c r="I1263" s="3070">
        <f t="shared" si="20"/>
        <v>30000</v>
      </c>
      <c r="J1263" s="3402"/>
      <c r="K1263" s="3402"/>
      <c r="L1263" s="3402"/>
      <c r="M1263" s="3402"/>
      <c r="N1263" s="3402"/>
    </row>
    <row r="1264" spans="1:14">
      <c r="A1264" s="3399"/>
      <c r="B1264" s="3071">
        <v>54</v>
      </c>
      <c r="C1264" s="3072">
        <v>-203</v>
      </c>
      <c r="D1264" s="3118" t="s">
        <v>5137</v>
      </c>
      <c r="E1264" s="3119">
        <v>84.08</v>
      </c>
      <c r="F1264" s="3119">
        <v>2522400</v>
      </c>
      <c r="G1264" s="3070" t="s">
        <v>3503</v>
      </c>
      <c r="H1264" s="3070" t="s">
        <v>3230</v>
      </c>
      <c r="I1264" s="3070">
        <f t="shared" si="20"/>
        <v>30000</v>
      </c>
      <c r="J1264" s="3402"/>
      <c r="K1264" s="3402"/>
      <c r="L1264" s="3402"/>
      <c r="M1264" s="3402"/>
      <c r="N1264" s="3402"/>
    </row>
    <row r="1265" spans="1:14">
      <c r="A1265" s="3399"/>
      <c r="B1265" s="3071">
        <v>54</v>
      </c>
      <c r="C1265" s="3071" t="s">
        <v>5138</v>
      </c>
      <c r="D1265" s="3118" t="s">
        <v>5139</v>
      </c>
      <c r="E1265" s="3071">
        <v>44.59</v>
      </c>
      <c r="F1265" s="3071">
        <v>420000</v>
      </c>
      <c r="G1265" s="3070" t="s">
        <v>3174</v>
      </c>
      <c r="H1265" s="3070" t="s">
        <v>3174</v>
      </c>
      <c r="I1265" s="3070">
        <f t="shared" si="20"/>
        <v>9419</v>
      </c>
      <c r="J1265" s="3402"/>
      <c r="K1265" s="3402"/>
      <c r="L1265" s="3402"/>
      <c r="M1265" s="3402"/>
      <c r="N1265" s="3402"/>
    </row>
    <row r="1266" spans="1:14">
      <c r="A1266" s="3400"/>
      <c r="B1266" s="3071">
        <v>54</v>
      </c>
      <c r="C1266" s="3071" t="s">
        <v>5140</v>
      </c>
      <c r="D1266" s="3118" t="s">
        <v>5141</v>
      </c>
      <c r="E1266" s="3071">
        <v>44.59</v>
      </c>
      <c r="F1266" s="3071">
        <v>420000</v>
      </c>
      <c r="G1266" s="3070" t="s">
        <v>3174</v>
      </c>
      <c r="H1266" s="3070" t="s">
        <v>3174</v>
      </c>
      <c r="I1266" s="3070">
        <f t="shared" si="20"/>
        <v>9419</v>
      </c>
      <c r="J1266" s="3402"/>
      <c r="K1266" s="3402"/>
      <c r="L1266" s="3402"/>
      <c r="M1266" s="3402"/>
      <c r="N1266" s="3402"/>
    </row>
    <row r="1267" spans="1:14" ht="24">
      <c r="A1267" s="3398">
        <v>254</v>
      </c>
      <c r="B1267" s="3071">
        <v>54</v>
      </c>
      <c r="C1267" s="3072" t="s">
        <v>3533</v>
      </c>
      <c r="D1267" s="3118" t="s">
        <v>5142</v>
      </c>
      <c r="E1267" s="3119">
        <v>134.21</v>
      </c>
      <c r="F1267" s="3119">
        <v>7626751</v>
      </c>
      <c r="G1267" s="3070" t="s">
        <v>3173</v>
      </c>
      <c r="H1267" s="3070" t="s">
        <v>3058</v>
      </c>
      <c r="I1267" s="3070">
        <f t="shared" si="20"/>
        <v>56827</v>
      </c>
      <c r="J1267" s="3402"/>
      <c r="K1267" s="3402"/>
      <c r="L1267" s="3402"/>
      <c r="M1267" s="3402"/>
      <c r="N1267" s="3402"/>
    </row>
    <row r="1268" spans="1:14" ht="24">
      <c r="A1268" s="3399"/>
      <c r="B1268" s="3071">
        <v>54</v>
      </c>
      <c r="C1268" s="3072" t="s">
        <v>3535</v>
      </c>
      <c r="D1268" s="3118" t="s">
        <v>5143</v>
      </c>
      <c r="E1268" s="3119">
        <v>84.65</v>
      </c>
      <c r="F1268" s="3119">
        <v>2539500</v>
      </c>
      <c r="G1268" s="3070" t="s">
        <v>3501</v>
      </c>
      <c r="H1268" s="3070" t="s">
        <v>3230</v>
      </c>
      <c r="I1268" s="3070">
        <f t="shared" si="20"/>
        <v>30000</v>
      </c>
      <c r="J1268" s="3402"/>
      <c r="K1268" s="3402"/>
      <c r="L1268" s="3402"/>
      <c r="M1268" s="3402"/>
      <c r="N1268" s="3402"/>
    </row>
    <row r="1269" spans="1:14">
      <c r="A1269" s="3399"/>
      <c r="B1269" s="3071">
        <v>54</v>
      </c>
      <c r="C1269" s="3072">
        <v>-204</v>
      </c>
      <c r="D1269" s="3118" t="s">
        <v>5144</v>
      </c>
      <c r="E1269" s="3119">
        <v>84.08</v>
      </c>
      <c r="F1269" s="3119">
        <v>2522400</v>
      </c>
      <c r="G1269" s="3070" t="s">
        <v>3503</v>
      </c>
      <c r="H1269" s="3070" t="s">
        <v>3230</v>
      </c>
      <c r="I1269" s="3070">
        <f t="shared" si="20"/>
        <v>30000</v>
      </c>
      <c r="J1269" s="3402"/>
      <c r="K1269" s="3402"/>
      <c r="L1269" s="3402"/>
      <c r="M1269" s="3402"/>
      <c r="N1269" s="3402"/>
    </row>
    <row r="1270" spans="1:14">
      <c r="A1270" s="3399"/>
      <c r="B1270" s="3071">
        <v>54</v>
      </c>
      <c r="C1270" s="3071" t="s">
        <v>5145</v>
      </c>
      <c r="D1270" s="3118" t="s">
        <v>5146</v>
      </c>
      <c r="E1270" s="3071">
        <v>44.59</v>
      </c>
      <c r="F1270" s="3071">
        <v>420000</v>
      </c>
      <c r="G1270" s="3070" t="s">
        <v>3174</v>
      </c>
      <c r="H1270" s="3070" t="s">
        <v>3174</v>
      </c>
      <c r="I1270" s="3070">
        <f t="shared" si="20"/>
        <v>9419</v>
      </c>
      <c r="J1270" s="3402"/>
      <c r="K1270" s="3402"/>
      <c r="L1270" s="3402"/>
      <c r="M1270" s="3402"/>
      <c r="N1270" s="3402"/>
    </row>
    <row r="1271" spans="1:14">
      <c r="A1271" s="3400"/>
      <c r="B1271" s="3071">
        <v>54</v>
      </c>
      <c r="C1271" s="3071" t="s">
        <v>5147</v>
      </c>
      <c r="D1271" s="3118" t="s">
        <v>5148</v>
      </c>
      <c r="E1271" s="3071">
        <v>44.49</v>
      </c>
      <c r="F1271" s="3071">
        <v>420000</v>
      </c>
      <c r="G1271" s="3070" t="s">
        <v>3174</v>
      </c>
      <c r="H1271" s="3070" t="s">
        <v>3174</v>
      </c>
      <c r="I1271" s="3070">
        <f t="shared" si="20"/>
        <v>9440</v>
      </c>
      <c r="J1271" s="3402"/>
      <c r="K1271" s="3402"/>
      <c r="L1271" s="3402"/>
      <c r="M1271" s="3402"/>
      <c r="N1271" s="3402"/>
    </row>
    <row r="1272" spans="1:14" ht="24">
      <c r="A1272" s="3398">
        <v>255</v>
      </c>
      <c r="B1272" s="3071">
        <v>54</v>
      </c>
      <c r="C1272" s="3072" t="s">
        <v>3542</v>
      </c>
      <c r="D1272" s="3118" t="s">
        <v>5149</v>
      </c>
      <c r="E1272" s="3119">
        <v>134.21</v>
      </c>
      <c r="F1272" s="3119">
        <v>8526763</v>
      </c>
      <c r="G1272" s="3070" t="s">
        <v>3173</v>
      </c>
      <c r="H1272" s="3070" t="s">
        <v>3058</v>
      </c>
      <c r="I1272" s="3070">
        <f t="shared" si="20"/>
        <v>63533</v>
      </c>
      <c r="J1272" s="3402"/>
      <c r="K1272" s="3402"/>
      <c r="L1272" s="3402"/>
      <c r="M1272" s="3402"/>
      <c r="N1272" s="3402"/>
    </row>
    <row r="1273" spans="1:14" ht="24">
      <c r="A1273" s="3399"/>
      <c r="B1273" s="3071">
        <v>54</v>
      </c>
      <c r="C1273" s="3072" t="s">
        <v>3544</v>
      </c>
      <c r="D1273" s="3118" t="s">
        <v>5150</v>
      </c>
      <c r="E1273" s="3119">
        <v>84.5</v>
      </c>
      <c r="F1273" s="3119">
        <v>2535000</v>
      </c>
      <c r="G1273" s="3070" t="s">
        <v>3501</v>
      </c>
      <c r="H1273" s="3070" t="s">
        <v>3230</v>
      </c>
      <c r="I1273" s="3070">
        <f t="shared" si="20"/>
        <v>30000</v>
      </c>
      <c r="J1273" s="3402"/>
      <c r="K1273" s="3402"/>
      <c r="L1273" s="3402"/>
      <c r="M1273" s="3402"/>
      <c r="N1273" s="3402"/>
    </row>
    <row r="1274" spans="1:14">
      <c r="A1274" s="3399"/>
      <c r="B1274" s="3071">
        <v>54</v>
      </c>
      <c r="C1274" s="3072">
        <v>-205</v>
      </c>
      <c r="D1274" s="3118" t="s">
        <v>5151</v>
      </c>
      <c r="E1274" s="3119">
        <v>83.36</v>
      </c>
      <c r="F1274" s="3119">
        <v>2500800</v>
      </c>
      <c r="G1274" s="3070" t="s">
        <v>3503</v>
      </c>
      <c r="H1274" s="3070" t="s">
        <v>3230</v>
      </c>
      <c r="I1274" s="3070">
        <f t="shared" si="20"/>
        <v>30000</v>
      </c>
      <c r="J1274" s="3402"/>
      <c r="K1274" s="3402"/>
      <c r="L1274" s="3402"/>
      <c r="M1274" s="3402"/>
      <c r="N1274" s="3402"/>
    </row>
    <row r="1275" spans="1:14">
      <c r="A1275" s="3399"/>
      <c r="B1275" s="3071">
        <v>54</v>
      </c>
      <c r="C1275" s="3071" t="s">
        <v>5152</v>
      </c>
      <c r="D1275" s="3118" t="s">
        <v>5153</v>
      </c>
      <c r="E1275" s="3071">
        <v>44.59</v>
      </c>
      <c r="F1275" s="3071">
        <v>420000</v>
      </c>
      <c r="G1275" s="3070" t="s">
        <v>3174</v>
      </c>
      <c r="H1275" s="3070" t="s">
        <v>3174</v>
      </c>
      <c r="I1275" s="3070">
        <f t="shared" si="20"/>
        <v>9419</v>
      </c>
      <c r="J1275" s="3402"/>
      <c r="K1275" s="3402"/>
      <c r="L1275" s="3402"/>
      <c r="M1275" s="3402"/>
      <c r="N1275" s="3402"/>
    </row>
    <row r="1276" spans="1:14">
      <c r="A1276" s="3400"/>
      <c r="B1276" s="3071">
        <v>54</v>
      </c>
      <c r="C1276" s="3071" t="s">
        <v>5154</v>
      </c>
      <c r="D1276" s="3118" t="s">
        <v>5155</v>
      </c>
      <c r="E1276" s="3071">
        <v>44.59</v>
      </c>
      <c r="F1276" s="3071">
        <v>420000</v>
      </c>
      <c r="G1276" s="3070" t="s">
        <v>3174</v>
      </c>
      <c r="H1276" s="3070" t="s">
        <v>3174</v>
      </c>
      <c r="I1276" s="3070">
        <f t="shared" si="20"/>
        <v>9419</v>
      </c>
      <c r="J1276" s="3402"/>
      <c r="K1276" s="3402"/>
      <c r="L1276" s="3402"/>
      <c r="M1276" s="3402"/>
      <c r="N1276" s="3402"/>
    </row>
    <row r="1277" spans="1:14" ht="24">
      <c r="A1277" s="3398">
        <v>256</v>
      </c>
      <c r="B1277" s="3071">
        <v>54</v>
      </c>
      <c r="C1277" s="3072" t="s">
        <v>3551</v>
      </c>
      <c r="D1277" s="3118" t="s">
        <v>5156</v>
      </c>
      <c r="E1277" s="3119">
        <v>134.02000000000001</v>
      </c>
      <c r="F1277" s="3119">
        <v>8514692</v>
      </c>
      <c r="G1277" s="3070" t="s">
        <v>3173</v>
      </c>
      <c r="H1277" s="3070" t="s">
        <v>3058</v>
      </c>
      <c r="I1277" s="3070">
        <f t="shared" si="20"/>
        <v>63533</v>
      </c>
      <c r="J1277" s="3402"/>
      <c r="K1277" s="3402"/>
      <c r="L1277" s="3402"/>
      <c r="M1277" s="3402"/>
      <c r="N1277" s="3402"/>
    </row>
    <row r="1278" spans="1:14" ht="24">
      <c r="A1278" s="3399"/>
      <c r="B1278" s="3071">
        <v>54</v>
      </c>
      <c r="C1278" s="3072" t="s">
        <v>3553</v>
      </c>
      <c r="D1278" s="3118" t="s">
        <v>5157</v>
      </c>
      <c r="E1278" s="3119">
        <v>84.32</v>
      </c>
      <c r="F1278" s="3119">
        <v>2529600</v>
      </c>
      <c r="G1278" s="3070" t="s">
        <v>3501</v>
      </c>
      <c r="H1278" s="3070" t="s">
        <v>3230</v>
      </c>
      <c r="I1278" s="3070">
        <f t="shared" si="20"/>
        <v>30000</v>
      </c>
      <c r="J1278" s="3402"/>
      <c r="K1278" s="3402"/>
      <c r="L1278" s="3402"/>
      <c r="M1278" s="3402"/>
      <c r="N1278" s="3402"/>
    </row>
    <row r="1279" spans="1:14">
      <c r="A1279" s="3399"/>
      <c r="B1279" s="3071">
        <v>54</v>
      </c>
      <c r="C1279" s="3072">
        <v>-206</v>
      </c>
      <c r="D1279" s="3118" t="s">
        <v>5158</v>
      </c>
      <c r="E1279" s="3119">
        <v>84.08</v>
      </c>
      <c r="F1279" s="3119">
        <v>2522400</v>
      </c>
      <c r="G1279" s="3070" t="s">
        <v>3503</v>
      </c>
      <c r="H1279" s="3070" t="s">
        <v>3230</v>
      </c>
      <c r="I1279" s="3070">
        <f t="shared" si="20"/>
        <v>30000</v>
      </c>
      <c r="J1279" s="3402"/>
      <c r="K1279" s="3402"/>
      <c r="L1279" s="3402"/>
      <c r="M1279" s="3402"/>
      <c r="N1279" s="3402"/>
    </row>
    <row r="1280" spans="1:14">
      <c r="A1280" s="3399"/>
      <c r="B1280" s="3071">
        <v>54</v>
      </c>
      <c r="C1280" s="3071" t="s">
        <v>5159</v>
      </c>
      <c r="D1280" s="3118" t="s">
        <v>5160</v>
      </c>
      <c r="E1280" s="3071">
        <v>44.59</v>
      </c>
      <c r="F1280" s="3071">
        <v>420000</v>
      </c>
      <c r="G1280" s="3070" t="s">
        <v>3174</v>
      </c>
      <c r="H1280" s="3070" t="s">
        <v>3174</v>
      </c>
      <c r="I1280" s="3070">
        <f t="shared" si="20"/>
        <v>9419</v>
      </c>
      <c r="J1280" s="3402"/>
      <c r="K1280" s="3402"/>
      <c r="L1280" s="3402"/>
      <c r="M1280" s="3402"/>
      <c r="N1280" s="3402"/>
    </row>
    <row r="1281" spans="1:14">
      <c r="A1281" s="3400"/>
      <c r="B1281" s="3071">
        <v>54</v>
      </c>
      <c r="C1281" s="3071" t="s">
        <v>5161</v>
      </c>
      <c r="D1281" s="3118" t="s">
        <v>5162</v>
      </c>
      <c r="E1281" s="3071">
        <v>44.59</v>
      </c>
      <c r="F1281" s="3071">
        <v>420000</v>
      </c>
      <c r="G1281" s="3070" t="s">
        <v>3174</v>
      </c>
      <c r="H1281" s="3070" t="s">
        <v>3174</v>
      </c>
      <c r="I1281" s="3070">
        <f t="shared" si="20"/>
        <v>9419</v>
      </c>
      <c r="J1281" s="3402"/>
      <c r="K1281" s="3402"/>
      <c r="L1281" s="3402"/>
      <c r="M1281" s="3402"/>
      <c r="N1281" s="3402"/>
    </row>
    <row r="1282" spans="1:14" ht="24">
      <c r="A1282" s="3398">
        <v>257</v>
      </c>
      <c r="B1282" s="3071">
        <v>54</v>
      </c>
      <c r="C1282" s="3072" t="s">
        <v>3560</v>
      </c>
      <c r="D1282" s="3118" t="s">
        <v>5163</v>
      </c>
      <c r="E1282" s="3119">
        <v>134.21</v>
      </c>
      <c r="F1282" s="3119">
        <v>7726738</v>
      </c>
      <c r="G1282" s="3070" t="s">
        <v>3173</v>
      </c>
      <c r="H1282" s="3070" t="s">
        <v>3058</v>
      </c>
      <c r="I1282" s="3070">
        <f t="shared" si="20"/>
        <v>57572</v>
      </c>
      <c r="J1282" s="3402"/>
      <c r="K1282" s="3402"/>
      <c r="L1282" s="3402"/>
      <c r="M1282" s="3402"/>
      <c r="N1282" s="3402"/>
    </row>
    <row r="1283" spans="1:14" ht="24">
      <c r="A1283" s="3399"/>
      <c r="B1283" s="3071">
        <v>54</v>
      </c>
      <c r="C1283" s="3072" t="s">
        <v>3562</v>
      </c>
      <c r="D1283" s="3118" t="s">
        <v>5164</v>
      </c>
      <c r="E1283" s="3119">
        <v>84.65</v>
      </c>
      <c r="F1283" s="3119">
        <v>2539500</v>
      </c>
      <c r="G1283" s="3070" t="s">
        <v>3501</v>
      </c>
      <c r="H1283" s="3070" t="s">
        <v>3230</v>
      </c>
      <c r="I1283" s="3070">
        <f t="shared" si="20"/>
        <v>30000</v>
      </c>
      <c r="J1283" s="3402"/>
      <c r="K1283" s="3402"/>
      <c r="L1283" s="3402"/>
      <c r="M1283" s="3402"/>
      <c r="N1283" s="3402"/>
    </row>
    <row r="1284" spans="1:14">
      <c r="A1284" s="3399"/>
      <c r="B1284" s="3071">
        <v>54</v>
      </c>
      <c r="C1284" s="3072">
        <v>-207</v>
      </c>
      <c r="D1284" s="3118" t="s">
        <v>5165</v>
      </c>
      <c r="E1284" s="3119">
        <v>84.08</v>
      </c>
      <c r="F1284" s="3119">
        <v>2522400</v>
      </c>
      <c r="G1284" s="3070" t="s">
        <v>3503</v>
      </c>
      <c r="H1284" s="3070" t="s">
        <v>3230</v>
      </c>
      <c r="I1284" s="3070">
        <f t="shared" si="20"/>
        <v>30000</v>
      </c>
      <c r="J1284" s="3402"/>
      <c r="K1284" s="3402"/>
      <c r="L1284" s="3402"/>
      <c r="M1284" s="3402"/>
      <c r="N1284" s="3402"/>
    </row>
    <row r="1285" spans="1:14">
      <c r="A1285" s="3399"/>
      <c r="B1285" s="3071">
        <v>54</v>
      </c>
      <c r="C1285" s="3071" t="s">
        <v>5166</v>
      </c>
      <c r="D1285" s="3118" t="s">
        <v>5167</v>
      </c>
      <c r="E1285" s="3071">
        <v>44.59</v>
      </c>
      <c r="F1285" s="3071">
        <v>420000</v>
      </c>
      <c r="G1285" s="3070" t="s">
        <v>3174</v>
      </c>
      <c r="H1285" s="3070" t="s">
        <v>3174</v>
      </c>
      <c r="I1285" s="3070">
        <f t="shared" si="20"/>
        <v>9419</v>
      </c>
      <c r="J1285" s="3402"/>
      <c r="K1285" s="3402"/>
      <c r="L1285" s="3402"/>
      <c r="M1285" s="3402"/>
      <c r="N1285" s="3402"/>
    </row>
    <row r="1286" spans="1:14">
      <c r="A1286" s="3400"/>
      <c r="B1286" s="3071">
        <v>54</v>
      </c>
      <c r="C1286" s="3071" t="s">
        <v>5168</v>
      </c>
      <c r="D1286" s="3118" t="s">
        <v>5169</v>
      </c>
      <c r="E1286" s="3071">
        <v>44.59</v>
      </c>
      <c r="F1286" s="3071">
        <v>420000</v>
      </c>
      <c r="G1286" s="3070" t="s">
        <v>3174</v>
      </c>
      <c r="H1286" s="3070" t="s">
        <v>3174</v>
      </c>
      <c r="I1286" s="3070">
        <f t="shared" si="20"/>
        <v>9419</v>
      </c>
      <c r="J1286" s="3403"/>
      <c r="K1286" s="3403"/>
      <c r="L1286" s="3403"/>
      <c r="M1286" s="3403"/>
      <c r="N1286" s="3403"/>
    </row>
    <row r="1287" spans="1:14" ht="24">
      <c r="A1287" s="3398">
        <v>258</v>
      </c>
      <c r="B1287" s="3071">
        <v>55</v>
      </c>
      <c r="C1287" s="3072" t="s">
        <v>3508</v>
      </c>
      <c r="D1287" s="3118" t="s">
        <v>5170</v>
      </c>
      <c r="E1287" s="3119">
        <v>137.49</v>
      </c>
      <c r="F1287" s="3119">
        <v>8735152</v>
      </c>
      <c r="G1287" s="3070" t="s">
        <v>3173</v>
      </c>
      <c r="H1287" s="3070" t="s">
        <v>3058</v>
      </c>
      <c r="I1287" s="3070">
        <f t="shared" si="20"/>
        <v>63533</v>
      </c>
      <c r="J1287" s="3401">
        <v>4</v>
      </c>
      <c r="K1287" s="3401">
        <v>4</v>
      </c>
      <c r="L1287" s="3401">
        <f>E1287+E1292+E1297+E1302</f>
        <v>550.16000000000008</v>
      </c>
      <c r="M1287" s="3401">
        <f>E1288+E1289+E1293+E1294+E1298+E1299+E1303+E1304</f>
        <v>683.65999999999985</v>
      </c>
      <c r="N1287" s="3401">
        <f>L1287+M1287</f>
        <v>1233.82</v>
      </c>
    </row>
    <row r="1288" spans="1:14" ht="24">
      <c r="A1288" s="3399"/>
      <c r="B1288" s="3071">
        <v>55</v>
      </c>
      <c r="C1288" s="3072" t="s">
        <v>3510</v>
      </c>
      <c r="D1288" s="3118" t="s">
        <v>5171</v>
      </c>
      <c r="E1288" s="3119">
        <v>85.72</v>
      </c>
      <c r="F1288" s="3119">
        <v>2571600</v>
      </c>
      <c r="G1288" s="3070" t="s">
        <v>3501</v>
      </c>
      <c r="H1288" s="3070" t="s">
        <v>3230</v>
      </c>
      <c r="I1288" s="3070">
        <f t="shared" si="20"/>
        <v>30000</v>
      </c>
      <c r="J1288" s="3402"/>
      <c r="K1288" s="3402"/>
      <c r="L1288" s="3402"/>
      <c r="M1288" s="3402"/>
      <c r="N1288" s="3402"/>
    </row>
    <row r="1289" spans="1:14">
      <c r="A1289" s="3399"/>
      <c r="B1289" s="3071">
        <v>55</v>
      </c>
      <c r="C1289" s="3072">
        <v>-201</v>
      </c>
      <c r="D1289" s="3118" t="s">
        <v>5172</v>
      </c>
      <c r="E1289" s="3119">
        <v>84.46</v>
      </c>
      <c r="F1289" s="3119">
        <v>2533800</v>
      </c>
      <c r="G1289" s="3070" t="s">
        <v>3503</v>
      </c>
      <c r="H1289" s="3070" t="s">
        <v>3230</v>
      </c>
      <c r="I1289" s="3070">
        <f t="shared" si="20"/>
        <v>30000</v>
      </c>
      <c r="J1289" s="3402"/>
      <c r="K1289" s="3402"/>
      <c r="L1289" s="3402"/>
      <c r="M1289" s="3402"/>
      <c r="N1289" s="3402"/>
    </row>
    <row r="1290" spans="1:14">
      <c r="A1290" s="3399"/>
      <c r="B1290" s="3071">
        <v>55</v>
      </c>
      <c r="C1290" s="3071" t="s">
        <v>5173</v>
      </c>
      <c r="D1290" s="3118" t="s">
        <v>5174</v>
      </c>
      <c r="E1290" s="3071">
        <v>44.59</v>
      </c>
      <c r="F1290" s="3071">
        <v>420000</v>
      </c>
      <c r="G1290" s="3070" t="s">
        <v>3174</v>
      </c>
      <c r="H1290" s="3070" t="s">
        <v>3174</v>
      </c>
      <c r="I1290" s="3070">
        <f t="shared" si="20"/>
        <v>9419</v>
      </c>
      <c r="J1290" s="3402"/>
      <c r="K1290" s="3402"/>
      <c r="L1290" s="3402"/>
      <c r="M1290" s="3402"/>
      <c r="N1290" s="3402"/>
    </row>
    <row r="1291" spans="1:14">
      <c r="A1291" s="3400"/>
      <c r="B1291" s="3071">
        <v>55</v>
      </c>
      <c r="C1291" s="3071" t="s">
        <v>5175</v>
      </c>
      <c r="D1291" s="3118" t="s">
        <v>5176</v>
      </c>
      <c r="E1291" s="3071">
        <v>44.59</v>
      </c>
      <c r="F1291" s="3071">
        <v>420000</v>
      </c>
      <c r="G1291" s="3070" t="s">
        <v>3174</v>
      </c>
      <c r="H1291" s="3070" t="s">
        <v>3174</v>
      </c>
      <c r="I1291" s="3070">
        <f t="shared" si="20"/>
        <v>9419</v>
      </c>
      <c r="J1291" s="3402"/>
      <c r="K1291" s="3402"/>
      <c r="L1291" s="3402"/>
      <c r="M1291" s="3402"/>
      <c r="N1291" s="3402"/>
    </row>
    <row r="1292" spans="1:14" ht="24">
      <c r="A1292" s="3398">
        <v>259</v>
      </c>
      <c r="B1292" s="3071">
        <v>55</v>
      </c>
      <c r="C1292" s="3072" t="s">
        <v>3497</v>
      </c>
      <c r="D1292" s="3118" t="s">
        <v>5177</v>
      </c>
      <c r="E1292" s="3119">
        <v>137.49</v>
      </c>
      <c r="F1292" s="3119">
        <v>8735152</v>
      </c>
      <c r="G1292" s="3070" t="s">
        <v>3173</v>
      </c>
      <c r="H1292" s="3070" t="s">
        <v>3058</v>
      </c>
      <c r="I1292" s="3070">
        <f t="shared" si="20"/>
        <v>63533</v>
      </c>
      <c r="J1292" s="3402"/>
      <c r="K1292" s="3402"/>
      <c r="L1292" s="3402"/>
      <c r="M1292" s="3402"/>
      <c r="N1292" s="3402"/>
    </row>
    <row r="1293" spans="1:14" ht="24">
      <c r="A1293" s="3399"/>
      <c r="B1293" s="3071">
        <v>55</v>
      </c>
      <c r="C1293" s="3072" t="s">
        <v>3499</v>
      </c>
      <c r="D1293" s="3118" t="s">
        <v>5178</v>
      </c>
      <c r="E1293" s="3119">
        <v>85.88</v>
      </c>
      <c r="F1293" s="3119">
        <v>2576400</v>
      </c>
      <c r="G1293" s="3070" t="s">
        <v>3501</v>
      </c>
      <c r="H1293" s="3070" t="s">
        <v>3230</v>
      </c>
      <c r="I1293" s="3070">
        <f t="shared" si="20"/>
        <v>30000</v>
      </c>
      <c r="J1293" s="3402"/>
      <c r="K1293" s="3402"/>
      <c r="L1293" s="3402"/>
      <c r="M1293" s="3402"/>
      <c r="N1293" s="3402"/>
    </row>
    <row r="1294" spans="1:14">
      <c r="A1294" s="3399"/>
      <c r="B1294" s="3071">
        <v>55</v>
      </c>
      <c r="C1294" s="3072">
        <v>-202</v>
      </c>
      <c r="D1294" s="3118" t="s">
        <v>5179</v>
      </c>
      <c r="E1294" s="3119">
        <v>85.19</v>
      </c>
      <c r="F1294" s="3119">
        <v>2555700</v>
      </c>
      <c r="G1294" s="3070" t="s">
        <v>3503</v>
      </c>
      <c r="H1294" s="3070" t="s">
        <v>3230</v>
      </c>
      <c r="I1294" s="3070">
        <f t="shared" si="20"/>
        <v>30000</v>
      </c>
      <c r="J1294" s="3402"/>
      <c r="K1294" s="3402"/>
      <c r="L1294" s="3402"/>
      <c r="M1294" s="3402"/>
      <c r="N1294" s="3402"/>
    </row>
    <row r="1295" spans="1:14">
      <c r="A1295" s="3399"/>
      <c r="B1295" s="3071">
        <v>55</v>
      </c>
      <c r="C1295" s="3071" t="s">
        <v>5180</v>
      </c>
      <c r="D1295" s="3118" t="s">
        <v>5181</v>
      </c>
      <c r="E1295" s="3071">
        <v>44.59</v>
      </c>
      <c r="F1295" s="3071">
        <v>420000</v>
      </c>
      <c r="G1295" s="3070" t="s">
        <v>3174</v>
      </c>
      <c r="H1295" s="3070" t="s">
        <v>3174</v>
      </c>
      <c r="I1295" s="3070">
        <f t="shared" si="20"/>
        <v>9419</v>
      </c>
      <c r="J1295" s="3402"/>
      <c r="K1295" s="3402"/>
      <c r="L1295" s="3402"/>
      <c r="M1295" s="3402"/>
      <c r="N1295" s="3402"/>
    </row>
    <row r="1296" spans="1:14">
      <c r="A1296" s="3400"/>
      <c r="B1296" s="3071">
        <v>55</v>
      </c>
      <c r="C1296" s="3071" t="s">
        <v>5182</v>
      </c>
      <c r="D1296" s="3118" t="s">
        <v>5183</v>
      </c>
      <c r="E1296" s="3071">
        <v>44.59</v>
      </c>
      <c r="F1296" s="3071">
        <v>420000</v>
      </c>
      <c r="G1296" s="3070" t="s">
        <v>3174</v>
      </c>
      <c r="H1296" s="3070" t="s">
        <v>3174</v>
      </c>
      <c r="I1296" s="3070">
        <f t="shared" si="20"/>
        <v>9419</v>
      </c>
      <c r="J1296" s="3402"/>
      <c r="K1296" s="3402"/>
      <c r="L1296" s="3402"/>
      <c r="M1296" s="3402"/>
      <c r="N1296" s="3402"/>
    </row>
    <row r="1297" spans="1:14" ht="24">
      <c r="A1297" s="3398">
        <v>260</v>
      </c>
      <c r="B1297" s="3071">
        <v>55</v>
      </c>
      <c r="C1297" s="3072" t="s">
        <v>3524</v>
      </c>
      <c r="D1297" s="3118" t="s">
        <v>5184</v>
      </c>
      <c r="E1297" s="3119">
        <v>137.49</v>
      </c>
      <c r="F1297" s="3119">
        <v>8735152</v>
      </c>
      <c r="G1297" s="3070" t="s">
        <v>3173</v>
      </c>
      <c r="H1297" s="3070" t="s">
        <v>3058</v>
      </c>
      <c r="I1297" s="3070">
        <f t="shared" si="20"/>
        <v>63533</v>
      </c>
      <c r="J1297" s="3402"/>
      <c r="K1297" s="3402"/>
      <c r="L1297" s="3402"/>
      <c r="M1297" s="3402"/>
      <c r="N1297" s="3402"/>
    </row>
    <row r="1298" spans="1:14" ht="24">
      <c r="A1298" s="3399"/>
      <c r="B1298" s="3071">
        <v>55</v>
      </c>
      <c r="C1298" s="3072" t="s">
        <v>3526</v>
      </c>
      <c r="D1298" s="3118" t="s">
        <v>5185</v>
      </c>
      <c r="E1298" s="3119">
        <v>85.88</v>
      </c>
      <c r="F1298" s="3119">
        <v>2576400</v>
      </c>
      <c r="G1298" s="3070" t="s">
        <v>3501</v>
      </c>
      <c r="H1298" s="3070" t="s">
        <v>3230</v>
      </c>
      <c r="I1298" s="3070">
        <f t="shared" si="20"/>
        <v>30000</v>
      </c>
      <c r="J1298" s="3402"/>
      <c r="K1298" s="3402"/>
      <c r="L1298" s="3402"/>
      <c r="M1298" s="3402"/>
      <c r="N1298" s="3402"/>
    </row>
    <row r="1299" spans="1:14">
      <c r="A1299" s="3399"/>
      <c r="B1299" s="3071">
        <v>55</v>
      </c>
      <c r="C1299" s="3072">
        <v>-203</v>
      </c>
      <c r="D1299" s="3118" t="s">
        <v>5186</v>
      </c>
      <c r="E1299" s="3119">
        <v>85.19</v>
      </c>
      <c r="F1299" s="3119">
        <v>2555700</v>
      </c>
      <c r="G1299" s="3070" t="s">
        <v>3503</v>
      </c>
      <c r="H1299" s="3070" t="s">
        <v>3230</v>
      </c>
      <c r="I1299" s="3070">
        <f t="shared" si="20"/>
        <v>30000</v>
      </c>
      <c r="J1299" s="3402"/>
      <c r="K1299" s="3402"/>
      <c r="L1299" s="3402"/>
      <c r="M1299" s="3402"/>
      <c r="N1299" s="3402"/>
    </row>
    <row r="1300" spans="1:14">
      <c r="A1300" s="3399"/>
      <c r="B1300" s="3071">
        <v>55</v>
      </c>
      <c r="C1300" s="3071" t="s">
        <v>5187</v>
      </c>
      <c r="D1300" s="3118" t="s">
        <v>5188</v>
      </c>
      <c r="E1300" s="3071">
        <v>44.59</v>
      </c>
      <c r="F1300" s="3071">
        <v>420000</v>
      </c>
      <c r="G1300" s="3070" t="s">
        <v>3174</v>
      </c>
      <c r="H1300" s="3070" t="s">
        <v>3174</v>
      </c>
      <c r="I1300" s="3070">
        <f t="shared" si="20"/>
        <v>9419</v>
      </c>
      <c r="J1300" s="3402"/>
      <c r="K1300" s="3402"/>
      <c r="L1300" s="3402"/>
      <c r="M1300" s="3402"/>
      <c r="N1300" s="3402"/>
    </row>
    <row r="1301" spans="1:14">
      <c r="A1301" s="3400"/>
      <c r="B1301" s="3071">
        <v>55</v>
      </c>
      <c r="C1301" s="3071" t="s">
        <v>5189</v>
      </c>
      <c r="D1301" s="3118" t="s">
        <v>5190</v>
      </c>
      <c r="E1301" s="3071">
        <v>44.59</v>
      </c>
      <c r="F1301" s="3071">
        <v>420000</v>
      </c>
      <c r="G1301" s="3070" t="s">
        <v>3174</v>
      </c>
      <c r="H1301" s="3070" t="s">
        <v>3174</v>
      </c>
      <c r="I1301" s="3070">
        <f t="shared" si="20"/>
        <v>9419</v>
      </c>
      <c r="J1301" s="3402"/>
      <c r="K1301" s="3402"/>
      <c r="L1301" s="3402"/>
      <c r="M1301" s="3402"/>
      <c r="N1301" s="3402"/>
    </row>
    <row r="1302" spans="1:14" ht="24">
      <c r="A1302" s="3398">
        <v>261</v>
      </c>
      <c r="B1302" s="3071">
        <v>55</v>
      </c>
      <c r="C1302" s="3072" t="s">
        <v>3533</v>
      </c>
      <c r="D1302" s="3118" t="s">
        <v>5191</v>
      </c>
      <c r="E1302" s="3119">
        <v>137.69</v>
      </c>
      <c r="F1302" s="3119">
        <v>8747858</v>
      </c>
      <c r="G1302" s="3070" t="s">
        <v>3173</v>
      </c>
      <c r="H1302" s="3070" t="s">
        <v>3058</v>
      </c>
      <c r="I1302" s="3070">
        <f t="shared" ref="I1302:I1365" si="21">ROUND(F1302/E1302,0)</f>
        <v>63533</v>
      </c>
      <c r="J1302" s="3402"/>
      <c r="K1302" s="3402"/>
      <c r="L1302" s="3402"/>
      <c r="M1302" s="3402"/>
      <c r="N1302" s="3402"/>
    </row>
    <row r="1303" spans="1:14" ht="24">
      <c r="A1303" s="3399"/>
      <c r="B1303" s="3071">
        <v>55</v>
      </c>
      <c r="C1303" s="3072" t="s">
        <v>3535</v>
      </c>
      <c r="D1303" s="3118" t="s">
        <v>5192</v>
      </c>
      <c r="E1303" s="3119">
        <v>86.15</v>
      </c>
      <c r="F1303" s="3119">
        <v>2584500</v>
      </c>
      <c r="G1303" s="3070" t="s">
        <v>3501</v>
      </c>
      <c r="H1303" s="3070" t="s">
        <v>3230</v>
      </c>
      <c r="I1303" s="3070">
        <f t="shared" si="21"/>
        <v>30000</v>
      </c>
      <c r="J1303" s="3402"/>
      <c r="K1303" s="3402"/>
      <c r="L1303" s="3402"/>
      <c r="M1303" s="3402"/>
      <c r="N1303" s="3402"/>
    </row>
    <row r="1304" spans="1:14">
      <c r="A1304" s="3399"/>
      <c r="B1304" s="3071">
        <v>55</v>
      </c>
      <c r="C1304" s="3072">
        <v>-204</v>
      </c>
      <c r="D1304" s="3118" t="s">
        <v>5193</v>
      </c>
      <c r="E1304" s="3119">
        <v>85.19</v>
      </c>
      <c r="F1304" s="3119">
        <v>2555700</v>
      </c>
      <c r="G1304" s="3070" t="s">
        <v>3503</v>
      </c>
      <c r="H1304" s="3070" t="s">
        <v>3230</v>
      </c>
      <c r="I1304" s="3070">
        <f t="shared" si="21"/>
        <v>30000</v>
      </c>
      <c r="J1304" s="3402"/>
      <c r="K1304" s="3402"/>
      <c r="L1304" s="3402"/>
      <c r="M1304" s="3402"/>
      <c r="N1304" s="3402"/>
    </row>
    <row r="1305" spans="1:14">
      <c r="A1305" s="3399"/>
      <c r="B1305" s="3071">
        <v>55</v>
      </c>
      <c r="C1305" s="3071" t="s">
        <v>5194</v>
      </c>
      <c r="D1305" s="3118" t="s">
        <v>5195</v>
      </c>
      <c r="E1305" s="3071">
        <v>44.59</v>
      </c>
      <c r="F1305" s="3071">
        <v>420000</v>
      </c>
      <c r="G1305" s="3070" t="s">
        <v>3174</v>
      </c>
      <c r="H1305" s="3070" t="s">
        <v>3174</v>
      </c>
      <c r="I1305" s="3070">
        <f t="shared" si="21"/>
        <v>9419</v>
      </c>
      <c r="J1305" s="3402"/>
      <c r="K1305" s="3402"/>
      <c r="L1305" s="3402"/>
      <c r="M1305" s="3402"/>
      <c r="N1305" s="3402"/>
    </row>
    <row r="1306" spans="1:14">
      <c r="A1306" s="3400"/>
      <c r="B1306" s="3071">
        <v>55</v>
      </c>
      <c r="C1306" s="3071" t="s">
        <v>5196</v>
      </c>
      <c r="D1306" s="3118" t="s">
        <v>5197</v>
      </c>
      <c r="E1306" s="3071">
        <v>44.59</v>
      </c>
      <c r="F1306" s="3071">
        <v>420000</v>
      </c>
      <c r="G1306" s="3070" t="s">
        <v>3174</v>
      </c>
      <c r="H1306" s="3070" t="s">
        <v>3174</v>
      </c>
      <c r="I1306" s="3070">
        <f t="shared" si="21"/>
        <v>9419</v>
      </c>
      <c r="J1306" s="3403"/>
      <c r="K1306" s="3403"/>
      <c r="L1306" s="3403"/>
      <c r="M1306" s="3403"/>
      <c r="N1306" s="3403"/>
    </row>
    <row r="1307" spans="1:14" ht="24">
      <c r="A1307" s="3398">
        <v>262</v>
      </c>
      <c r="B1307" s="3071">
        <v>56</v>
      </c>
      <c r="C1307" s="3072" t="s">
        <v>3508</v>
      </c>
      <c r="D1307" s="3118" t="s">
        <v>5198</v>
      </c>
      <c r="E1307" s="3119">
        <v>133.25</v>
      </c>
      <c r="F1307" s="3119">
        <v>8465772</v>
      </c>
      <c r="G1307" s="3070" t="s">
        <v>3173</v>
      </c>
      <c r="H1307" s="3070" t="s">
        <v>3058</v>
      </c>
      <c r="I1307" s="3070">
        <f t="shared" si="21"/>
        <v>63533</v>
      </c>
      <c r="J1307" s="3401">
        <v>8</v>
      </c>
      <c r="K1307" s="3401">
        <v>8</v>
      </c>
      <c r="L1307" s="3401">
        <f>E1307+E1312+E1317+E1322+E1327+E1332+E1337+E1342</f>
        <v>1066.3800000000001</v>
      </c>
      <c r="M1307" s="3401">
        <f>E1308+E1309+E1313+E1314+E1318+E1319+E1323+E1324+E1328+E1329+E1333+E1334+E1338+E1339+E1343+E1344</f>
        <v>1340.14</v>
      </c>
      <c r="N1307" s="3401">
        <f>L1307+M1307</f>
        <v>2406.5200000000004</v>
      </c>
    </row>
    <row r="1308" spans="1:14" ht="24">
      <c r="A1308" s="3399"/>
      <c r="B1308" s="3071">
        <v>56</v>
      </c>
      <c r="C1308" s="3072" t="s">
        <v>3510</v>
      </c>
      <c r="D1308" s="3118" t="s">
        <v>5199</v>
      </c>
      <c r="E1308" s="3119">
        <v>83.63</v>
      </c>
      <c r="F1308" s="3119">
        <v>2508900</v>
      </c>
      <c r="G1308" s="3070" t="s">
        <v>3501</v>
      </c>
      <c r="H1308" s="3070" t="s">
        <v>3230</v>
      </c>
      <c r="I1308" s="3070">
        <f t="shared" si="21"/>
        <v>30000</v>
      </c>
      <c r="J1308" s="3402"/>
      <c r="K1308" s="3402"/>
      <c r="L1308" s="3402"/>
      <c r="M1308" s="3402"/>
      <c r="N1308" s="3402"/>
    </row>
    <row r="1309" spans="1:14">
      <c r="A1309" s="3399"/>
      <c r="B1309" s="3071">
        <v>56</v>
      </c>
      <c r="C1309" s="3072">
        <v>-201</v>
      </c>
      <c r="D1309" s="3118" t="s">
        <v>5200</v>
      </c>
      <c r="E1309" s="3119">
        <v>83.17</v>
      </c>
      <c r="F1309" s="3119">
        <v>2495100</v>
      </c>
      <c r="G1309" s="3070" t="s">
        <v>3503</v>
      </c>
      <c r="H1309" s="3070" t="s">
        <v>3230</v>
      </c>
      <c r="I1309" s="3070">
        <f t="shared" si="21"/>
        <v>30000</v>
      </c>
      <c r="J1309" s="3402"/>
      <c r="K1309" s="3402"/>
      <c r="L1309" s="3402"/>
      <c r="M1309" s="3402"/>
      <c r="N1309" s="3402"/>
    </row>
    <row r="1310" spans="1:14">
      <c r="A1310" s="3399"/>
      <c r="B1310" s="3071">
        <v>56</v>
      </c>
      <c r="C1310" s="3071" t="s">
        <v>5201</v>
      </c>
      <c r="D1310" s="3118" t="s">
        <v>5202</v>
      </c>
      <c r="E1310" s="3071">
        <v>44.59</v>
      </c>
      <c r="F1310" s="3071">
        <v>420000</v>
      </c>
      <c r="G1310" s="3070" t="s">
        <v>3174</v>
      </c>
      <c r="H1310" s="3070" t="s">
        <v>3174</v>
      </c>
      <c r="I1310" s="3070">
        <f t="shared" si="21"/>
        <v>9419</v>
      </c>
      <c r="J1310" s="3402"/>
      <c r="K1310" s="3402"/>
      <c r="L1310" s="3402"/>
      <c r="M1310" s="3402"/>
      <c r="N1310" s="3402"/>
    </row>
    <row r="1311" spans="1:14">
      <c r="A1311" s="3400"/>
      <c r="B1311" s="3071">
        <v>56</v>
      </c>
      <c r="C1311" s="3071" t="s">
        <v>5203</v>
      </c>
      <c r="D1311" s="3118" t="s">
        <v>5204</v>
      </c>
      <c r="E1311" s="3071">
        <v>44.59</v>
      </c>
      <c r="F1311" s="3071">
        <v>420000</v>
      </c>
      <c r="G1311" s="3070" t="s">
        <v>3174</v>
      </c>
      <c r="H1311" s="3070" t="s">
        <v>3174</v>
      </c>
      <c r="I1311" s="3070">
        <f t="shared" si="21"/>
        <v>9419</v>
      </c>
      <c r="J1311" s="3402"/>
      <c r="K1311" s="3402"/>
      <c r="L1311" s="3402"/>
      <c r="M1311" s="3402"/>
      <c r="N1311" s="3402"/>
    </row>
    <row r="1312" spans="1:14" ht="24">
      <c r="A1312" s="3398">
        <v>263</v>
      </c>
      <c r="B1312" s="3071">
        <v>56</v>
      </c>
      <c r="C1312" s="3072" t="s">
        <v>3497</v>
      </c>
      <c r="D1312" s="3118" t="s">
        <v>5205</v>
      </c>
      <c r="E1312" s="3119">
        <v>133.25</v>
      </c>
      <c r="F1312" s="3119">
        <v>7715708</v>
      </c>
      <c r="G1312" s="3070" t="s">
        <v>3173</v>
      </c>
      <c r="H1312" s="3070" t="s">
        <v>3058</v>
      </c>
      <c r="I1312" s="3070">
        <f t="shared" si="21"/>
        <v>57904</v>
      </c>
      <c r="J1312" s="3402"/>
      <c r="K1312" s="3402"/>
      <c r="L1312" s="3402"/>
      <c r="M1312" s="3402"/>
      <c r="N1312" s="3402"/>
    </row>
    <row r="1313" spans="1:14" ht="24">
      <c r="A1313" s="3399"/>
      <c r="B1313" s="3071">
        <v>56</v>
      </c>
      <c r="C1313" s="3072" t="s">
        <v>3499</v>
      </c>
      <c r="D1313" s="3118" t="s">
        <v>5206</v>
      </c>
      <c r="E1313" s="3119">
        <v>83.78</v>
      </c>
      <c r="F1313" s="3119">
        <v>2513400</v>
      </c>
      <c r="G1313" s="3070" t="s">
        <v>3501</v>
      </c>
      <c r="H1313" s="3070" t="s">
        <v>3230</v>
      </c>
      <c r="I1313" s="3070">
        <f t="shared" si="21"/>
        <v>30000</v>
      </c>
      <c r="J1313" s="3402"/>
      <c r="K1313" s="3402"/>
      <c r="L1313" s="3402"/>
      <c r="M1313" s="3402"/>
      <c r="N1313" s="3402"/>
    </row>
    <row r="1314" spans="1:14">
      <c r="A1314" s="3399"/>
      <c r="B1314" s="3071">
        <v>56</v>
      </c>
      <c r="C1314" s="3072">
        <v>-202</v>
      </c>
      <c r="D1314" s="3118" t="s">
        <v>5207</v>
      </c>
      <c r="E1314" s="3119">
        <v>83.89</v>
      </c>
      <c r="F1314" s="3119">
        <v>2516700</v>
      </c>
      <c r="G1314" s="3070" t="s">
        <v>3503</v>
      </c>
      <c r="H1314" s="3070" t="s">
        <v>3230</v>
      </c>
      <c r="I1314" s="3070">
        <f t="shared" si="21"/>
        <v>30000</v>
      </c>
      <c r="J1314" s="3402"/>
      <c r="K1314" s="3402"/>
      <c r="L1314" s="3402"/>
      <c r="M1314" s="3402"/>
      <c r="N1314" s="3402"/>
    </row>
    <row r="1315" spans="1:14">
      <c r="A1315" s="3399"/>
      <c r="B1315" s="3071">
        <v>56</v>
      </c>
      <c r="C1315" s="3071" t="s">
        <v>3181</v>
      </c>
      <c r="D1315" s="3118" t="s">
        <v>5208</v>
      </c>
      <c r="E1315" s="3071">
        <v>44.59</v>
      </c>
      <c r="F1315" s="3071">
        <v>420000</v>
      </c>
      <c r="G1315" s="3070" t="s">
        <v>3174</v>
      </c>
      <c r="H1315" s="3070" t="s">
        <v>3174</v>
      </c>
      <c r="I1315" s="3070">
        <f t="shared" si="21"/>
        <v>9419</v>
      </c>
      <c r="J1315" s="3402"/>
      <c r="K1315" s="3402"/>
      <c r="L1315" s="3402"/>
      <c r="M1315" s="3402"/>
      <c r="N1315" s="3402"/>
    </row>
    <row r="1316" spans="1:14">
      <c r="A1316" s="3400"/>
      <c r="B1316" s="3071">
        <v>56</v>
      </c>
      <c r="C1316" s="3071" t="s">
        <v>3182</v>
      </c>
      <c r="D1316" s="3118" t="s">
        <v>5209</v>
      </c>
      <c r="E1316" s="3071">
        <v>44.59</v>
      </c>
      <c r="F1316" s="3071">
        <v>420000</v>
      </c>
      <c r="G1316" s="3070" t="s">
        <v>3174</v>
      </c>
      <c r="H1316" s="3070" t="s">
        <v>3174</v>
      </c>
      <c r="I1316" s="3070">
        <f t="shared" si="21"/>
        <v>9419</v>
      </c>
      <c r="J1316" s="3402"/>
      <c r="K1316" s="3402"/>
      <c r="L1316" s="3402"/>
      <c r="M1316" s="3402"/>
      <c r="N1316" s="3402"/>
    </row>
    <row r="1317" spans="1:14" ht="24">
      <c r="A1317" s="3398">
        <v>264</v>
      </c>
      <c r="B1317" s="3071">
        <v>56</v>
      </c>
      <c r="C1317" s="3072" t="s">
        <v>3524</v>
      </c>
      <c r="D1317" s="3118" t="s">
        <v>5210</v>
      </c>
      <c r="E1317" s="3119">
        <v>133.25</v>
      </c>
      <c r="F1317" s="3119">
        <v>7615770</v>
      </c>
      <c r="G1317" s="3070" t="s">
        <v>3173</v>
      </c>
      <c r="H1317" s="3070" t="s">
        <v>3058</v>
      </c>
      <c r="I1317" s="3070">
        <f t="shared" si="21"/>
        <v>57154</v>
      </c>
      <c r="J1317" s="3402"/>
      <c r="K1317" s="3402"/>
      <c r="L1317" s="3402"/>
      <c r="M1317" s="3402"/>
      <c r="N1317" s="3402"/>
    </row>
    <row r="1318" spans="1:14" ht="24">
      <c r="A1318" s="3399"/>
      <c r="B1318" s="3071">
        <v>56</v>
      </c>
      <c r="C1318" s="3072" t="s">
        <v>3526</v>
      </c>
      <c r="D1318" s="3118" t="s">
        <v>5211</v>
      </c>
      <c r="E1318" s="3119">
        <v>83.78</v>
      </c>
      <c r="F1318" s="3119">
        <v>2513400</v>
      </c>
      <c r="G1318" s="3070" t="s">
        <v>3501</v>
      </c>
      <c r="H1318" s="3070" t="s">
        <v>3230</v>
      </c>
      <c r="I1318" s="3070">
        <f t="shared" si="21"/>
        <v>30000</v>
      </c>
      <c r="J1318" s="3402"/>
      <c r="K1318" s="3402"/>
      <c r="L1318" s="3402"/>
      <c r="M1318" s="3402"/>
      <c r="N1318" s="3402"/>
    </row>
    <row r="1319" spans="1:14">
      <c r="A1319" s="3399"/>
      <c r="B1319" s="3071">
        <v>56</v>
      </c>
      <c r="C1319" s="3072">
        <v>-203</v>
      </c>
      <c r="D1319" s="3118" t="s">
        <v>5212</v>
      </c>
      <c r="E1319" s="3119">
        <v>83.89</v>
      </c>
      <c r="F1319" s="3119">
        <v>2516700</v>
      </c>
      <c r="G1319" s="3070" t="s">
        <v>3503</v>
      </c>
      <c r="H1319" s="3070" t="s">
        <v>3230</v>
      </c>
      <c r="I1319" s="3070">
        <f t="shared" si="21"/>
        <v>30000</v>
      </c>
      <c r="J1319" s="3402"/>
      <c r="K1319" s="3402"/>
      <c r="L1319" s="3402"/>
      <c r="M1319" s="3402"/>
      <c r="N1319" s="3402"/>
    </row>
    <row r="1320" spans="1:14">
      <c r="A1320" s="3399"/>
      <c r="B1320" s="3071">
        <v>56</v>
      </c>
      <c r="C1320" s="3071" t="s">
        <v>5213</v>
      </c>
      <c r="D1320" s="3118" t="s">
        <v>5214</v>
      </c>
      <c r="E1320" s="3071">
        <v>44.59</v>
      </c>
      <c r="F1320" s="3071">
        <v>420000</v>
      </c>
      <c r="G1320" s="3070" t="s">
        <v>3174</v>
      </c>
      <c r="H1320" s="3070" t="s">
        <v>3174</v>
      </c>
      <c r="I1320" s="3070">
        <f t="shared" si="21"/>
        <v>9419</v>
      </c>
      <c r="J1320" s="3402"/>
      <c r="K1320" s="3402"/>
      <c r="L1320" s="3402"/>
      <c r="M1320" s="3402"/>
      <c r="N1320" s="3402"/>
    </row>
    <row r="1321" spans="1:14">
      <c r="A1321" s="3400"/>
      <c r="B1321" s="3071">
        <v>56</v>
      </c>
      <c r="C1321" s="3071" t="s">
        <v>5215</v>
      </c>
      <c r="D1321" s="3118" t="s">
        <v>5216</v>
      </c>
      <c r="E1321" s="3071">
        <v>44.59</v>
      </c>
      <c r="F1321" s="3071">
        <v>420000</v>
      </c>
      <c r="G1321" s="3070" t="s">
        <v>3174</v>
      </c>
      <c r="H1321" s="3070" t="s">
        <v>3174</v>
      </c>
      <c r="I1321" s="3070">
        <f t="shared" si="21"/>
        <v>9419</v>
      </c>
      <c r="J1321" s="3402"/>
      <c r="K1321" s="3402"/>
      <c r="L1321" s="3402"/>
      <c r="M1321" s="3402"/>
      <c r="N1321" s="3402"/>
    </row>
    <row r="1322" spans="1:14" ht="24">
      <c r="A1322" s="3398">
        <v>265</v>
      </c>
      <c r="B1322" s="3071">
        <v>56</v>
      </c>
      <c r="C1322" s="3072" t="s">
        <v>3533</v>
      </c>
      <c r="D1322" s="3118" t="s">
        <v>5217</v>
      </c>
      <c r="E1322" s="3119">
        <v>133.44</v>
      </c>
      <c r="F1322" s="3119">
        <v>7727910</v>
      </c>
      <c r="G1322" s="3070" t="s">
        <v>3173</v>
      </c>
      <c r="H1322" s="3070" t="s">
        <v>3058</v>
      </c>
      <c r="I1322" s="3070">
        <f t="shared" si="21"/>
        <v>57913</v>
      </c>
      <c r="J1322" s="3402"/>
      <c r="K1322" s="3402"/>
      <c r="L1322" s="3402"/>
      <c r="M1322" s="3402"/>
      <c r="N1322" s="3402"/>
    </row>
    <row r="1323" spans="1:14" ht="24">
      <c r="A1323" s="3399"/>
      <c r="B1323" s="3071">
        <v>56</v>
      </c>
      <c r="C1323" s="3072" t="s">
        <v>3535</v>
      </c>
      <c r="D1323" s="3118" t="s">
        <v>5218</v>
      </c>
      <c r="E1323" s="3119">
        <v>84.04</v>
      </c>
      <c r="F1323" s="3119">
        <v>2521200</v>
      </c>
      <c r="G1323" s="3070" t="s">
        <v>3501</v>
      </c>
      <c r="H1323" s="3070" t="s">
        <v>3230</v>
      </c>
      <c r="I1323" s="3070">
        <f t="shared" si="21"/>
        <v>30000</v>
      </c>
      <c r="J1323" s="3402"/>
      <c r="K1323" s="3402"/>
      <c r="L1323" s="3402"/>
      <c r="M1323" s="3402"/>
      <c r="N1323" s="3402"/>
    </row>
    <row r="1324" spans="1:14">
      <c r="A1324" s="3399"/>
      <c r="B1324" s="3071">
        <v>56</v>
      </c>
      <c r="C1324" s="3072">
        <v>-204</v>
      </c>
      <c r="D1324" s="3118" t="s">
        <v>5219</v>
      </c>
      <c r="E1324" s="3119">
        <v>83.89</v>
      </c>
      <c r="F1324" s="3119">
        <v>2516700</v>
      </c>
      <c r="G1324" s="3070" t="s">
        <v>3503</v>
      </c>
      <c r="H1324" s="3070" t="s">
        <v>3230</v>
      </c>
      <c r="I1324" s="3070">
        <f t="shared" si="21"/>
        <v>30000</v>
      </c>
      <c r="J1324" s="3402"/>
      <c r="K1324" s="3402"/>
      <c r="L1324" s="3402"/>
      <c r="M1324" s="3402"/>
      <c r="N1324" s="3402"/>
    </row>
    <row r="1325" spans="1:14">
      <c r="A1325" s="3399"/>
      <c r="B1325" s="3071">
        <v>56</v>
      </c>
      <c r="C1325" s="3071" t="s">
        <v>5220</v>
      </c>
      <c r="D1325" s="3118" t="s">
        <v>5221</v>
      </c>
      <c r="E1325" s="3071">
        <v>44.59</v>
      </c>
      <c r="F1325" s="3071">
        <v>420000</v>
      </c>
      <c r="G1325" s="3070" t="s">
        <v>3174</v>
      </c>
      <c r="H1325" s="3070" t="s">
        <v>3174</v>
      </c>
      <c r="I1325" s="3070">
        <f t="shared" si="21"/>
        <v>9419</v>
      </c>
      <c r="J1325" s="3402"/>
      <c r="K1325" s="3402"/>
      <c r="L1325" s="3402"/>
      <c r="M1325" s="3402"/>
      <c r="N1325" s="3402"/>
    </row>
    <row r="1326" spans="1:14">
      <c r="A1326" s="3400"/>
      <c r="B1326" s="3071">
        <v>56</v>
      </c>
      <c r="C1326" s="3071" t="s">
        <v>5222</v>
      </c>
      <c r="D1326" s="3118" t="s">
        <v>5223</v>
      </c>
      <c r="E1326" s="3071">
        <v>44.59</v>
      </c>
      <c r="F1326" s="3071">
        <v>420000</v>
      </c>
      <c r="G1326" s="3070" t="s">
        <v>3174</v>
      </c>
      <c r="H1326" s="3070" t="s">
        <v>3174</v>
      </c>
      <c r="I1326" s="3070">
        <f t="shared" si="21"/>
        <v>9419</v>
      </c>
      <c r="J1326" s="3402"/>
      <c r="K1326" s="3402"/>
      <c r="L1326" s="3402"/>
      <c r="M1326" s="3402"/>
      <c r="N1326" s="3402"/>
    </row>
    <row r="1327" spans="1:14" ht="24">
      <c r="A1327" s="3398">
        <v>266</v>
      </c>
      <c r="B1327" s="3071">
        <v>56</v>
      </c>
      <c r="C1327" s="3072" t="s">
        <v>3542</v>
      </c>
      <c r="D1327" s="3118" t="s">
        <v>5224</v>
      </c>
      <c r="E1327" s="3119">
        <v>133.25</v>
      </c>
      <c r="F1327" s="3119">
        <v>8465772</v>
      </c>
      <c r="G1327" s="3070" t="s">
        <v>3173</v>
      </c>
      <c r="H1327" s="3070" t="s">
        <v>3058</v>
      </c>
      <c r="I1327" s="3070">
        <f t="shared" si="21"/>
        <v>63533</v>
      </c>
      <c r="J1327" s="3402"/>
      <c r="K1327" s="3402"/>
      <c r="L1327" s="3402"/>
      <c r="M1327" s="3402"/>
      <c r="N1327" s="3402"/>
    </row>
    <row r="1328" spans="1:14" ht="24">
      <c r="A1328" s="3399"/>
      <c r="B1328" s="3071">
        <v>56</v>
      </c>
      <c r="C1328" s="3072" t="s">
        <v>3544</v>
      </c>
      <c r="D1328" s="3118" t="s">
        <v>5225</v>
      </c>
      <c r="E1328" s="3119">
        <v>83.63</v>
      </c>
      <c r="F1328" s="3119">
        <v>2508900</v>
      </c>
      <c r="G1328" s="3070" t="s">
        <v>3501</v>
      </c>
      <c r="H1328" s="3070" t="s">
        <v>3230</v>
      </c>
      <c r="I1328" s="3070">
        <f t="shared" si="21"/>
        <v>30000</v>
      </c>
      <c r="J1328" s="3402"/>
      <c r="K1328" s="3402"/>
      <c r="L1328" s="3402"/>
      <c r="M1328" s="3402"/>
      <c r="N1328" s="3402"/>
    </row>
    <row r="1329" spans="1:14">
      <c r="A1329" s="3399"/>
      <c r="B1329" s="3071">
        <v>56</v>
      </c>
      <c r="C1329" s="3072">
        <v>-205</v>
      </c>
      <c r="D1329" s="3118" t="s">
        <v>5226</v>
      </c>
      <c r="E1329" s="3119">
        <v>83.17</v>
      </c>
      <c r="F1329" s="3119">
        <v>2495100</v>
      </c>
      <c r="G1329" s="3070" t="s">
        <v>3503</v>
      </c>
      <c r="H1329" s="3070" t="s">
        <v>3230</v>
      </c>
      <c r="I1329" s="3070">
        <f t="shared" si="21"/>
        <v>30000</v>
      </c>
      <c r="J1329" s="3402"/>
      <c r="K1329" s="3402"/>
      <c r="L1329" s="3402"/>
      <c r="M1329" s="3402"/>
      <c r="N1329" s="3402"/>
    </row>
    <row r="1330" spans="1:14">
      <c r="A1330" s="3399"/>
      <c r="B1330" s="3071">
        <v>56</v>
      </c>
      <c r="C1330" s="3071" t="s">
        <v>5227</v>
      </c>
      <c r="D1330" s="3118" t="s">
        <v>5228</v>
      </c>
      <c r="E1330" s="3071">
        <v>44.59</v>
      </c>
      <c r="F1330" s="3071">
        <v>420000</v>
      </c>
      <c r="G1330" s="3070" t="s">
        <v>3174</v>
      </c>
      <c r="H1330" s="3070" t="s">
        <v>3174</v>
      </c>
      <c r="I1330" s="3070">
        <f t="shared" si="21"/>
        <v>9419</v>
      </c>
      <c r="J1330" s="3402"/>
      <c r="K1330" s="3402"/>
      <c r="L1330" s="3402"/>
      <c r="M1330" s="3402"/>
      <c r="N1330" s="3402"/>
    </row>
    <row r="1331" spans="1:14">
      <c r="A1331" s="3400"/>
      <c r="B1331" s="3071">
        <v>56</v>
      </c>
      <c r="C1331" s="3071" t="s">
        <v>5229</v>
      </c>
      <c r="D1331" s="3118" t="s">
        <v>5230</v>
      </c>
      <c r="E1331" s="3071">
        <v>44.59</v>
      </c>
      <c r="F1331" s="3071">
        <v>420000</v>
      </c>
      <c r="G1331" s="3070" t="s">
        <v>3174</v>
      </c>
      <c r="H1331" s="3070" t="s">
        <v>3174</v>
      </c>
      <c r="I1331" s="3070">
        <f t="shared" si="21"/>
        <v>9419</v>
      </c>
      <c r="J1331" s="3402"/>
      <c r="K1331" s="3402"/>
      <c r="L1331" s="3402"/>
      <c r="M1331" s="3402"/>
      <c r="N1331" s="3402"/>
    </row>
    <row r="1332" spans="1:14" ht="24">
      <c r="A1332" s="3398">
        <v>267</v>
      </c>
      <c r="B1332" s="3071">
        <v>56</v>
      </c>
      <c r="C1332" s="3072" t="s">
        <v>3551</v>
      </c>
      <c r="D1332" s="3118" t="s">
        <v>5231</v>
      </c>
      <c r="E1332" s="3119">
        <v>133.25</v>
      </c>
      <c r="F1332" s="3119">
        <v>8015787</v>
      </c>
      <c r="G1332" s="3070" t="s">
        <v>3173</v>
      </c>
      <c r="H1332" s="3070" t="s">
        <v>3058</v>
      </c>
      <c r="I1332" s="3070">
        <f t="shared" si="21"/>
        <v>60156</v>
      </c>
      <c r="J1332" s="3402"/>
      <c r="K1332" s="3402"/>
      <c r="L1332" s="3402"/>
      <c r="M1332" s="3402"/>
      <c r="N1332" s="3402"/>
    </row>
    <row r="1333" spans="1:14" ht="24">
      <c r="A1333" s="3399"/>
      <c r="B1333" s="3071">
        <v>56</v>
      </c>
      <c r="C1333" s="3072" t="s">
        <v>3553</v>
      </c>
      <c r="D1333" s="3118" t="s">
        <v>5232</v>
      </c>
      <c r="E1333" s="3119">
        <v>83.78</v>
      </c>
      <c r="F1333" s="3119">
        <v>2513400</v>
      </c>
      <c r="G1333" s="3070" t="s">
        <v>3501</v>
      </c>
      <c r="H1333" s="3070" t="s">
        <v>3230</v>
      </c>
      <c r="I1333" s="3070">
        <f t="shared" si="21"/>
        <v>30000</v>
      </c>
      <c r="J1333" s="3402"/>
      <c r="K1333" s="3402"/>
      <c r="L1333" s="3402"/>
      <c r="M1333" s="3402"/>
      <c r="N1333" s="3402"/>
    </row>
    <row r="1334" spans="1:14">
      <c r="A1334" s="3399"/>
      <c r="B1334" s="3071">
        <v>56</v>
      </c>
      <c r="C1334" s="3072">
        <v>-206</v>
      </c>
      <c r="D1334" s="3118" t="s">
        <v>5233</v>
      </c>
      <c r="E1334" s="3119">
        <v>83.89</v>
      </c>
      <c r="F1334" s="3119">
        <v>2516700</v>
      </c>
      <c r="G1334" s="3070" t="s">
        <v>3503</v>
      </c>
      <c r="H1334" s="3070" t="s">
        <v>3230</v>
      </c>
      <c r="I1334" s="3070">
        <f t="shared" si="21"/>
        <v>30000</v>
      </c>
      <c r="J1334" s="3402"/>
      <c r="K1334" s="3402"/>
      <c r="L1334" s="3402"/>
      <c r="M1334" s="3402"/>
      <c r="N1334" s="3402"/>
    </row>
    <row r="1335" spans="1:14">
      <c r="A1335" s="3399"/>
      <c r="B1335" s="3071">
        <v>56</v>
      </c>
      <c r="C1335" s="3071" t="s">
        <v>5234</v>
      </c>
      <c r="D1335" s="3118" t="s">
        <v>5235</v>
      </c>
      <c r="E1335" s="3071">
        <v>44.59</v>
      </c>
      <c r="F1335" s="3071">
        <v>420000</v>
      </c>
      <c r="G1335" s="3070" t="s">
        <v>3174</v>
      </c>
      <c r="H1335" s="3070" t="s">
        <v>3174</v>
      </c>
      <c r="I1335" s="3070">
        <f t="shared" si="21"/>
        <v>9419</v>
      </c>
      <c r="J1335" s="3402"/>
      <c r="K1335" s="3402"/>
      <c r="L1335" s="3402"/>
      <c r="M1335" s="3402"/>
      <c r="N1335" s="3402"/>
    </row>
    <row r="1336" spans="1:14">
      <c r="A1336" s="3400"/>
      <c r="B1336" s="3071">
        <v>56</v>
      </c>
      <c r="C1336" s="3071" t="s">
        <v>5236</v>
      </c>
      <c r="D1336" s="3118" t="s">
        <v>5237</v>
      </c>
      <c r="E1336" s="3071">
        <v>44.59</v>
      </c>
      <c r="F1336" s="3071">
        <v>420000</v>
      </c>
      <c r="G1336" s="3070" t="s">
        <v>3174</v>
      </c>
      <c r="H1336" s="3070" t="s">
        <v>3174</v>
      </c>
      <c r="I1336" s="3070">
        <f t="shared" si="21"/>
        <v>9419</v>
      </c>
      <c r="J1336" s="3402"/>
      <c r="K1336" s="3402"/>
      <c r="L1336" s="3402"/>
      <c r="M1336" s="3402"/>
      <c r="N1336" s="3402"/>
    </row>
    <row r="1337" spans="1:14" ht="24">
      <c r="A1337" s="3398">
        <v>268</v>
      </c>
      <c r="B1337" s="3071">
        <v>56</v>
      </c>
      <c r="C1337" s="3072" t="s">
        <v>3560</v>
      </c>
      <c r="D1337" s="3118" t="s">
        <v>5238</v>
      </c>
      <c r="E1337" s="3119">
        <v>133.25</v>
      </c>
      <c r="F1337" s="3119">
        <v>7915716</v>
      </c>
      <c r="G1337" s="3070" t="s">
        <v>3173</v>
      </c>
      <c r="H1337" s="3070" t="s">
        <v>3058</v>
      </c>
      <c r="I1337" s="3070">
        <f t="shared" si="21"/>
        <v>59405</v>
      </c>
      <c r="J1337" s="3402"/>
      <c r="K1337" s="3402"/>
      <c r="L1337" s="3402"/>
      <c r="M1337" s="3402"/>
      <c r="N1337" s="3402"/>
    </row>
    <row r="1338" spans="1:14" ht="24">
      <c r="A1338" s="3399"/>
      <c r="B1338" s="3071">
        <v>56</v>
      </c>
      <c r="C1338" s="3072" t="s">
        <v>3562</v>
      </c>
      <c r="D1338" s="3118" t="s">
        <v>5239</v>
      </c>
      <c r="E1338" s="3119">
        <v>83.78</v>
      </c>
      <c r="F1338" s="3119">
        <v>2513400</v>
      </c>
      <c r="G1338" s="3070" t="s">
        <v>3501</v>
      </c>
      <c r="H1338" s="3070" t="s">
        <v>3230</v>
      </c>
      <c r="I1338" s="3070">
        <f t="shared" si="21"/>
        <v>30000</v>
      </c>
      <c r="J1338" s="3402"/>
      <c r="K1338" s="3402"/>
      <c r="L1338" s="3402"/>
      <c r="M1338" s="3402"/>
      <c r="N1338" s="3402"/>
    </row>
    <row r="1339" spans="1:14">
      <c r="A1339" s="3399"/>
      <c r="B1339" s="3071">
        <v>56</v>
      </c>
      <c r="C1339" s="3072">
        <v>-207</v>
      </c>
      <c r="D1339" s="3118" t="s">
        <v>5240</v>
      </c>
      <c r="E1339" s="3119">
        <v>83.89</v>
      </c>
      <c r="F1339" s="3119">
        <v>2516700</v>
      </c>
      <c r="G1339" s="3070" t="s">
        <v>3503</v>
      </c>
      <c r="H1339" s="3070" t="s">
        <v>3230</v>
      </c>
      <c r="I1339" s="3070">
        <f t="shared" si="21"/>
        <v>30000</v>
      </c>
      <c r="J1339" s="3402"/>
      <c r="K1339" s="3402"/>
      <c r="L1339" s="3402"/>
      <c r="M1339" s="3402"/>
      <c r="N1339" s="3402"/>
    </row>
    <row r="1340" spans="1:14">
      <c r="A1340" s="3399"/>
      <c r="B1340" s="3071">
        <v>56</v>
      </c>
      <c r="C1340" s="3071" t="s">
        <v>5241</v>
      </c>
      <c r="D1340" s="3118" t="s">
        <v>5242</v>
      </c>
      <c r="E1340" s="3071">
        <v>44.59</v>
      </c>
      <c r="F1340" s="3071">
        <v>420000</v>
      </c>
      <c r="G1340" s="3070" t="s">
        <v>3174</v>
      </c>
      <c r="H1340" s="3070" t="s">
        <v>3174</v>
      </c>
      <c r="I1340" s="3070">
        <f t="shared" si="21"/>
        <v>9419</v>
      </c>
      <c r="J1340" s="3402"/>
      <c r="K1340" s="3402"/>
      <c r="L1340" s="3402"/>
      <c r="M1340" s="3402"/>
      <c r="N1340" s="3402"/>
    </row>
    <row r="1341" spans="1:14">
      <c r="A1341" s="3400"/>
      <c r="B1341" s="3071">
        <v>56</v>
      </c>
      <c r="C1341" s="3071" t="s">
        <v>5243</v>
      </c>
      <c r="D1341" s="3118" t="s">
        <v>5244</v>
      </c>
      <c r="E1341" s="3071">
        <v>44.59</v>
      </c>
      <c r="F1341" s="3071">
        <v>420000</v>
      </c>
      <c r="G1341" s="3070" t="s">
        <v>3174</v>
      </c>
      <c r="H1341" s="3070" t="s">
        <v>3174</v>
      </c>
      <c r="I1341" s="3070">
        <f t="shared" si="21"/>
        <v>9419</v>
      </c>
      <c r="J1341" s="3402"/>
      <c r="K1341" s="3402"/>
      <c r="L1341" s="3402"/>
      <c r="M1341" s="3402"/>
      <c r="N1341" s="3402"/>
    </row>
    <row r="1342" spans="1:14" ht="24">
      <c r="A1342" s="3398">
        <v>269</v>
      </c>
      <c r="B1342" s="3071">
        <v>56</v>
      </c>
      <c r="C1342" s="3072" t="s">
        <v>3611</v>
      </c>
      <c r="D1342" s="3118" t="s">
        <v>5245</v>
      </c>
      <c r="E1342" s="3119">
        <v>133.44</v>
      </c>
      <c r="F1342" s="3119">
        <v>7827857</v>
      </c>
      <c r="G1342" s="3070" t="s">
        <v>3173</v>
      </c>
      <c r="H1342" s="3070" t="s">
        <v>3058</v>
      </c>
      <c r="I1342" s="3070">
        <f t="shared" si="21"/>
        <v>58662</v>
      </c>
      <c r="J1342" s="3402"/>
      <c r="K1342" s="3402"/>
      <c r="L1342" s="3402"/>
      <c r="M1342" s="3402"/>
      <c r="N1342" s="3402"/>
    </row>
    <row r="1343" spans="1:14" ht="24">
      <c r="A1343" s="3399"/>
      <c r="B1343" s="3071">
        <v>56</v>
      </c>
      <c r="C1343" s="3072" t="s">
        <v>3613</v>
      </c>
      <c r="D1343" s="3118" t="s">
        <v>5246</v>
      </c>
      <c r="E1343" s="3119">
        <v>84.04</v>
      </c>
      <c r="F1343" s="3119">
        <v>2521200</v>
      </c>
      <c r="G1343" s="3070" t="s">
        <v>3501</v>
      </c>
      <c r="H1343" s="3070" t="s">
        <v>3230</v>
      </c>
      <c r="I1343" s="3070">
        <f t="shared" si="21"/>
        <v>30000</v>
      </c>
      <c r="J1343" s="3402"/>
      <c r="K1343" s="3402"/>
      <c r="L1343" s="3402"/>
      <c r="M1343" s="3402"/>
      <c r="N1343" s="3402"/>
    </row>
    <row r="1344" spans="1:14">
      <c r="A1344" s="3399"/>
      <c r="B1344" s="3071">
        <v>56</v>
      </c>
      <c r="C1344" s="3072">
        <v>-208</v>
      </c>
      <c r="D1344" s="3118" t="s">
        <v>5247</v>
      </c>
      <c r="E1344" s="3119">
        <v>83.89</v>
      </c>
      <c r="F1344" s="3119">
        <v>2516700</v>
      </c>
      <c r="G1344" s="3070" t="s">
        <v>3503</v>
      </c>
      <c r="H1344" s="3070" t="s">
        <v>3230</v>
      </c>
      <c r="I1344" s="3070">
        <f t="shared" si="21"/>
        <v>30000</v>
      </c>
      <c r="J1344" s="3402"/>
      <c r="K1344" s="3402"/>
      <c r="L1344" s="3402"/>
      <c r="M1344" s="3402"/>
      <c r="N1344" s="3402"/>
    </row>
    <row r="1345" spans="1:14">
      <c r="A1345" s="3399"/>
      <c r="B1345" s="3071">
        <v>56</v>
      </c>
      <c r="C1345" s="3071" t="s">
        <v>5248</v>
      </c>
      <c r="D1345" s="3118" t="s">
        <v>5249</v>
      </c>
      <c r="E1345" s="3071">
        <v>44.59</v>
      </c>
      <c r="F1345" s="3071">
        <v>420000</v>
      </c>
      <c r="G1345" s="3070" t="s">
        <v>3174</v>
      </c>
      <c r="H1345" s="3070" t="s">
        <v>3174</v>
      </c>
      <c r="I1345" s="3070">
        <f t="shared" si="21"/>
        <v>9419</v>
      </c>
      <c r="J1345" s="3402"/>
      <c r="K1345" s="3402"/>
      <c r="L1345" s="3402"/>
      <c r="M1345" s="3402"/>
      <c r="N1345" s="3402"/>
    </row>
    <row r="1346" spans="1:14">
      <c r="A1346" s="3400"/>
      <c r="B1346" s="3071">
        <v>56</v>
      </c>
      <c r="C1346" s="3071" t="s">
        <v>5250</v>
      </c>
      <c r="D1346" s="3118" t="s">
        <v>5251</v>
      </c>
      <c r="E1346" s="3071">
        <v>44.59</v>
      </c>
      <c r="F1346" s="3071">
        <v>420000</v>
      </c>
      <c r="G1346" s="3070" t="s">
        <v>3174</v>
      </c>
      <c r="H1346" s="3070" t="s">
        <v>3174</v>
      </c>
      <c r="I1346" s="3070">
        <f t="shared" si="21"/>
        <v>9419</v>
      </c>
      <c r="J1346" s="3403"/>
      <c r="K1346" s="3403"/>
      <c r="L1346" s="3403"/>
      <c r="M1346" s="3403"/>
      <c r="N1346" s="3403"/>
    </row>
    <row r="1347" spans="1:14" ht="24">
      <c r="A1347" s="3398">
        <v>270</v>
      </c>
      <c r="B1347" s="3071">
        <v>57</v>
      </c>
      <c r="C1347" s="3072" t="s">
        <v>3508</v>
      </c>
      <c r="D1347" s="3118" t="s">
        <v>5252</v>
      </c>
      <c r="E1347" s="3119">
        <v>133.71</v>
      </c>
      <c r="F1347" s="3119">
        <v>8494997</v>
      </c>
      <c r="G1347" s="3070" t="s">
        <v>3173</v>
      </c>
      <c r="H1347" s="3070" t="s">
        <v>3058</v>
      </c>
      <c r="I1347" s="3070">
        <f t="shared" si="21"/>
        <v>63533</v>
      </c>
      <c r="J1347" s="3401">
        <v>4</v>
      </c>
      <c r="K1347" s="3401">
        <v>4</v>
      </c>
      <c r="L1347" s="3401">
        <f>E1347+E1352+E1357+E1362</f>
        <v>535.22</v>
      </c>
      <c r="M1347" s="3401">
        <f>E1348+E1349+E1353+E1354+E1358+E1359+E1363+E1364</f>
        <v>671.5</v>
      </c>
      <c r="N1347" s="3401">
        <f>L1347+M1347</f>
        <v>1206.72</v>
      </c>
    </row>
    <row r="1348" spans="1:14" ht="24">
      <c r="A1348" s="3399"/>
      <c r="B1348" s="3071">
        <v>57</v>
      </c>
      <c r="C1348" s="3072" t="s">
        <v>3510</v>
      </c>
      <c r="D1348" s="3118" t="s">
        <v>5253</v>
      </c>
      <c r="E1348" s="3119">
        <v>83.93</v>
      </c>
      <c r="F1348" s="3119">
        <v>2517900</v>
      </c>
      <c r="G1348" s="3070" t="s">
        <v>3501</v>
      </c>
      <c r="H1348" s="3070" t="s">
        <v>3230</v>
      </c>
      <c r="I1348" s="3070">
        <f t="shared" si="21"/>
        <v>30000</v>
      </c>
      <c r="J1348" s="3402"/>
      <c r="K1348" s="3402"/>
      <c r="L1348" s="3402"/>
      <c r="M1348" s="3402"/>
      <c r="N1348" s="3402"/>
    </row>
    <row r="1349" spans="1:14">
      <c r="A1349" s="3399"/>
      <c r="B1349" s="3071">
        <v>57</v>
      </c>
      <c r="C1349" s="3072">
        <v>-201</v>
      </c>
      <c r="D1349" s="3118" t="s">
        <v>5254</v>
      </c>
      <c r="E1349" s="3119">
        <v>83.38</v>
      </c>
      <c r="F1349" s="3119">
        <v>2501400</v>
      </c>
      <c r="G1349" s="3070" t="s">
        <v>3503</v>
      </c>
      <c r="H1349" s="3070" t="s">
        <v>3230</v>
      </c>
      <c r="I1349" s="3070">
        <f t="shared" si="21"/>
        <v>30000</v>
      </c>
      <c r="J1349" s="3402"/>
      <c r="K1349" s="3402"/>
      <c r="L1349" s="3402"/>
      <c r="M1349" s="3402"/>
      <c r="N1349" s="3402"/>
    </row>
    <row r="1350" spans="1:14">
      <c r="A1350" s="3399"/>
      <c r="B1350" s="3071">
        <v>57</v>
      </c>
      <c r="C1350" s="3071" t="s">
        <v>5255</v>
      </c>
      <c r="D1350" s="3118" t="s">
        <v>5256</v>
      </c>
      <c r="E1350" s="3071">
        <v>44.59</v>
      </c>
      <c r="F1350" s="3071">
        <v>420000</v>
      </c>
      <c r="G1350" s="3070" t="s">
        <v>3174</v>
      </c>
      <c r="H1350" s="3070" t="s">
        <v>3174</v>
      </c>
      <c r="I1350" s="3070">
        <f t="shared" si="21"/>
        <v>9419</v>
      </c>
      <c r="J1350" s="3402"/>
      <c r="K1350" s="3402"/>
      <c r="L1350" s="3402"/>
      <c r="M1350" s="3402"/>
      <c r="N1350" s="3402"/>
    </row>
    <row r="1351" spans="1:14">
      <c r="A1351" s="3400"/>
      <c r="B1351" s="3071">
        <v>57</v>
      </c>
      <c r="C1351" s="3071" t="s">
        <v>5257</v>
      </c>
      <c r="D1351" s="3118" t="s">
        <v>5258</v>
      </c>
      <c r="E1351" s="3071">
        <v>44.59</v>
      </c>
      <c r="F1351" s="3071">
        <v>420000</v>
      </c>
      <c r="G1351" s="3070" t="s">
        <v>3174</v>
      </c>
      <c r="H1351" s="3070" t="s">
        <v>3174</v>
      </c>
      <c r="I1351" s="3070">
        <f t="shared" si="21"/>
        <v>9419</v>
      </c>
      <c r="J1351" s="3402"/>
      <c r="K1351" s="3402"/>
      <c r="L1351" s="3402"/>
      <c r="M1351" s="3402"/>
      <c r="N1351" s="3402"/>
    </row>
    <row r="1352" spans="1:14" ht="24">
      <c r="A1352" s="3398">
        <v>271</v>
      </c>
      <c r="B1352" s="3071">
        <v>57</v>
      </c>
      <c r="C1352" s="3072" t="s">
        <v>3497</v>
      </c>
      <c r="D1352" s="3118" t="s">
        <v>5259</v>
      </c>
      <c r="E1352" s="3119">
        <v>133.9</v>
      </c>
      <c r="F1352" s="3119">
        <v>7757094</v>
      </c>
      <c r="G1352" s="3070" t="s">
        <v>3173</v>
      </c>
      <c r="H1352" s="3070" t="s">
        <v>3058</v>
      </c>
      <c r="I1352" s="3070">
        <f t="shared" si="21"/>
        <v>57932</v>
      </c>
      <c r="J1352" s="3402"/>
      <c r="K1352" s="3402"/>
      <c r="L1352" s="3402"/>
      <c r="M1352" s="3402"/>
      <c r="N1352" s="3402"/>
    </row>
    <row r="1353" spans="1:14" ht="24">
      <c r="A1353" s="3399"/>
      <c r="B1353" s="3071">
        <v>57</v>
      </c>
      <c r="C1353" s="3072" t="s">
        <v>3499</v>
      </c>
      <c r="D1353" s="3118" t="s">
        <v>5260</v>
      </c>
      <c r="E1353" s="3119">
        <v>84.34</v>
      </c>
      <c r="F1353" s="3119">
        <v>2530200</v>
      </c>
      <c r="G1353" s="3070" t="s">
        <v>3501</v>
      </c>
      <c r="H1353" s="3070" t="s">
        <v>3230</v>
      </c>
      <c r="I1353" s="3070">
        <f t="shared" si="21"/>
        <v>30000</v>
      </c>
      <c r="J1353" s="3402"/>
      <c r="K1353" s="3402"/>
      <c r="L1353" s="3402"/>
      <c r="M1353" s="3402"/>
      <c r="N1353" s="3402"/>
    </row>
    <row r="1354" spans="1:14">
      <c r="A1354" s="3399"/>
      <c r="B1354" s="3071">
        <v>57</v>
      </c>
      <c r="C1354" s="3072">
        <v>-202</v>
      </c>
      <c r="D1354" s="3118" t="s">
        <v>5261</v>
      </c>
      <c r="E1354" s="3119">
        <v>84.1</v>
      </c>
      <c r="F1354" s="3119">
        <v>2523000</v>
      </c>
      <c r="G1354" s="3070" t="s">
        <v>3503</v>
      </c>
      <c r="H1354" s="3070" t="s">
        <v>3230</v>
      </c>
      <c r="I1354" s="3070">
        <f t="shared" si="21"/>
        <v>30000</v>
      </c>
      <c r="J1354" s="3402"/>
      <c r="K1354" s="3402"/>
      <c r="L1354" s="3402"/>
      <c r="M1354" s="3402"/>
      <c r="N1354" s="3402"/>
    </row>
    <row r="1355" spans="1:14">
      <c r="A1355" s="3399"/>
      <c r="B1355" s="3071">
        <v>57</v>
      </c>
      <c r="C1355" s="3071" t="s">
        <v>5262</v>
      </c>
      <c r="D1355" s="3118" t="s">
        <v>5263</v>
      </c>
      <c r="E1355" s="3071">
        <v>44.59</v>
      </c>
      <c r="F1355" s="3071">
        <v>420000</v>
      </c>
      <c r="G1355" s="3070" t="s">
        <v>3174</v>
      </c>
      <c r="H1355" s="3070" t="s">
        <v>3174</v>
      </c>
      <c r="I1355" s="3070">
        <f t="shared" si="21"/>
        <v>9419</v>
      </c>
      <c r="J1355" s="3402"/>
      <c r="K1355" s="3402"/>
      <c r="L1355" s="3402"/>
      <c r="M1355" s="3402"/>
      <c r="N1355" s="3402"/>
    </row>
    <row r="1356" spans="1:14">
      <c r="A1356" s="3400"/>
      <c r="B1356" s="3071">
        <v>57</v>
      </c>
      <c r="C1356" s="3071" t="s">
        <v>5264</v>
      </c>
      <c r="D1356" s="3118" t="s">
        <v>5265</v>
      </c>
      <c r="E1356" s="3071">
        <v>44.59</v>
      </c>
      <c r="F1356" s="3071">
        <v>420000</v>
      </c>
      <c r="G1356" s="3070" t="s">
        <v>3174</v>
      </c>
      <c r="H1356" s="3070" t="s">
        <v>3174</v>
      </c>
      <c r="I1356" s="3070">
        <f t="shared" si="21"/>
        <v>9419</v>
      </c>
      <c r="J1356" s="3402"/>
      <c r="K1356" s="3402"/>
      <c r="L1356" s="3402"/>
      <c r="M1356" s="3402"/>
      <c r="N1356" s="3402"/>
    </row>
    <row r="1357" spans="1:14" ht="24">
      <c r="A1357" s="3398">
        <v>272</v>
      </c>
      <c r="B1357" s="3071">
        <v>57</v>
      </c>
      <c r="C1357" s="3072" t="s">
        <v>3524</v>
      </c>
      <c r="D1357" s="3118" t="s">
        <v>5266</v>
      </c>
      <c r="E1357" s="3119">
        <v>133.71</v>
      </c>
      <c r="F1357" s="3119">
        <v>8494997</v>
      </c>
      <c r="G1357" s="3070" t="s">
        <v>3173</v>
      </c>
      <c r="H1357" s="3070" t="s">
        <v>3058</v>
      </c>
      <c r="I1357" s="3070">
        <f t="shared" si="21"/>
        <v>63533</v>
      </c>
      <c r="J1357" s="3402"/>
      <c r="K1357" s="3402"/>
      <c r="L1357" s="3402"/>
      <c r="M1357" s="3402"/>
      <c r="N1357" s="3402"/>
    </row>
    <row r="1358" spans="1:14" ht="24">
      <c r="A1358" s="3399"/>
      <c r="B1358" s="3071">
        <v>57</v>
      </c>
      <c r="C1358" s="3072" t="s">
        <v>3526</v>
      </c>
      <c r="D1358" s="3118" t="s">
        <v>5267</v>
      </c>
      <c r="E1358" s="3119">
        <v>83.93</v>
      </c>
      <c r="F1358" s="3119">
        <v>2517900</v>
      </c>
      <c r="G1358" s="3070" t="s">
        <v>3501</v>
      </c>
      <c r="H1358" s="3070" t="s">
        <v>3230</v>
      </c>
      <c r="I1358" s="3070">
        <f t="shared" si="21"/>
        <v>30000</v>
      </c>
      <c r="J1358" s="3402"/>
      <c r="K1358" s="3402"/>
      <c r="L1358" s="3402"/>
      <c r="M1358" s="3402"/>
      <c r="N1358" s="3402"/>
    </row>
    <row r="1359" spans="1:14">
      <c r="A1359" s="3399"/>
      <c r="B1359" s="3071">
        <v>57</v>
      </c>
      <c r="C1359" s="3072">
        <v>-203</v>
      </c>
      <c r="D1359" s="3118" t="s">
        <v>5268</v>
      </c>
      <c r="E1359" s="3119">
        <v>83.38</v>
      </c>
      <c r="F1359" s="3119">
        <v>2501400</v>
      </c>
      <c r="G1359" s="3070" t="s">
        <v>3503</v>
      </c>
      <c r="H1359" s="3070" t="s">
        <v>3230</v>
      </c>
      <c r="I1359" s="3070">
        <f t="shared" si="21"/>
        <v>30000</v>
      </c>
      <c r="J1359" s="3402"/>
      <c r="K1359" s="3402"/>
      <c r="L1359" s="3402"/>
      <c r="M1359" s="3402"/>
      <c r="N1359" s="3402"/>
    </row>
    <row r="1360" spans="1:14">
      <c r="A1360" s="3399"/>
      <c r="B1360" s="3071">
        <v>57</v>
      </c>
      <c r="C1360" s="3071" t="s">
        <v>5269</v>
      </c>
      <c r="D1360" s="3118" t="s">
        <v>5270</v>
      </c>
      <c r="E1360" s="3071">
        <v>44.59</v>
      </c>
      <c r="F1360" s="3071">
        <v>420000</v>
      </c>
      <c r="G1360" s="3070" t="s">
        <v>3174</v>
      </c>
      <c r="H1360" s="3070" t="s">
        <v>3174</v>
      </c>
      <c r="I1360" s="3070">
        <f t="shared" si="21"/>
        <v>9419</v>
      </c>
      <c r="J1360" s="3402"/>
      <c r="K1360" s="3402"/>
      <c r="L1360" s="3402"/>
      <c r="M1360" s="3402"/>
      <c r="N1360" s="3402"/>
    </row>
    <row r="1361" spans="1:14">
      <c r="A1361" s="3400"/>
      <c r="B1361" s="3071">
        <v>57</v>
      </c>
      <c r="C1361" s="3071" t="s">
        <v>5271</v>
      </c>
      <c r="D1361" s="3118" t="s">
        <v>5272</v>
      </c>
      <c r="E1361" s="3071">
        <v>44.59</v>
      </c>
      <c r="F1361" s="3071">
        <v>420000</v>
      </c>
      <c r="G1361" s="3070" t="s">
        <v>3174</v>
      </c>
      <c r="H1361" s="3070" t="s">
        <v>3174</v>
      </c>
      <c r="I1361" s="3070">
        <f t="shared" si="21"/>
        <v>9419</v>
      </c>
      <c r="J1361" s="3402"/>
      <c r="K1361" s="3402"/>
      <c r="L1361" s="3402"/>
      <c r="M1361" s="3402"/>
      <c r="N1361" s="3402"/>
    </row>
    <row r="1362" spans="1:14" ht="24">
      <c r="A1362" s="3398">
        <v>273</v>
      </c>
      <c r="B1362" s="3071">
        <v>57</v>
      </c>
      <c r="C1362" s="3072" t="s">
        <v>3533</v>
      </c>
      <c r="D1362" s="3118" t="s">
        <v>5273</v>
      </c>
      <c r="E1362" s="3119">
        <v>133.9</v>
      </c>
      <c r="F1362" s="3119">
        <v>7857118</v>
      </c>
      <c r="G1362" s="3070" t="s">
        <v>3173</v>
      </c>
      <c r="H1362" s="3070" t="s">
        <v>3058</v>
      </c>
      <c r="I1362" s="3070">
        <f t="shared" si="21"/>
        <v>58679</v>
      </c>
      <c r="J1362" s="3402"/>
      <c r="K1362" s="3402"/>
      <c r="L1362" s="3402"/>
      <c r="M1362" s="3402"/>
      <c r="N1362" s="3402"/>
    </row>
    <row r="1363" spans="1:14" ht="24">
      <c r="A1363" s="3399"/>
      <c r="B1363" s="3071">
        <v>57</v>
      </c>
      <c r="C1363" s="3072" t="s">
        <v>3535</v>
      </c>
      <c r="D1363" s="3118" t="s">
        <v>5274</v>
      </c>
      <c r="E1363" s="3119">
        <v>84.34</v>
      </c>
      <c r="F1363" s="3119">
        <v>2530200</v>
      </c>
      <c r="G1363" s="3070" t="s">
        <v>3501</v>
      </c>
      <c r="H1363" s="3070" t="s">
        <v>3230</v>
      </c>
      <c r="I1363" s="3070">
        <f t="shared" si="21"/>
        <v>30000</v>
      </c>
      <c r="J1363" s="3402"/>
      <c r="K1363" s="3402"/>
      <c r="L1363" s="3402"/>
      <c r="M1363" s="3402"/>
      <c r="N1363" s="3402"/>
    </row>
    <row r="1364" spans="1:14">
      <c r="A1364" s="3399"/>
      <c r="B1364" s="3071">
        <v>57</v>
      </c>
      <c r="C1364" s="3072">
        <v>-204</v>
      </c>
      <c r="D1364" s="3118" t="s">
        <v>5275</v>
      </c>
      <c r="E1364" s="3119">
        <v>84.1</v>
      </c>
      <c r="F1364" s="3119">
        <v>2523000</v>
      </c>
      <c r="G1364" s="3070" t="s">
        <v>3503</v>
      </c>
      <c r="H1364" s="3070" t="s">
        <v>3230</v>
      </c>
      <c r="I1364" s="3070">
        <f t="shared" si="21"/>
        <v>30000</v>
      </c>
      <c r="J1364" s="3402"/>
      <c r="K1364" s="3402"/>
      <c r="L1364" s="3402"/>
      <c r="M1364" s="3402"/>
      <c r="N1364" s="3402"/>
    </row>
    <row r="1365" spans="1:14">
      <c r="A1365" s="3399"/>
      <c r="B1365" s="3071">
        <v>57</v>
      </c>
      <c r="C1365" s="3071" t="s">
        <v>5276</v>
      </c>
      <c r="D1365" s="3118" t="s">
        <v>5277</v>
      </c>
      <c r="E1365" s="3071">
        <v>44.59</v>
      </c>
      <c r="F1365" s="3071">
        <v>420000</v>
      </c>
      <c r="G1365" s="3070" t="s">
        <v>3174</v>
      </c>
      <c r="H1365" s="3070" t="s">
        <v>3174</v>
      </c>
      <c r="I1365" s="3070">
        <f t="shared" si="21"/>
        <v>9419</v>
      </c>
      <c r="J1365" s="3402"/>
      <c r="K1365" s="3402"/>
      <c r="L1365" s="3402"/>
      <c r="M1365" s="3402"/>
      <c r="N1365" s="3402"/>
    </row>
    <row r="1366" spans="1:14">
      <c r="A1366" s="3400"/>
      <c r="B1366" s="3071">
        <v>57</v>
      </c>
      <c r="C1366" s="3071" t="s">
        <v>5278</v>
      </c>
      <c r="D1366" s="3118" t="s">
        <v>5279</v>
      </c>
      <c r="E1366" s="3071">
        <v>44.59</v>
      </c>
      <c r="F1366" s="3071">
        <v>420000</v>
      </c>
      <c r="G1366" s="3070" t="s">
        <v>3174</v>
      </c>
      <c r="H1366" s="3070" t="s">
        <v>3174</v>
      </c>
      <c r="I1366" s="3070">
        <f t="shared" ref="I1366:I1381" si="22">ROUND(F1366/E1366,0)</f>
        <v>9419</v>
      </c>
      <c r="J1366" s="3403"/>
      <c r="K1366" s="3403"/>
      <c r="L1366" s="3403"/>
      <c r="M1366" s="3403"/>
      <c r="N1366" s="3403"/>
    </row>
    <row r="1367" spans="1:14" ht="24">
      <c r="A1367" s="3398">
        <v>274</v>
      </c>
      <c r="B1367" s="3071">
        <v>58</v>
      </c>
      <c r="C1367" s="3072" t="s">
        <v>3497</v>
      </c>
      <c r="D1367" s="3118" t="s">
        <v>5280</v>
      </c>
      <c r="E1367" s="3119">
        <v>180.71</v>
      </c>
      <c r="F1367" s="3119">
        <v>11481048</v>
      </c>
      <c r="G1367" s="3070" t="s">
        <v>3173</v>
      </c>
      <c r="H1367" s="3070" t="s">
        <v>3058</v>
      </c>
      <c r="I1367" s="3070">
        <f t="shared" si="22"/>
        <v>63533</v>
      </c>
      <c r="J1367" s="3401">
        <v>3</v>
      </c>
      <c r="K1367" s="3401">
        <v>2</v>
      </c>
      <c r="L1367" s="3401">
        <f>E1367+E1372</f>
        <v>361.65</v>
      </c>
      <c r="M1367" s="3401">
        <f>E1368+E1369+E1373+E1374</f>
        <v>455.63</v>
      </c>
      <c r="N1367" s="3401">
        <f>L1367+M1367</f>
        <v>817.28</v>
      </c>
    </row>
    <row r="1368" spans="1:14" ht="24">
      <c r="A1368" s="3399"/>
      <c r="B1368" s="3071">
        <v>58</v>
      </c>
      <c r="C1368" s="3072" t="s">
        <v>3499</v>
      </c>
      <c r="D1368" s="3118" t="s">
        <v>5281</v>
      </c>
      <c r="E1368" s="3119">
        <v>116.12</v>
      </c>
      <c r="F1368" s="3119">
        <v>3483600</v>
      </c>
      <c r="G1368" s="3070" t="s">
        <v>3501</v>
      </c>
      <c r="H1368" s="3070" t="s">
        <v>3230</v>
      </c>
      <c r="I1368" s="3070">
        <f t="shared" si="22"/>
        <v>30000</v>
      </c>
      <c r="J1368" s="3402"/>
      <c r="K1368" s="3402"/>
      <c r="L1368" s="3402"/>
      <c r="M1368" s="3402"/>
      <c r="N1368" s="3402"/>
    </row>
    <row r="1369" spans="1:14">
      <c r="A1369" s="3399"/>
      <c r="B1369" s="3071">
        <v>58</v>
      </c>
      <c r="C1369" s="3072">
        <v>-202</v>
      </c>
      <c r="D1369" s="3118" t="s">
        <v>5282</v>
      </c>
      <c r="E1369" s="3119">
        <v>111.17</v>
      </c>
      <c r="F1369" s="3119">
        <v>3335100</v>
      </c>
      <c r="G1369" s="3070" t="s">
        <v>3503</v>
      </c>
      <c r="H1369" s="3070" t="s">
        <v>3230</v>
      </c>
      <c r="I1369" s="3070">
        <f t="shared" si="22"/>
        <v>30000</v>
      </c>
      <c r="J1369" s="3402"/>
      <c r="K1369" s="3402"/>
      <c r="L1369" s="3402"/>
      <c r="M1369" s="3402"/>
      <c r="N1369" s="3402"/>
    </row>
    <row r="1370" spans="1:14">
      <c r="A1370" s="3399"/>
      <c r="B1370" s="3071">
        <v>58</v>
      </c>
      <c r="C1370" s="3071" t="s">
        <v>5283</v>
      </c>
      <c r="D1370" s="3118" t="s">
        <v>5284</v>
      </c>
      <c r="E1370" s="3071">
        <v>44.59</v>
      </c>
      <c r="F1370" s="3071">
        <v>420000</v>
      </c>
      <c r="G1370" s="3070" t="s">
        <v>3174</v>
      </c>
      <c r="H1370" s="3070" t="s">
        <v>3174</v>
      </c>
      <c r="I1370" s="3070">
        <f t="shared" si="22"/>
        <v>9419</v>
      </c>
      <c r="J1370" s="3402"/>
      <c r="K1370" s="3402"/>
      <c r="L1370" s="3402"/>
      <c r="M1370" s="3402"/>
      <c r="N1370" s="3402"/>
    </row>
    <row r="1371" spans="1:14">
      <c r="A1371" s="3400"/>
      <c r="B1371" s="3071">
        <v>58</v>
      </c>
      <c r="C1371" s="3071" t="s">
        <v>5285</v>
      </c>
      <c r="D1371" s="3118" t="s">
        <v>5286</v>
      </c>
      <c r="E1371" s="3071">
        <v>44.59</v>
      </c>
      <c r="F1371" s="3071">
        <v>420000</v>
      </c>
      <c r="G1371" s="3070" t="s">
        <v>3174</v>
      </c>
      <c r="H1371" s="3070" t="s">
        <v>3174</v>
      </c>
      <c r="I1371" s="3070">
        <f t="shared" si="22"/>
        <v>9419</v>
      </c>
      <c r="J1371" s="3402"/>
      <c r="K1371" s="3402"/>
      <c r="L1371" s="3402"/>
      <c r="M1371" s="3402"/>
      <c r="N1371" s="3402"/>
    </row>
    <row r="1372" spans="1:14" ht="24">
      <c r="A1372" s="3398">
        <v>275</v>
      </c>
      <c r="B1372" s="3071">
        <v>58</v>
      </c>
      <c r="C1372" s="3072" t="s">
        <v>3524</v>
      </c>
      <c r="D1372" s="3118" t="s">
        <v>5287</v>
      </c>
      <c r="E1372" s="3119">
        <v>180.94</v>
      </c>
      <c r="F1372" s="3119">
        <v>11495661</v>
      </c>
      <c r="G1372" s="3070" t="s">
        <v>3173</v>
      </c>
      <c r="H1372" s="3070" t="s">
        <v>3058</v>
      </c>
      <c r="I1372" s="3070">
        <f t="shared" si="22"/>
        <v>63533</v>
      </c>
      <c r="J1372" s="3402"/>
      <c r="K1372" s="3402"/>
      <c r="L1372" s="3402"/>
      <c r="M1372" s="3402"/>
      <c r="N1372" s="3402"/>
    </row>
    <row r="1373" spans="1:14" ht="24">
      <c r="A1373" s="3399"/>
      <c r="B1373" s="3071">
        <v>58</v>
      </c>
      <c r="C1373" s="3072" t="s">
        <v>3526</v>
      </c>
      <c r="D1373" s="3118" t="s">
        <v>5288</v>
      </c>
      <c r="E1373" s="3119">
        <v>116.39</v>
      </c>
      <c r="F1373" s="3119">
        <v>3491700</v>
      </c>
      <c r="G1373" s="3070" t="s">
        <v>3501</v>
      </c>
      <c r="H1373" s="3070" t="s">
        <v>3230</v>
      </c>
      <c r="I1373" s="3070">
        <f t="shared" si="22"/>
        <v>30000</v>
      </c>
      <c r="J1373" s="3402"/>
      <c r="K1373" s="3402"/>
      <c r="L1373" s="3402"/>
      <c r="M1373" s="3402"/>
      <c r="N1373" s="3402"/>
    </row>
    <row r="1374" spans="1:14">
      <c r="A1374" s="3399"/>
      <c r="B1374" s="3071">
        <v>58</v>
      </c>
      <c r="C1374" s="3072">
        <v>-203</v>
      </c>
      <c r="D1374" s="3118" t="s">
        <v>5289</v>
      </c>
      <c r="E1374" s="3119">
        <v>111.95</v>
      </c>
      <c r="F1374" s="3119">
        <v>3358500</v>
      </c>
      <c r="G1374" s="3070" t="s">
        <v>3503</v>
      </c>
      <c r="H1374" s="3070" t="s">
        <v>3230</v>
      </c>
      <c r="I1374" s="3070">
        <f t="shared" si="22"/>
        <v>30000</v>
      </c>
      <c r="J1374" s="3402"/>
      <c r="K1374" s="3402"/>
      <c r="L1374" s="3402"/>
      <c r="M1374" s="3402"/>
      <c r="N1374" s="3402"/>
    </row>
    <row r="1375" spans="1:14">
      <c r="A1375" s="3399"/>
      <c r="B1375" s="3071">
        <v>58</v>
      </c>
      <c r="C1375" s="3071" t="s">
        <v>5290</v>
      </c>
      <c r="D1375" s="3118" t="s">
        <v>5291</v>
      </c>
      <c r="E1375" s="3071">
        <v>44.59</v>
      </c>
      <c r="F1375" s="3071">
        <v>420000</v>
      </c>
      <c r="G1375" s="3070" t="s">
        <v>3174</v>
      </c>
      <c r="H1375" s="3070" t="s">
        <v>3174</v>
      </c>
      <c r="I1375" s="3070">
        <f t="shared" si="22"/>
        <v>9419</v>
      </c>
      <c r="J1375" s="3402"/>
      <c r="K1375" s="3402"/>
      <c r="L1375" s="3402"/>
      <c r="M1375" s="3402"/>
      <c r="N1375" s="3402"/>
    </row>
    <row r="1376" spans="1:14">
      <c r="A1376" s="3400"/>
      <c r="B1376" s="3071">
        <v>58</v>
      </c>
      <c r="C1376" s="3071" t="s">
        <v>5292</v>
      </c>
      <c r="D1376" s="3118" t="s">
        <v>5293</v>
      </c>
      <c r="E1376" s="3071">
        <v>44.59</v>
      </c>
      <c r="F1376" s="3071">
        <v>420000</v>
      </c>
      <c r="G1376" s="3070" t="s">
        <v>3174</v>
      </c>
      <c r="H1376" s="3070" t="s">
        <v>3174</v>
      </c>
      <c r="I1376" s="3070">
        <f t="shared" si="22"/>
        <v>9419</v>
      </c>
      <c r="J1376" s="3403"/>
      <c r="K1376" s="3403"/>
      <c r="L1376" s="3403"/>
      <c r="M1376" s="3403"/>
      <c r="N1376" s="3403"/>
    </row>
    <row r="1377" spans="1:14" ht="24">
      <c r="A1377" s="3398">
        <v>276</v>
      </c>
      <c r="B1377" s="3071">
        <v>49</v>
      </c>
      <c r="C1377" s="3072" t="s">
        <v>3497</v>
      </c>
      <c r="D1377" s="3118" t="str">
        <f t="shared" ref="D1377:D1381" si="23">CONCATENATE(B1377,"-",C1377)</f>
        <v>49-102-住宅</v>
      </c>
      <c r="E1377" s="3119">
        <v>133.25</v>
      </c>
      <c r="F1377" s="3119">
        <v>7565801</v>
      </c>
      <c r="G1377" s="3070" t="s">
        <v>3173</v>
      </c>
      <c r="H1377" s="3070" t="s">
        <v>3058</v>
      </c>
      <c r="I1377" s="3070">
        <f t="shared" si="22"/>
        <v>56779</v>
      </c>
      <c r="J1377" s="3401">
        <v>8</v>
      </c>
      <c r="K1377" s="3401">
        <v>1</v>
      </c>
      <c r="L1377" s="3401">
        <f>E1377</f>
        <v>133.25</v>
      </c>
      <c r="M1377" s="3401">
        <f>E1378+E1379</f>
        <v>167.67000000000002</v>
      </c>
      <c r="N1377" s="3401">
        <f>L1377+M1377</f>
        <v>300.92</v>
      </c>
    </row>
    <row r="1378" spans="1:14" ht="24">
      <c r="A1378" s="3399"/>
      <c r="B1378" s="3071">
        <v>49</v>
      </c>
      <c r="C1378" s="3072" t="s">
        <v>3499</v>
      </c>
      <c r="D1378" s="3118" t="str">
        <f t="shared" si="23"/>
        <v>49-(102-戊类储藏)</v>
      </c>
      <c r="E1378" s="3119">
        <v>83.78</v>
      </c>
      <c r="F1378" s="3119">
        <v>2513400</v>
      </c>
      <c r="G1378" s="3070" t="s">
        <v>3501</v>
      </c>
      <c r="H1378" s="3070" t="s">
        <v>3230</v>
      </c>
      <c r="I1378" s="3070">
        <f t="shared" si="22"/>
        <v>30000</v>
      </c>
      <c r="J1378" s="3402"/>
      <c r="K1378" s="3402"/>
      <c r="L1378" s="3402"/>
      <c r="M1378" s="3402"/>
      <c r="N1378" s="3402"/>
    </row>
    <row r="1379" spans="1:14">
      <c r="A1379" s="3399"/>
      <c r="B1379" s="3071">
        <v>49</v>
      </c>
      <c r="C1379" s="3072">
        <v>-202</v>
      </c>
      <c r="D1379" s="3118" t="str">
        <f t="shared" si="23"/>
        <v>49--202</v>
      </c>
      <c r="E1379" s="3119">
        <v>83.89</v>
      </c>
      <c r="F1379" s="3119">
        <v>2516700</v>
      </c>
      <c r="G1379" s="3070" t="s">
        <v>3503</v>
      </c>
      <c r="H1379" s="3070" t="s">
        <v>3230</v>
      </c>
      <c r="I1379" s="3070">
        <f t="shared" si="22"/>
        <v>30000</v>
      </c>
      <c r="J1379" s="3402"/>
      <c r="K1379" s="3402"/>
      <c r="L1379" s="3402"/>
      <c r="M1379" s="3402"/>
      <c r="N1379" s="3402"/>
    </row>
    <row r="1380" spans="1:14">
      <c r="A1380" s="3399"/>
      <c r="B1380" s="3071">
        <v>49</v>
      </c>
      <c r="C1380" s="3071" t="s">
        <v>5294</v>
      </c>
      <c r="D1380" s="3118" t="str">
        <f t="shared" si="23"/>
        <v>49-0517</v>
      </c>
      <c r="E1380" s="3071">
        <v>44.59</v>
      </c>
      <c r="F1380" s="3071">
        <v>420000</v>
      </c>
      <c r="G1380" s="3070" t="s">
        <v>3174</v>
      </c>
      <c r="H1380" s="3070" t="s">
        <v>3174</v>
      </c>
      <c r="I1380" s="3070">
        <f t="shared" si="22"/>
        <v>9419</v>
      </c>
      <c r="J1380" s="3402"/>
      <c r="K1380" s="3402"/>
      <c r="L1380" s="3402"/>
      <c r="M1380" s="3402"/>
      <c r="N1380" s="3402"/>
    </row>
    <row r="1381" spans="1:14">
      <c r="A1381" s="3400"/>
      <c r="B1381" s="3071">
        <v>49</v>
      </c>
      <c r="C1381" s="3071" t="s">
        <v>5295</v>
      </c>
      <c r="D1381" s="3118" t="str">
        <f t="shared" si="23"/>
        <v>49-0518</v>
      </c>
      <c r="E1381" s="3071">
        <v>44.59</v>
      </c>
      <c r="F1381" s="3071">
        <v>420000</v>
      </c>
      <c r="G1381" s="3070" t="s">
        <v>3174</v>
      </c>
      <c r="H1381" s="3070" t="s">
        <v>3174</v>
      </c>
      <c r="I1381" s="3070">
        <f t="shared" si="22"/>
        <v>9419</v>
      </c>
      <c r="J1381" s="3403"/>
      <c r="K1381" s="3403"/>
      <c r="L1381" s="3403"/>
      <c r="M1381" s="3403"/>
      <c r="N1381" s="3403"/>
    </row>
    <row r="1382" spans="1:14">
      <c r="E1382" s="3070">
        <f>SUM(E2:E1381)</f>
        <v>108884.15999999885</v>
      </c>
      <c r="F1382" s="3070">
        <f>SUM(F2:F1381)/10000</f>
        <v>396947.71470000001</v>
      </c>
      <c r="K1382" s="1221">
        <f>SUM(K2:K1381)</f>
        <v>276</v>
      </c>
      <c r="L1382" s="1221">
        <f>SUM(L2:L1381)</f>
        <v>38099.640000000007</v>
      </c>
      <c r="M1382" s="1221">
        <f>SUM(M2:M1381)</f>
        <v>48672.420000000006</v>
      </c>
      <c r="N1382" s="1221">
        <f>SUM(N2:N1381)</f>
        <v>86772.060000000027</v>
      </c>
    </row>
    <row r="1384" spans="1:14">
      <c r="A1384" s="3070">
        <f>A1377*5</f>
        <v>1380</v>
      </c>
      <c r="E1384" s="3070">
        <f>SUBTOTAL(9,E2:E1381)</f>
        <v>108884.15999999885</v>
      </c>
      <c r="F1384" s="3070">
        <f>SUBTOTAL(9,F2:F1381)</f>
        <v>3969477147</v>
      </c>
    </row>
  </sheetData>
  <autoFilter ref="A1:T1382" xr:uid="{00000000-0009-0000-0000-00000F000000}"/>
  <mergeCells count="577">
    <mergeCell ref="O8:O9"/>
    <mergeCell ref="O10:O11"/>
    <mergeCell ref="O12:O13"/>
    <mergeCell ref="O14:O15"/>
    <mergeCell ref="A2:A6"/>
    <mergeCell ref="J2:J6"/>
    <mergeCell ref="K2:K6"/>
    <mergeCell ref="L2:L6"/>
    <mergeCell ref="M2:M6"/>
    <mergeCell ref="N2:N6"/>
    <mergeCell ref="A32:A36"/>
    <mergeCell ref="A37:A41"/>
    <mergeCell ref="A7:A11"/>
    <mergeCell ref="J7:J41"/>
    <mergeCell ref="K7:K41"/>
    <mergeCell ref="L7:L41"/>
    <mergeCell ref="M7:M41"/>
    <mergeCell ref="N7:N41"/>
    <mergeCell ref="A12:A16"/>
    <mergeCell ref="A17:A21"/>
    <mergeCell ref="A22:A26"/>
    <mergeCell ref="A27:A31"/>
    <mergeCell ref="M42:M76"/>
    <mergeCell ref="N42:N76"/>
    <mergeCell ref="A47:A51"/>
    <mergeCell ref="A52:A56"/>
    <mergeCell ref="A57:A61"/>
    <mergeCell ref="A62:A66"/>
    <mergeCell ref="A67:A71"/>
    <mergeCell ref="A72:A76"/>
    <mergeCell ref="A42:A46"/>
    <mergeCell ref="J42:J76"/>
    <mergeCell ref="K42:K76"/>
    <mergeCell ref="L42:L76"/>
    <mergeCell ref="M77:M111"/>
    <mergeCell ref="N77:N111"/>
    <mergeCell ref="A82:A86"/>
    <mergeCell ref="A87:A91"/>
    <mergeCell ref="A92:A96"/>
    <mergeCell ref="A97:A101"/>
    <mergeCell ref="A102:A106"/>
    <mergeCell ref="A107:A111"/>
    <mergeCell ref="L132:L151"/>
    <mergeCell ref="M132:M151"/>
    <mergeCell ref="L112:L121"/>
    <mergeCell ref="M112:M121"/>
    <mergeCell ref="N112:N121"/>
    <mergeCell ref="A117:A121"/>
    <mergeCell ref="A122:A126"/>
    <mergeCell ref="J122:J131"/>
    <mergeCell ref="K122:K131"/>
    <mergeCell ref="L122:L131"/>
    <mergeCell ref="M122:M131"/>
    <mergeCell ref="N122:N131"/>
    <mergeCell ref="L77:L111"/>
    <mergeCell ref="A77:A81"/>
    <mergeCell ref="J77:J111"/>
    <mergeCell ref="K77:K111"/>
    <mergeCell ref="N132:N151"/>
    <mergeCell ref="A137:A141"/>
    <mergeCell ref="A142:A146"/>
    <mergeCell ref="A147:A151"/>
    <mergeCell ref="A112:A116"/>
    <mergeCell ref="J112:J121"/>
    <mergeCell ref="K112:K121"/>
    <mergeCell ref="A152:A156"/>
    <mergeCell ref="J152:J166"/>
    <mergeCell ref="K152:K166"/>
    <mergeCell ref="L152:L166"/>
    <mergeCell ref="M152:M166"/>
    <mergeCell ref="N152:N166"/>
    <mergeCell ref="A157:A161"/>
    <mergeCell ref="A162:A166"/>
    <mergeCell ref="A127:A131"/>
    <mergeCell ref="A132:A136"/>
    <mergeCell ref="J132:J151"/>
    <mergeCell ref="K132:K151"/>
    <mergeCell ref="A167:A171"/>
    <mergeCell ref="J167:J181"/>
    <mergeCell ref="K167:K181"/>
    <mergeCell ref="L167:L181"/>
    <mergeCell ref="M167:M181"/>
    <mergeCell ref="N167:N181"/>
    <mergeCell ref="A172:A176"/>
    <mergeCell ref="N182:N211"/>
    <mergeCell ref="A187:A191"/>
    <mergeCell ref="A192:A196"/>
    <mergeCell ref="A197:A201"/>
    <mergeCell ref="A202:A206"/>
    <mergeCell ref="A207:A211"/>
    <mergeCell ref="A177:A181"/>
    <mergeCell ref="A182:A186"/>
    <mergeCell ref="J182:J211"/>
    <mergeCell ref="K182:K211"/>
    <mergeCell ref="L182:L211"/>
    <mergeCell ref="M182:M211"/>
    <mergeCell ref="A232:A236"/>
    <mergeCell ref="A237:A241"/>
    <mergeCell ref="A242:A246"/>
    <mergeCell ref="A212:A216"/>
    <mergeCell ref="J212:J231"/>
    <mergeCell ref="K212:K231"/>
    <mergeCell ref="L212:L231"/>
    <mergeCell ref="M212:M231"/>
    <mergeCell ref="N212:N231"/>
    <mergeCell ref="A217:A221"/>
    <mergeCell ref="A222:A226"/>
    <mergeCell ref="A227:A231"/>
    <mergeCell ref="A282:A286"/>
    <mergeCell ref="J282:J291"/>
    <mergeCell ref="K282:K291"/>
    <mergeCell ref="A247:A251"/>
    <mergeCell ref="L282:L291"/>
    <mergeCell ref="M282:M291"/>
    <mergeCell ref="N282:N291"/>
    <mergeCell ref="A287:A291"/>
    <mergeCell ref="A252:A256"/>
    <mergeCell ref="A257:A261"/>
    <mergeCell ref="A262:A266"/>
    <mergeCell ref="A267:A271"/>
    <mergeCell ref="A272:A276"/>
    <mergeCell ref="A277:A281"/>
    <mergeCell ref="A292:A296"/>
    <mergeCell ref="J292:J306"/>
    <mergeCell ref="K292:K306"/>
    <mergeCell ref="L292:L306"/>
    <mergeCell ref="M292:M306"/>
    <mergeCell ref="N292:N306"/>
    <mergeCell ref="M307:M336"/>
    <mergeCell ref="N307:N336"/>
    <mergeCell ref="A312:A316"/>
    <mergeCell ref="A317:A321"/>
    <mergeCell ref="A322:A326"/>
    <mergeCell ref="A327:A331"/>
    <mergeCell ref="A332:A336"/>
    <mergeCell ref="A297:A301"/>
    <mergeCell ref="A302:A306"/>
    <mergeCell ref="A307:A311"/>
    <mergeCell ref="J307:J336"/>
    <mergeCell ref="K307:K336"/>
    <mergeCell ref="L307:L336"/>
    <mergeCell ref="A337:A341"/>
    <mergeCell ref="J337:J356"/>
    <mergeCell ref="K337:K356"/>
    <mergeCell ref="L337:L356"/>
    <mergeCell ref="M337:M356"/>
    <mergeCell ref="N337:N356"/>
    <mergeCell ref="A342:A346"/>
    <mergeCell ref="A347:A351"/>
    <mergeCell ref="A352:A356"/>
    <mergeCell ref="A357:A361"/>
    <mergeCell ref="J357:J381"/>
    <mergeCell ref="K357:K381"/>
    <mergeCell ref="L357:L381"/>
    <mergeCell ref="M357:M381"/>
    <mergeCell ref="N357:N381"/>
    <mergeCell ref="A362:A366"/>
    <mergeCell ref="A367:A371"/>
    <mergeCell ref="A372:A376"/>
    <mergeCell ref="A377:A381"/>
    <mergeCell ref="A382:A386"/>
    <mergeCell ref="J382:J401"/>
    <mergeCell ref="K382:K401"/>
    <mergeCell ref="L382:L401"/>
    <mergeCell ref="M382:M401"/>
    <mergeCell ref="N382:N401"/>
    <mergeCell ref="A387:A391"/>
    <mergeCell ref="A392:A396"/>
    <mergeCell ref="A397:A401"/>
    <mergeCell ref="A402:A406"/>
    <mergeCell ref="J402:J431"/>
    <mergeCell ref="K402:K431"/>
    <mergeCell ref="L402:L431"/>
    <mergeCell ref="M402:M431"/>
    <mergeCell ref="N402:N431"/>
    <mergeCell ref="A407:A411"/>
    <mergeCell ref="A412:A416"/>
    <mergeCell ref="A417:A421"/>
    <mergeCell ref="A422:A426"/>
    <mergeCell ref="A427:A431"/>
    <mergeCell ref="M497:M501"/>
    <mergeCell ref="N497:N501"/>
    <mergeCell ref="J462:J471"/>
    <mergeCell ref="K462:K471"/>
    <mergeCell ref="L462:L471"/>
    <mergeCell ref="M462:M471"/>
    <mergeCell ref="A457:A461"/>
    <mergeCell ref="N432:N451"/>
    <mergeCell ref="A437:A441"/>
    <mergeCell ref="A442:A446"/>
    <mergeCell ref="A447:A451"/>
    <mergeCell ref="A452:A456"/>
    <mergeCell ref="J452:J461"/>
    <mergeCell ref="K452:K461"/>
    <mergeCell ref="L452:L461"/>
    <mergeCell ref="M452:M461"/>
    <mergeCell ref="N452:N461"/>
    <mergeCell ref="A432:A436"/>
    <mergeCell ref="J432:J451"/>
    <mergeCell ref="K432:K451"/>
    <mergeCell ref="L432:L451"/>
    <mergeCell ref="M432:M451"/>
    <mergeCell ref="A477:A481"/>
    <mergeCell ref="A482:A486"/>
    <mergeCell ref="A487:A491"/>
    <mergeCell ref="A492:A496"/>
    <mergeCell ref="A497:A501"/>
    <mergeCell ref="J497:J501"/>
    <mergeCell ref="A462:A466"/>
    <mergeCell ref="A467:A471"/>
    <mergeCell ref="A472:A476"/>
    <mergeCell ref="J472:J496"/>
    <mergeCell ref="A502:A506"/>
    <mergeCell ref="J502:J516"/>
    <mergeCell ref="K502:K516"/>
    <mergeCell ref="L502:L516"/>
    <mergeCell ref="M502:M516"/>
    <mergeCell ref="N502:N516"/>
    <mergeCell ref="M517:M546"/>
    <mergeCell ref="N517:N546"/>
    <mergeCell ref="A522:A526"/>
    <mergeCell ref="A527:A531"/>
    <mergeCell ref="A532:A536"/>
    <mergeCell ref="A537:A541"/>
    <mergeCell ref="A542:A546"/>
    <mergeCell ref="A507:A511"/>
    <mergeCell ref="A512:A516"/>
    <mergeCell ref="A517:A521"/>
    <mergeCell ref="J517:J546"/>
    <mergeCell ref="K517:K546"/>
    <mergeCell ref="L517:L546"/>
    <mergeCell ref="A547:A551"/>
    <mergeCell ref="J547:J566"/>
    <mergeCell ref="K547:K566"/>
    <mergeCell ref="L547:L566"/>
    <mergeCell ref="M547:M566"/>
    <mergeCell ref="N547:N566"/>
    <mergeCell ref="A552:A556"/>
    <mergeCell ref="A557:A561"/>
    <mergeCell ref="A562:A566"/>
    <mergeCell ref="A572:A576"/>
    <mergeCell ref="J572:J586"/>
    <mergeCell ref="K572:K586"/>
    <mergeCell ref="L572:L586"/>
    <mergeCell ref="M572:M586"/>
    <mergeCell ref="N572:N586"/>
    <mergeCell ref="A577:A581"/>
    <mergeCell ref="A582:A586"/>
    <mergeCell ref="A567:A571"/>
    <mergeCell ref="J567:J571"/>
    <mergeCell ref="K567:K571"/>
    <mergeCell ref="L567:L571"/>
    <mergeCell ref="M567:M571"/>
    <mergeCell ref="N567:N571"/>
    <mergeCell ref="A587:A591"/>
    <mergeCell ref="J587:J591"/>
    <mergeCell ref="K587:K591"/>
    <mergeCell ref="L587:L591"/>
    <mergeCell ref="M587:M591"/>
    <mergeCell ref="N587:N591"/>
    <mergeCell ref="A602:A606"/>
    <mergeCell ref="J602:J631"/>
    <mergeCell ref="K602:K631"/>
    <mergeCell ref="L602:L631"/>
    <mergeCell ref="M602:M631"/>
    <mergeCell ref="N602:N631"/>
    <mergeCell ref="A607:A611"/>
    <mergeCell ref="A612:A616"/>
    <mergeCell ref="A617:A621"/>
    <mergeCell ref="A622:A626"/>
    <mergeCell ref="A632:A636"/>
    <mergeCell ref="J632:J651"/>
    <mergeCell ref="K632:K651"/>
    <mergeCell ref="L632:L651"/>
    <mergeCell ref="M632:M651"/>
    <mergeCell ref="A592:A596"/>
    <mergeCell ref="J592:J601"/>
    <mergeCell ref="K592:K601"/>
    <mergeCell ref="L592:L601"/>
    <mergeCell ref="M592:M601"/>
    <mergeCell ref="A597:A601"/>
    <mergeCell ref="A627:A631"/>
    <mergeCell ref="A637:A641"/>
    <mergeCell ref="A642:A646"/>
    <mergeCell ref="A647:A651"/>
    <mergeCell ref="A652:A656"/>
    <mergeCell ref="J652:J696"/>
    <mergeCell ref="K652:K696"/>
    <mergeCell ref="L652:L696"/>
    <mergeCell ref="M652:M696"/>
    <mergeCell ref="N652:N696"/>
    <mergeCell ref="A682:A686"/>
    <mergeCell ref="A687:A691"/>
    <mergeCell ref="A692:A696"/>
    <mergeCell ref="A697:A701"/>
    <mergeCell ref="A702:A706"/>
    <mergeCell ref="A707:A711"/>
    <mergeCell ref="A712:A716"/>
    <mergeCell ref="A717:A721"/>
    <mergeCell ref="A722:A726"/>
    <mergeCell ref="A767:A771"/>
    <mergeCell ref="A657:A661"/>
    <mergeCell ref="A662:A666"/>
    <mergeCell ref="A667:A671"/>
    <mergeCell ref="A672:A676"/>
    <mergeCell ref="A677:A681"/>
    <mergeCell ref="A772:A776"/>
    <mergeCell ref="J772:J801"/>
    <mergeCell ref="A727:A731"/>
    <mergeCell ref="J727:J771"/>
    <mergeCell ref="K727:K771"/>
    <mergeCell ref="K772:K801"/>
    <mergeCell ref="L772:L801"/>
    <mergeCell ref="M772:M801"/>
    <mergeCell ref="N772:N801"/>
    <mergeCell ref="A777:A781"/>
    <mergeCell ref="A782:A786"/>
    <mergeCell ref="A787:A791"/>
    <mergeCell ref="A792:A796"/>
    <mergeCell ref="A797:A801"/>
    <mergeCell ref="L727:L771"/>
    <mergeCell ref="M727:M771"/>
    <mergeCell ref="N727:N771"/>
    <mergeCell ref="A732:A736"/>
    <mergeCell ref="A737:A741"/>
    <mergeCell ref="A742:A746"/>
    <mergeCell ref="A747:A751"/>
    <mergeCell ref="A752:A756"/>
    <mergeCell ref="A757:A761"/>
    <mergeCell ref="A762:A766"/>
    <mergeCell ref="A802:A806"/>
    <mergeCell ref="J802:J831"/>
    <mergeCell ref="K802:K831"/>
    <mergeCell ref="L802:L831"/>
    <mergeCell ref="M802:M831"/>
    <mergeCell ref="N802:N831"/>
    <mergeCell ref="A807:A811"/>
    <mergeCell ref="A812:A816"/>
    <mergeCell ref="A817:A821"/>
    <mergeCell ref="A822:A826"/>
    <mergeCell ref="N832:N861"/>
    <mergeCell ref="A837:A841"/>
    <mergeCell ref="A842:A846"/>
    <mergeCell ref="A847:A851"/>
    <mergeCell ref="A852:A856"/>
    <mergeCell ref="A857:A861"/>
    <mergeCell ref="A827:A831"/>
    <mergeCell ref="A832:A836"/>
    <mergeCell ref="J832:J861"/>
    <mergeCell ref="K832:K861"/>
    <mergeCell ref="L832:L861"/>
    <mergeCell ref="M832:M861"/>
    <mergeCell ref="A862:A866"/>
    <mergeCell ref="J862:J886"/>
    <mergeCell ref="K862:K886"/>
    <mergeCell ref="L862:L886"/>
    <mergeCell ref="M862:M886"/>
    <mergeCell ref="N862:N886"/>
    <mergeCell ref="A867:A871"/>
    <mergeCell ref="A872:A876"/>
    <mergeCell ref="A877:A881"/>
    <mergeCell ref="A882:A886"/>
    <mergeCell ref="A887:A891"/>
    <mergeCell ref="J887:J916"/>
    <mergeCell ref="K887:K916"/>
    <mergeCell ref="L887:L916"/>
    <mergeCell ref="M887:M916"/>
    <mergeCell ref="N887:N916"/>
    <mergeCell ref="A892:A896"/>
    <mergeCell ref="A897:A901"/>
    <mergeCell ref="A902:A906"/>
    <mergeCell ref="A907:A911"/>
    <mergeCell ref="A942:A946"/>
    <mergeCell ref="A947:A951"/>
    <mergeCell ref="A952:A956"/>
    <mergeCell ref="A957:A961"/>
    <mergeCell ref="A962:A966"/>
    <mergeCell ref="A967:A971"/>
    <mergeCell ref="A912:A916"/>
    <mergeCell ref="A917:A921"/>
    <mergeCell ref="A922:A926"/>
    <mergeCell ref="A927:A931"/>
    <mergeCell ref="A932:A936"/>
    <mergeCell ref="A937:A941"/>
    <mergeCell ref="A1002:A1006"/>
    <mergeCell ref="A1007:A1011"/>
    <mergeCell ref="A1012:A1016"/>
    <mergeCell ref="A1017:A1021"/>
    <mergeCell ref="A1022:A1026"/>
    <mergeCell ref="A1027:A1031"/>
    <mergeCell ref="A972:A976"/>
    <mergeCell ref="A977:A981"/>
    <mergeCell ref="A982:A986"/>
    <mergeCell ref="A987:A991"/>
    <mergeCell ref="A992:A996"/>
    <mergeCell ref="A997:A1001"/>
    <mergeCell ref="A1062:A1066"/>
    <mergeCell ref="A1067:A1071"/>
    <mergeCell ref="A1072:A1076"/>
    <mergeCell ref="A1077:A1081"/>
    <mergeCell ref="A1082:A1086"/>
    <mergeCell ref="A1087:A1091"/>
    <mergeCell ref="A1032:A1036"/>
    <mergeCell ref="A1037:A1041"/>
    <mergeCell ref="A1042:A1046"/>
    <mergeCell ref="A1047:A1051"/>
    <mergeCell ref="A1052:A1056"/>
    <mergeCell ref="A1057:A1061"/>
    <mergeCell ref="A1122:A1126"/>
    <mergeCell ref="A1127:A1131"/>
    <mergeCell ref="A1132:A1136"/>
    <mergeCell ref="A1137:A1141"/>
    <mergeCell ref="A1142:A1146"/>
    <mergeCell ref="A1147:A1151"/>
    <mergeCell ref="A1092:A1096"/>
    <mergeCell ref="A1097:A1101"/>
    <mergeCell ref="A1102:A1106"/>
    <mergeCell ref="A1107:A1111"/>
    <mergeCell ref="A1112:A1116"/>
    <mergeCell ref="A1117:A1121"/>
    <mergeCell ref="A1182:A1186"/>
    <mergeCell ref="A1187:A1191"/>
    <mergeCell ref="A1192:A1196"/>
    <mergeCell ref="A1197:A1201"/>
    <mergeCell ref="A1202:A1206"/>
    <mergeCell ref="A1207:A1211"/>
    <mergeCell ref="A1152:A1156"/>
    <mergeCell ref="A1157:A1161"/>
    <mergeCell ref="A1162:A1166"/>
    <mergeCell ref="A1167:A1171"/>
    <mergeCell ref="A1172:A1176"/>
    <mergeCell ref="A1177:A1181"/>
    <mergeCell ref="A1367:A1371"/>
    <mergeCell ref="A1372:A1376"/>
    <mergeCell ref="A1377:A1381"/>
    <mergeCell ref="J917:J946"/>
    <mergeCell ref="K917:K946"/>
    <mergeCell ref="J977:J1001"/>
    <mergeCell ref="K977:K1001"/>
    <mergeCell ref="J1022:J1041"/>
    <mergeCell ref="K1022:K1041"/>
    <mergeCell ref="A1332:A1336"/>
    <mergeCell ref="A1337:A1341"/>
    <mergeCell ref="A1342:A1346"/>
    <mergeCell ref="A1347:A1351"/>
    <mergeCell ref="A1352:A1356"/>
    <mergeCell ref="A1357:A1361"/>
    <mergeCell ref="A1302:A1306"/>
    <mergeCell ref="A1307:A1311"/>
    <mergeCell ref="A1312:A1316"/>
    <mergeCell ref="A1317:A1321"/>
    <mergeCell ref="A1322:A1326"/>
    <mergeCell ref="A1327:A1331"/>
    <mergeCell ref="A1272:A1276"/>
    <mergeCell ref="A1277:A1281"/>
    <mergeCell ref="A1282:A1286"/>
    <mergeCell ref="L917:L946"/>
    <mergeCell ref="M917:M946"/>
    <mergeCell ref="N917:N946"/>
    <mergeCell ref="J947:J976"/>
    <mergeCell ref="K947:K976"/>
    <mergeCell ref="L947:L976"/>
    <mergeCell ref="M947:M976"/>
    <mergeCell ref="N947:N976"/>
    <mergeCell ref="A1362:A1366"/>
    <mergeCell ref="A1287:A1291"/>
    <mergeCell ref="A1292:A1296"/>
    <mergeCell ref="A1297:A1301"/>
    <mergeCell ref="A1242:A1246"/>
    <mergeCell ref="A1247:A1251"/>
    <mergeCell ref="A1252:A1256"/>
    <mergeCell ref="A1257:A1261"/>
    <mergeCell ref="A1262:A1266"/>
    <mergeCell ref="A1267:A1271"/>
    <mergeCell ref="A1212:A1216"/>
    <mergeCell ref="A1217:A1221"/>
    <mergeCell ref="A1222:A1226"/>
    <mergeCell ref="A1227:A1231"/>
    <mergeCell ref="A1232:A1236"/>
    <mergeCell ref="A1237:A1241"/>
    <mergeCell ref="L1022:L1041"/>
    <mergeCell ref="M1022:M1041"/>
    <mergeCell ref="N1022:N1041"/>
    <mergeCell ref="J1042:J1071"/>
    <mergeCell ref="K1042:K1071"/>
    <mergeCell ref="L1042:L1071"/>
    <mergeCell ref="M1042:M1071"/>
    <mergeCell ref="N1042:N1071"/>
    <mergeCell ref="L977:L1001"/>
    <mergeCell ref="M977:M1001"/>
    <mergeCell ref="N977:N1001"/>
    <mergeCell ref="J1002:J1021"/>
    <mergeCell ref="K1002:K1021"/>
    <mergeCell ref="L1002:L1021"/>
    <mergeCell ref="M1002:M1021"/>
    <mergeCell ref="N1002:N1021"/>
    <mergeCell ref="J1072:J1096"/>
    <mergeCell ref="K1072:K1096"/>
    <mergeCell ref="L1072:L1096"/>
    <mergeCell ref="M1072:M1096"/>
    <mergeCell ref="N1072:N1096"/>
    <mergeCell ref="J1097:J1131"/>
    <mergeCell ref="K1097:K1131"/>
    <mergeCell ref="L1097:L1131"/>
    <mergeCell ref="M1097:M1131"/>
    <mergeCell ref="N1097:N1131"/>
    <mergeCell ref="J1132:J1171"/>
    <mergeCell ref="K1132:K1171"/>
    <mergeCell ref="L1132:L1171"/>
    <mergeCell ref="M1132:M1171"/>
    <mergeCell ref="N1132:N1171"/>
    <mergeCell ref="J1172:J1211"/>
    <mergeCell ref="K1172:K1211"/>
    <mergeCell ref="L1172:L1211"/>
    <mergeCell ref="M1172:M1211"/>
    <mergeCell ref="N1172:N1211"/>
    <mergeCell ref="L1307:L1346"/>
    <mergeCell ref="M1307:M1346"/>
    <mergeCell ref="N1307:N1346"/>
    <mergeCell ref="J1212:J1251"/>
    <mergeCell ref="K1212:K1251"/>
    <mergeCell ref="L1212:L1251"/>
    <mergeCell ref="M1212:M1251"/>
    <mergeCell ref="N1212:N1251"/>
    <mergeCell ref="J1252:J1286"/>
    <mergeCell ref="K1252:K1286"/>
    <mergeCell ref="L1252:L1286"/>
    <mergeCell ref="M1252:M1286"/>
    <mergeCell ref="N1252:N1286"/>
    <mergeCell ref="K497:K501"/>
    <mergeCell ref="L497:L501"/>
    <mergeCell ref="J1377:J1381"/>
    <mergeCell ref="K1377:K1381"/>
    <mergeCell ref="L1377:L1381"/>
    <mergeCell ref="M1377:M1381"/>
    <mergeCell ref="N1377:N1381"/>
    <mergeCell ref="J1347:J1366"/>
    <mergeCell ref="K1347:K1366"/>
    <mergeCell ref="L1347:L1366"/>
    <mergeCell ref="M1347:M1366"/>
    <mergeCell ref="N1347:N1366"/>
    <mergeCell ref="J1367:J1376"/>
    <mergeCell ref="K1367:K1376"/>
    <mergeCell ref="L1367:L1376"/>
    <mergeCell ref="M1367:M1376"/>
    <mergeCell ref="N1367:N1376"/>
    <mergeCell ref="J1287:J1306"/>
    <mergeCell ref="K1287:K1306"/>
    <mergeCell ref="L1287:L1306"/>
    <mergeCell ref="M1287:M1306"/>
    <mergeCell ref="N1287:N1306"/>
    <mergeCell ref="J1307:J1346"/>
    <mergeCell ref="K1307:K1346"/>
    <mergeCell ref="Q18:Q22"/>
    <mergeCell ref="Q23:Q27"/>
    <mergeCell ref="N462:N471"/>
    <mergeCell ref="J697:J726"/>
    <mergeCell ref="K697:K726"/>
    <mergeCell ref="L697:L726"/>
    <mergeCell ref="M697:M726"/>
    <mergeCell ref="N697:N726"/>
    <mergeCell ref="J232:J246"/>
    <mergeCell ref="K232:K246"/>
    <mergeCell ref="L232:L246"/>
    <mergeCell ref="M232:M246"/>
    <mergeCell ref="N232:N246"/>
    <mergeCell ref="J247:J281"/>
    <mergeCell ref="K247:K281"/>
    <mergeCell ref="L247:L281"/>
    <mergeCell ref="M247:M281"/>
    <mergeCell ref="N247:N281"/>
    <mergeCell ref="N632:N651"/>
    <mergeCell ref="N592:N601"/>
    <mergeCell ref="K472:K496"/>
    <mergeCell ref="L472:L496"/>
    <mergeCell ref="M472:M496"/>
    <mergeCell ref="N472:N496"/>
  </mergeCells>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301"/>
  <sheetViews>
    <sheetView topLeftCell="B91" workbookViewId="0">
      <selection activeCell="O101" sqref="O101"/>
    </sheetView>
  </sheetViews>
  <sheetFormatPr defaultColWidth="9" defaultRowHeight="14.25"/>
  <cols>
    <col min="1" max="1" width="9" style="3093"/>
    <col min="2" max="2" width="11.625" style="3093" customWidth="1"/>
    <col min="3" max="3" width="10.5" style="3093" customWidth="1"/>
    <col min="4" max="6" width="9" style="3093"/>
    <col min="7" max="7" width="12.25" style="3093" customWidth="1"/>
    <col min="8" max="11" width="9" style="3093"/>
    <col min="12" max="12" width="12.375" style="3093" customWidth="1"/>
    <col min="13" max="13" width="11.25" style="3093" customWidth="1"/>
    <col min="14" max="14" width="10.5" style="3093" customWidth="1"/>
    <col min="15" max="18" width="9" style="3093"/>
    <col min="19" max="19" width="9.625" style="3093" customWidth="1"/>
    <col min="20" max="20" width="35.5" style="3093" customWidth="1"/>
    <col min="21" max="16384" width="9" style="3093"/>
  </cols>
  <sheetData>
    <row r="1" spans="1:12">
      <c r="A1" s="3093" t="s">
        <v>3055</v>
      </c>
      <c r="D1" s="3093" t="s">
        <v>3056</v>
      </c>
      <c r="F1" s="3093" t="s">
        <v>3057</v>
      </c>
    </row>
    <row r="2" spans="1:12">
      <c r="D2" s="3093" t="s">
        <v>3058</v>
      </c>
      <c r="E2" s="3093" t="s">
        <v>3059</v>
      </c>
      <c r="F2" s="3093" t="s">
        <v>3060</v>
      </c>
      <c r="G2" s="3093" t="s">
        <v>3061</v>
      </c>
      <c r="H2" s="3093" t="s">
        <v>3062</v>
      </c>
      <c r="I2" s="3093" t="s">
        <v>3063</v>
      </c>
      <c r="J2" s="3093" t="s">
        <v>3064</v>
      </c>
      <c r="K2" s="3093" t="s">
        <v>3065</v>
      </c>
    </row>
    <row r="3" spans="1:12">
      <c r="A3" s="3093" t="s">
        <v>3066</v>
      </c>
      <c r="B3" s="3093" t="s">
        <v>3067</v>
      </c>
      <c r="C3" s="3093">
        <f>SUM(D3:G3)</f>
        <v>816.37</v>
      </c>
      <c r="D3" s="3093">
        <v>282.8</v>
      </c>
      <c r="F3" s="3093">
        <v>484.57</v>
      </c>
      <c r="G3" s="3093">
        <v>49</v>
      </c>
      <c r="H3" s="3093">
        <v>2</v>
      </c>
      <c r="I3" s="3093">
        <v>3</v>
      </c>
      <c r="J3" s="3093">
        <v>1</v>
      </c>
      <c r="K3" s="3093">
        <v>2</v>
      </c>
      <c r="L3" s="3093" t="s">
        <v>5296</v>
      </c>
    </row>
    <row r="4" spans="1:12">
      <c r="A4" s="3093" t="s">
        <v>3068</v>
      </c>
      <c r="B4" s="3093" t="s">
        <v>3067</v>
      </c>
      <c r="C4" s="3093">
        <f t="shared" ref="C4:C67" si="0">SUM(D4:G4)</f>
        <v>816.37</v>
      </c>
      <c r="D4" s="3093">
        <v>282.8</v>
      </c>
      <c r="F4" s="3093">
        <v>484.57</v>
      </c>
      <c r="G4" s="3093">
        <v>49</v>
      </c>
      <c r="H4" s="3093">
        <v>2</v>
      </c>
      <c r="I4" s="3093">
        <v>3</v>
      </c>
      <c r="J4" s="3093">
        <v>1</v>
      </c>
      <c r="K4" s="3093">
        <v>2</v>
      </c>
    </row>
    <row r="5" spans="1:12">
      <c r="A5" s="3093" t="s">
        <v>3069</v>
      </c>
      <c r="B5" s="3093" t="s">
        <v>3067</v>
      </c>
      <c r="C5" s="3093">
        <f t="shared" si="0"/>
        <v>1202.82</v>
      </c>
      <c r="D5" s="3093">
        <v>435.55</v>
      </c>
      <c r="F5" s="3093">
        <v>669.27</v>
      </c>
      <c r="G5" s="3093">
        <v>98</v>
      </c>
      <c r="H5" s="3093">
        <v>2</v>
      </c>
      <c r="I5" s="3093">
        <v>3</v>
      </c>
      <c r="J5" s="3093">
        <v>1</v>
      </c>
      <c r="K5" s="3093">
        <v>4</v>
      </c>
    </row>
    <row r="6" spans="1:12">
      <c r="A6" s="3093" t="s">
        <v>3070</v>
      </c>
      <c r="B6" s="3093" t="s">
        <v>3067</v>
      </c>
      <c r="C6" s="3093">
        <f t="shared" si="0"/>
        <v>1799.5</v>
      </c>
      <c r="D6" s="3093">
        <v>652</v>
      </c>
      <c r="F6" s="3093">
        <v>1000.5</v>
      </c>
      <c r="G6" s="3093">
        <v>147</v>
      </c>
      <c r="H6" s="3093">
        <v>2</v>
      </c>
      <c r="I6" s="3093">
        <v>3</v>
      </c>
      <c r="J6" s="3093">
        <v>1</v>
      </c>
      <c r="K6" s="3093">
        <v>6</v>
      </c>
    </row>
    <row r="7" spans="1:12">
      <c r="A7" s="3093" t="s">
        <v>3071</v>
      </c>
      <c r="B7" s="3093" t="s">
        <v>3067</v>
      </c>
      <c r="C7" s="3093">
        <f t="shared" si="0"/>
        <v>1799.5</v>
      </c>
      <c r="D7" s="3093">
        <v>652</v>
      </c>
      <c r="F7" s="3093">
        <v>1000.5</v>
      </c>
      <c r="G7" s="3093">
        <v>147</v>
      </c>
      <c r="H7" s="3093">
        <v>2</v>
      </c>
      <c r="I7" s="3093">
        <v>3</v>
      </c>
      <c r="J7" s="3093">
        <v>1</v>
      </c>
      <c r="K7" s="3093">
        <v>6</v>
      </c>
    </row>
    <row r="8" spans="1:12">
      <c r="A8" s="3093" t="s">
        <v>3072</v>
      </c>
      <c r="B8" s="3093" t="s">
        <v>3067</v>
      </c>
      <c r="C8" s="3093">
        <f t="shared" si="0"/>
        <v>1202.82</v>
      </c>
      <c r="D8" s="3093">
        <v>435.55</v>
      </c>
      <c r="F8" s="3093">
        <v>669.27</v>
      </c>
      <c r="G8" s="3093">
        <v>98</v>
      </c>
      <c r="H8" s="3093">
        <v>2</v>
      </c>
      <c r="I8" s="3093">
        <v>3</v>
      </c>
      <c r="J8" s="3093">
        <v>1</v>
      </c>
      <c r="K8" s="3093">
        <v>4</v>
      </c>
    </row>
    <row r="9" spans="1:12">
      <c r="A9" s="3093" t="s">
        <v>3073</v>
      </c>
      <c r="B9" s="3093" t="s">
        <v>3067</v>
      </c>
      <c r="C9" s="3093">
        <f t="shared" si="0"/>
        <v>1799.5</v>
      </c>
      <c r="D9" s="3093">
        <v>652</v>
      </c>
      <c r="F9" s="3093">
        <v>1000.5</v>
      </c>
      <c r="G9" s="3093">
        <v>147</v>
      </c>
      <c r="H9" s="3093">
        <v>2</v>
      </c>
      <c r="I9" s="3093">
        <v>3</v>
      </c>
      <c r="J9" s="3093">
        <v>1</v>
      </c>
      <c r="K9" s="3093">
        <v>6</v>
      </c>
    </row>
    <row r="10" spans="1:12">
      <c r="A10" s="3093" t="s">
        <v>3074</v>
      </c>
      <c r="B10" s="3093" t="s">
        <v>3067</v>
      </c>
      <c r="C10" s="3093">
        <f t="shared" si="0"/>
        <v>1202.82</v>
      </c>
      <c r="D10" s="3093">
        <v>435.55</v>
      </c>
      <c r="F10" s="3093">
        <v>669.27</v>
      </c>
      <c r="G10" s="3093">
        <v>98</v>
      </c>
      <c r="H10" s="3093">
        <v>2</v>
      </c>
      <c r="I10" s="3093">
        <v>3</v>
      </c>
      <c r="J10" s="3093">
        <v>1</v>
      </c>
      <c r="K10" s="3093">
        <v>4</v>
      </c>
    </row>
    <row r="11" spans="1:12">
      <c r="A11" s="3093" t="s">
        <v>3075</v>
      </c>
      <c r="B11" s="3093" t="s">
        <v>3067</v>
      </c>
      <c r="C11" s="3093">
        <f t="shared" si="0"/>
        <v>1202.82</v>
      </c>
      <c r="D11" s="3093">
        <v>435.55</v>
      </c>
      <c r="F11" s="3093">
        <v>669.27</v>
      </c>
      <c r="G11" s="3093">
        <v>98</v>
      </c>
      <c r="H11" s="3093">
        <v>2</v>
      </c>
      <c r="I11" s="3093">
        <v>3</v>
      </c>
      <c r="J11" s="3093">
        <v>1</v>
      </c>
      <c r="K11" s="3093">
        <v>4</v>
      </c>
    </row>
    <row r="12" spans="1:12">
      <c r="A12" s="3093" t="s">
        <v>3076</v>
      </c>
      <c r="B12" s="3093" t="s">
        <v>3067</v>
      </c>
      <c r="C12" s="3093">
        <f t="shared" si="0"/>
        <v>1799.5</v>
      </c>
      <c r="D12" s="3093">
        <v>652</v>
      </c>
      <c r="F12" s="3093">
        <v>1000.5</v>
      </c>
      <c r="G12" s="3093">
        <v>147</v>
      </c>
      <c r="H12" s="3093">
        <v>2</v>
      </c>
      <c r="I12" s="3093">
        <v>3</v>
      </c>
      <c r="J12" s="3093">
        <v>1</v>
      </c>
      <c r="K12" s="3093">
        <v>6</v>
      </c>
    </row>
    <row r="13" spans="1:12">
      <c r="A13" s="3093" t="s">
        <v>3077</v>
      </c>
      <c r="B13" s="3093" t="s">
        <v>3067</v>
      </c>
      <c r="C13" s="3093">
        <f t="shared" si="0"/>
        <v>1799.5</v>
      </c>
      <c r="D13" s="3093">
        <v>652</v>
      </c>
      <c r="F13" s="3093">
        <v>1000.5</v>
      </c>
      <c r="G13" s="3093">
        <v>147</v>
      </c>
      <c r="H13" s="3093">
        <v>2</v>
      </c>
      <c r="I13" s="3093">
        <v>3</v>
      </c>
      <c r="J13" s="3093">
        <v>1</v>
      </c>
      <c r="K13" s="3093">
        <v>6</v>
      </c>
    </row>
    <row r="14" spans="1:12">
      <c r="A14" s="3093" t="s">
        <v>3078</v>
      </c>
      <c r="B14" s="3093" t="s">
        <v>3067</v>
      </c>
      <c r="C14" s="3093">
        <f t="shared" si="0"/>
        <v>1202.82</v>
      </c>
      <c r="D14" s="3093">
        <v>435.55</v>
      </c>
      <c r="F14" s="3093">
        <v>669.27</v>
      </c>
      <c r="G14" s="3093">
        <v>98</v>
      </c>
      <c r="H14" s="3093">
        <v>2</v>
      </c>
      <c r="I14" s="3093">
        <v>3</v>
      </c>
      <c r="J14" s="3093">
        <v>1</v>
      </c>
      <c r="K14" s="3093">
        <v>4</v>
      </c>
    </row>
    <row r="15" spans="1:12">
      <c r="A15" s="3093" t="s">
        <v>3079</v>
      </c>
      <c r="B15" s="3093" t="s">
        <v>3067</v>
      </c>
      <c r="C15" s="3093">
        <f t="shared" si="0"/>
        <v>1799.5</v>
      </c>
      <c r="D15" s="3093">
        <v>652</v>
      </c>
      <c r="F15" s="3093">
        <v>1000.5</v>
      </c>
      <c r="G15" s="3093">
        <v>147</v>
      </c>
      <c r="H15" s="3093">
        <v>2</v>
      </c>
      <c r="I15" s="3093">
        <v>3</v>
      </c>
      <c r="J15" s="3093">
        <v>1</v>
      </c>
      <c r="K15" s="3093">
        <v>6</v>
      </c>
    </row>
    <row r="16" spans="1:12">
      <c r="A16" s="3093" t="s">
        <v>3080</v>
      </c>
      <c r="B16" s="3093" t="s">
        <v>3067</v>
      </c>
      <c r="C16" s="3093">
        <f t="shared" si="0"/>
        <v>1202.82</v>
      </c>
      <c r="D16" s="3093">
        <v>435.55</v>
      </c>
      <c r="F16" s="3093">
        <v>669.27</v>
      </c>
      <c r="G16" s="3093">
        <v>98</v>
      </c>
      <c r="H16" s="3093">
        <v>2</v>
      </c>
      <c r="I16" s="3093">
        <v>3</v>
      </c>
      <c r="J16" s="3093">
        <v>1</v>
      </c>
      <c r="K16" s="3093">
        <v>4</v>
      </c>
    </row>
    <row r="17" spans="1:11">
      <c r="A17" s="3093" t="s">
        <v>3081</v>
      </c>
      <c r="B17" s="3093" t="s">
        <v>3067</v>
      </c>
      <c r="C17" s="3093">
        <f t="shared" si="0"/>
        <v>619.78</v>
      </c>
      <c r="D17" s="3093">
        <v>225.49</v>
      </c>
      <c r="F17" s="3093">
        <v>345.29</v>
      </c>
      <c r="G17" s="3093">
        <v>49</v>
      </c>
      <c r="H17" s="3093">
        <v>2</v>
      </c>
      <c r="I17" s="3093">
        <v>3</v>
      </c>
      <c r="J17" s="3093">
        <v>1</v>
      </c>
      <c r="K17" s="3093">
        <v>2</v>
      </c>
    </row>
    <row r="18" spans="1:11">
      <c r="A18" s="3093" t="s">
        <v>3082</v>
      </c>
      <c r="B18" s="3093" t="s">
        <v>3067</v>
      </c>
      <c r="C18" s="3093">
        <f t="shared" si="0"/>
        <v>927.51</v>
      </c>
      <c r="D18" s="3093">
        <v>337.54</v>
      </c>
      <c r="F18" s="3093">
        <v>516.47</v>
      </c>
      <c r="G18" s="3093">
        <v>73.5</v>
      </c>
      <c r="H18" s="3093">
        <v>2</v>
      </c>
      <c r="I18" s="3093">
        <v>3</v>
      </c>
      <c r="J18" s="3093">
        <v>1</v>
      </c>
      <c r="K18" s="3093">
        <v>3</v>
      </c>
    </row>
    <row r="19" spans="1:11">
      <c r="A19" s="3093" t="s">
        <v>3083</v>
      </c>
      <c r="B19" s="3093" t="s">
        <v>3067</v>
      </c>
      <c r="C19" s="3093">
        <f t="shared" si="0"/>
        <v>1799.5</v>
      </c>
      <c r="D19" s="3093">
        <v>652</v>
      </c>
      <c r="F19" s="3093">
        <v>1000.5</v>
      </c>
      <c r="G19" s="3093">
        <v>147</v>
      </c>
      <c r="H19" s="3093">
        <v>2</v>
      </c>
      <c r="I19" s="3093">
        <v>3</v>
      </c>
      <c r="J19" s="3093">
        <v>1</v>
      </c>
      <c r="K19" s="3093">
        <v>6</v>
      </c>
    </row>
    <row r="20" spans="1:11">
      <c r="A20" s="3093" t="s">
        <v>3084</v>
      </c>
      <c r="B20" s="3093" t="s">
        <v>3067</v>
      </c>
      <c r="C20" s="3093">
        <f t="shared" si="0"/>
        <v>1202.82</v>
      </c>
      <c r="D20" s="3093">
        <v>435.55</v>
      </c>
      <c r="F20" s="3093">
        <v>669.27</v>
      </c>
      <c r="G20" s="3093">
        <v>98</v>
      </c>
      <c r="H20" s="3093">
        <v>2</v>
      </c>
      <c r="I20" s="3093">
        <v>3</v>
      </c>
      <c r="J20" s="3093">
        <v>1</v>
      </c>
      <c r="K20" s="3093">
        <v>4</v>
      </c>
    </row>
    <row r="21" spans="1:11">
      <c r="A21" s="3093" t="s">
        <v>3085</v>
      </c>
      <c r="B21" s="3093" t="s">
        <v>3067</v>
      </c>
      <c r="C21" s="3093">
        <f t="shared" si="0"/>
        <v>1799.5</v>
      </c>
      <c r="D21" s="3093">
        <v>652</v>
      </c>
      <c r="F21" s="3093">
        <v>1000.5</v>
      </c>
      <c r="G21" s="3093">
        <v>147</v>
      </c>
      <c r="H21" s="3093">
        <v>2</v>
      </c>
      <c r="I21" s="3093">
        <v>3</v>
      </c>
      <c r="J21" s="3093">
        <v>1</v>
      </c>
      <c r="K21" s="3093">
        <v>6</v>
      </c>
    </row>
    <row r="22" spans="1:11">
      <c r="A22" s="3093" t="s">
        <v>3086</v>
      </c>
      <c r="B22" s="3093" t="s">
        <v>3067</v>
      </c>
      <c r="C22" s="3093">
        <f t="shared" si="0"/>
        <v>1202.82</v>
      </c>
      <c r="D22" s="3093">
        <v>435.55</v>
      </c>
      <c r="F22" s="3093">
        <v>669.27</v>
      </c>
      <c r="G22" s="3093">
        <v>98</v>
      </c>
      <c r="H22" s="3093">
        <v>2</v>
      </c>
      <c r="I22" s="3093">
        <v>3</v>
      </c>
      <c r="J22" s="3093">
        <v>1</v>
      </c>
      <c r="K22" s="3093">
        <v>4</v>
      </c>
    </row>
    <row r="23" spans="1:11">
      <c r="A23" s="3093" t="s">
        <v>3087</v>
      </c>
      <c r="B23" s="3093" t="s">
        <v>3067</v>
      </c>
      <c r="C23" s="3093">
        <f t="shared" si="0"/>
        <v>1202.82</v>
      </c>
      <c r="D23" s="3093">
        <v>435.55</v>
      </c>
      <c r="F23" s="3093">
        <v>669.27</v>
      </c>
      <c r="G23" s="3093">
        <v>98</v>
      </c>
      <c r="H23" s="3093">
        <v>2</v>
      </c>
      <c r="I23" s="3093">
        <v>3</v>
      </c>
      <c r="J23" s="3093">
        <v>1</v>
      </c>
      <c r="K23" s="3093">
        <v>4</v>
      </c>
    </row>
    <row r="24" spans="1:11">
      <c r="A24" s="3093" t="s">
        <v>3088</v>
      </c>
      <c r="B24" s="3093" t="s">
        <v>3067</v>
      </c>
      <c r="C24" s="3093">
        <f t="shared" si="0"/>
        <v>1799.5</v>
      </c>
      <c r="D24" s="3093">
        <v>652</v>
      </c>
      <c r="F24" s="3093">
        <v>1000.5</v>
      </c>
      <c r="G24" s="3093">
        <v>147</v>
      </c>
      <c r="H24" s="3093">
        <v>2</v>
      </c>
      <c r="I24" s="3093">
        <v>3</v>
      </c>
      <c r="J24" s="3093">
        <v>1</v>
      </c>
      <c r="K24" s="3093">
        <v>6</v>
      </c>
    </row>
    <row r="25" spans="1:11">
      <c r="A25" s="3093" t="s">
        <v>3089</v>
      </c>
      <c r="B25" s="3093" t="s">
        <v>3067</v>
      </c>
      <c r="C25" s="3093">
        <f t="shared" si="0"/>
        <v>1799.5</v>
      </c>
      <c r="D25" s="3093">
        <v>652</v>
      </c>
      <c r="F25" s="3093">
        <v>1000.5</v>
      </c>
      <c r="G25" s="3093">
        <v>147</v>
      </c>
      <c r="H25" s="3093">
        <v>2</v>
      </c>
      <c r="I25" s="3093">
        <v>3</v>
      </c>
      <c r="J25" s="3093">
        <v>1</v>
      </c>
      <c r="K25" s="3093">
        <v>6</v>
      </c>
    </row>
    <row r="26" spans="1:11">
      <c r="A26" s="3093" t="s">
        <v>3090</v>
      </c>
      <c r="B26" s="3093" t="s">
        <v>3067</v>
      </c>
      <c r="C26" s="3093">
        <f t="shared" si="0"/>
        <v>1202.82</v>
      </c>
      <c r="D26" s="3093">
        <v>435.55</v>
      </c>
      <c r="F26" s="3093">
        <v>669.27</v>
      </c>
      <c r="G26" s="3093">
        <v>98</v>
      </c>
      <c r="H26" s="3093">
        <v>2</v>
      </c>
      <c r="I26" s="3093">
        <v>3</v>
      </c>
      <c r="J26" s="3093">
        <v>1</v>
      </c>
      <c r="K26" s="3093">
        <v>4</v>
      </c>
    </row>
    <row r="27" spans="1:11">
      <c r="A27" s="3093" t="s">
        <v>3091</v>
      </c>
      <c r="B27" s="3093" t="s">
        <v>3067</v>
      </c>
      <c r="C27" s="3093">
        <f t="shared" si="0"/>
        <v>816.37</v>
      </c>
      <c r="D27" s="3093">
        <v>282.8</v>
      </c>
      <c r="F27" s="3093">
        <v>484.57</v>
      </c>
      <c r="G27" s="3093">
        <v>49</v>
      </c>
      <c r="H27" s="3093">
        <v>2</v>
      </c>
      <c r="I27" s="3093">
        <v>3</v>
      </c>
      <c r="J27" s="3093">
        <v>1</v>
      </c>
      <c r="K27" s="3093">
        <v>2</v>
      </c>
    </row>
    <row r="28" spans="1:11">
      <c r="A28" s="3093" t="s">
        <v>3092</v>
      </c>
      <c r="B28" s="3093" t="s">
        <v>3067</v>
      </c>
      <c r="C28" s="3093">
        <f t="shared" si="0"/>
        <v>1626.24</v>
      </c>
      <c r="D28" s="3093">
        <v>564.07000000000005</v>
      </c>
      <c r="F28" s="3093">
        <v>964.17</v>
      </c>
      <c r="G28" s="3093">
        <v>98</v>
      </c>
      <c r="H28" s="3093">
        <v>2</v>
      </c>
      <c r="I28" s="3093">
        <v>3</v>
      </c>
      <c r="J28" s="3093">
        <v>1</v>
      </c>
      <c r="K28" s="3093">
        <v>4</v>
      </c>
    </row>
    <row r="29" spans="1:11">
      <c r="A29" s="3093" t="s">
        <v>3093</v>
      </c>
      <c r="B29" s="3093" t="s">
        <v>3067</v>
      </c>
      <c r="C29" s="3093">
        <f t="shared" si="0"/>
        <v>1799.5</v>
      </c>
      <c r="D29" s="3093">
        <v>652</v>
      </c>
      <c r="F29" s="3093">
        <v>1000.5</v>
      </c>
      <c r="G29" s="3093">
        <v>147</v>
      </c>
      <c r="H29" s="3093">
        <v>2</v>
      </c>
      <c r="I29" s="3093">
        <v>3</v>
      </c>
      <c r="J29" s="3093">
        <v>1</v>
      </c>
      <c r="K29" s="3093">
        <v>6</v>
      </c>
    </row>
    <row r="30" spans="1:11">
      <c r="A30" s="3093" t="s">
        <v>3094</v>
      </c>
      <c r="B30" s="3093" t="s">
        <v>3067</v>
      </c>
      <c r="C30" s="3093">
        <f t="shared" si="0"/>
        <v>1799.5</v>
      </c>
      <c r="D30" s="3093">
        <v>652</v>
      </c>
      <c r="F30" s="3093">
        <v>1000.5</v>
      </c>
      <c r="G30" s="3093">
        <v>147</v>
      </c>
      <c r="H30" s="3093">
        <v>2</v>
      </c>
      <c r="I30" s="3093">
        <v>3</v>
      </c>
      <c r="J30" s="3093">
        <v>1</v>
      </c>
      <c r="K30" s="3093">
        <v>6</v>
      </c>
    </row>
    <row r="31" spans="1:11">
      <c r="A31" s="3093" t="s">
        <v>3095</v>
      </c>
      <c r="B31" s="3093" t="s">
        <v>3067</v>
      </c>
      <c r="C31" s="3093">
        <f t="shared" si="0"/>
        <v>922.90000000000009</v>
      </c>
      <c r="D31" s="3093">
        <v>337.54</v>
      </c>
      <c r="F31" s="3093">
        <v>511.86</v>
      </c>
      <c r="G31" s="3093">
        <v>73.5</v>
      </c>
      <c r="H31" s="3093">
        <v>2</v>
      </c>
      <c r="I31" s="3093">
        <v>3</v>
      </c>
      <c r="J31" s="3093">
        <v>1</v>
      </c>
      <c r="K31" s="3093">
        <v>3</v>
      </c>
    </row>
    <row r="32" spans="1:11">
      <c r="A32" s="3093" t="s">
        <v>3096</v>
      </c>
      <c r="B32" s="3093" t="s">
        <v>3067</v>
      </c>
      <c r="C32" s="3093">
        <f t="shared" si="0"/>
        <v>922.90000000000009</v>
      </c>
      <c r="D32" s="3093">
        <v>337.54</v>
      </c>
      <c r="F32" s="3093">
        <v>511.86</v>
      </c>
      <c r="G32" s="3093">
        <v>73.5</v>
      </c>
      <c r="H32" s="3093">
        <v>2</v>
      </c>
      <c r="I32" s="3093">
        <v>3</v>
      </c>
      <c r="J32" s="3093">
        <v>1</v>
      </c>
      <c r="K32" s="3093">
        <v>3</v>
      </c>
    </row>
    <row r="33" spans="1:11">
      <c r="A33" s="3093" t="s">
        <v>3097</v>
      </c>
      <c r="B33" s="3093" t="s">
        <v>3067</v>
      </c>
      <c r="C33" s="3093">
        <f t="shared" si="0"/>
        <v>1799.5</v>
      </c>
      <c r="D33" s="3093">
        <v>652</v>
      </c>
      <c r="F33" s="3093">
        <v>1000.5</v>
      </c>
      <c r="G33" s="3093">
        <v>147</v>
      </c>
      <c r="H33" s="3093">
        <v>2</v>
      </c>
      <c r="I33" s="3093">
        <v>3</v>
      </c>
      <c r="J33" s="3093">
        <v>1</v>
      </c>
      <c r="K33" s="3093">
        <v>6</v>
      </c>
    </row>
    <row r="34" spans="1:11">
      <c r="A34" s="3093" t="s">
        <v>3098</v>
      </c>
      <c r="B34" s="3093" t="s">
        <v>3067</v>
      </c>
      <c r="C34" s="3093">
        <f t="shared" si="0"/>
        <v>1799.5</v>
      </c>
      <c r="D34" s="3093">
        <v>652</v>
      </c>
      <c r="F34" s="3093">
        <v>1000.5</v>
      </c>
      <c r="G34" s="3093">
        <v>147</v>
      </c>
      <c r="H34" s="3093">
        <v>2</v>
      </c>
      <c r="I34" s="3093">
        <v>3</v>
      </c>
      <c r="J34" s="3093">
        <v>1</v>
      </c>
      <c r="K34" s="3093">
        <v>6</v>
      </c>
    </row>
    <row r="35" spans="1:11">
      <c r="A35" s="3093" t="s">
        <v>3099</v>
      </c>
      <c r="B35" s="3093" t="s">
        <v>3067</v>
      </c>
      <c r="C35" s="3093">
        <f t="shared" si="0"/>
        <v>1799.5</v>
      </c>
      <c r="D35" s="3093">
        <v>652</v>
      </c>
      <c r="F35" s="3093">
        <v>1000.5</v>
      </c>
      <c r="G35" s="3093">
        <v>147</v>
      </c>
      <c r="H35" s="3093">
        <v>2</v>
      </c>
      <c r="I35" s="3093">
        <v>3</v>
      </c>
      <c r="J35" s="3093">
        <v>1</v>
      </c>
      <c r="K35" s="3093">
        <v>6</v>
      </c>
    </row>
    <row r="36" spans="1:11">
      <c r="A36" s="3093" t="s">
        <v>3100</v>
      </c>
      <c r="B36" s="3093" t="s">
        <v>3067</v>
      </c>
      <c r="C36" s="3093">
        <f t="shared" si="0"/>
        <v>1511.08</v>
      </c>
      <c r="D36" s="3093">
        <v>547.6</v>
      </c>
      <c r="F36" s="3093">
        <v>840.98</v>
      </c>
      <c r="G36" s="3093">
        <v>122.5</v>
      </c>
      <c r="H36" s="3093">
        <v>2</v>
      </c>
      <c r="I36" s="3093">
        <v>3</v>
      </c>
      <c r="J36" s="3093">
        <v>1</v>
      </c>
      <c r="K36" s="3093">
        <v>5</v>
      </c>
    </row>
    <row r="37" spans="1:11">
      <c r="A37" s="3093" t="s">
        <v>3101</v>
      </c>
      <c r="B37" s="3093" t="s">
        <v>3067</v>
      </c>
      <c r="C37" s="3093">
        <f t="shared" si="0"/>
        <v>1509.47</v>
      </c>
      <c r="D37" s="3093">
        <v>547.6</v>
      </c>
      <c r="F37" s="3093">
        <v>839.37</v>
      </c>
      <c r="G37" s="3093">
        <v>122.5</v>
      </c>
      <c r="H37" s="3093">
        <v>2</v>
      </c>
      <c r="I37" s="3093">
        <v>3</v>
      </c>
      <c r="J37" s="3093">
        <v>1</v>
      </c>
      <c r="K37" s="3093">
        <v>5</v>
      </c>
    </row>
    <row r="38" spans="1:11">
      <c r="A38" s="3093" t="s">
        <v>3102</v>
      </c>
      <c r="B38" s="3093" t="s">
        <v>3067</v>
      </c>
      <c r="C38" s="3093">
        <f t="shared" si="0"/>
        <v>1799.5</v>
      </c>
      <c r="D38" s="3093">
        <v>652</v>
      </c>
      <c r="F38" s="3093">
        <v>1000.5</v>
      </c>
      <c r="G38" s="3093">
        <v>147</v>
      </c>
      <c r="H38" s="3093">
        <v>2</v>
      </c>
      <c r="I38" s="3093">
        <v>3</v>
      </c>
      <c r="J38" s="3093">
        <v>1</v>
      </c>
      <c r="K38" s="3093">
        <v>6</v>
      </c>
    </row>
    <row r="39" spans="1:11">
      <c r="A39" s="3093" t="s">
        <v>3103</v>
      </c>
      <c r="B39" s="3093" t="s">
        <v>3067</v>
      </c>
      <c r="C39" s="3093">
        <f t="shared" si="0"/>
        <v>1799.5</v>
      </c>
      <c r="D39" s="3093">
        <v>652</v>
      </c>
      <c r="F39" s="3093">
        <v>1000.5</v>
      </c>
      <c r="G39" s="3093">
        <v>147</v>
      </c>
      <c r="H39" s="3093">
        <v>2</v>
      </c>
      <c r="I39" s="3093">
        <v>3</v>
      </c>
      <c r="J39" s="3093">
        <v>1</v>
      </c>
      <c r="K39" s="3093">
        <v>6</v>
      </c>
    </row>
    <row r="40" spans="1:11">
      <c r="A40" s="3093" t="s">
        <v>3104</v>
      </c>
      <c r="B40" s="3093" t="s">
        <v>3067</v>
      </c>
      <c r="C40" s="3093">
        <f t="shared" si="0"/>
        <v>1799.5</v>
      </c>
      <c r="D40" s="3093">
        <v>652</v>
      </c>
      <c r="F40" s="3093">
        <v>1000.5</v>
      </c>
      <c r="G40" s="3093">
        <v>147</v>
      </c>
      <c r="H40" s="3093">
        <v>2</v>
      </c>
      <c r="I40" s="3093">
        <v>3</v>
      </c>
      <c r="J40" s="3093">
        <v>1</v>
      </c>
      <c r="K40" s="3093">
        <v>6</v>
      </c>
    </row>
    <row r="41" spans="1:11">
      <c r="A41" s="3093" t="s">
        <v>3105</v>
      </c>
      <c r="B41" s="3093" t="s">
        <v>3067</v>
      </c>
      <c r="C41" s="3093">
        <f t="shared" si="0"/>
        <v>1510.45</v>
      </c>
      <c r="D41" s="3093">
        <v>547.6</v>
      </c>
      <c r="F41" s="3093">
        <v>840.35</v>
      </c>
      <c r="G41" s="3093">
        <v>122.5</v>
      </c>
      <c r="H41" s="3093">
        <v>2</v>
      </c>
      <c r="I41" s="3093">
        <v>3</v>
      </c>
      <c r="J41" s="3093">
        <v>1</v>
      </c>
      <c r="K41" s="3093">
        <v>5</v>
      </c>
    </row>
    <row r="42" spans="1:11">
      <c r="A42" s="3093" t="s">
        <v>3106</v>
      </c>
      <c r="B42" s="3093" t="s">
        <v>3067</v>
      </c>
      <c r="C42" s="3093">
        <f t="shared" si="0"/>
        <v>1799.5</v>
      </c>
      <c r="D42" s="3093">
        <v>652</v>
      </c>
      <c r="F42" s="3093">
        <v>1000.5</v>
      </c>
      <c r="G42" s="3093">
        <v>147</v>
      </c>
      <c r="H42" s="3093">
        <v>2</v>
      </c>
      <c r="I42" s="3093">
        <v>3</v>
      </c>
      <c r="J42" s="3093">
        <v>1</v>
      </c>
      <c r="K42" s="3093">
        <v>6</v>
      </c>
    </row>
    <row r="43" spans="1:11">
      <c r="A43" s="3093" t="s">
        <v>3107</v>
      </c>
      <c r="B43" s="3093" t="s">
        <v>3067</v>
      </c>
      <c r="C43" s="3093">
        <f t="shared" si="0"/>
        <v>1799.5</v>
      </c>
      <c r="D43" s="3093">
        <v>652</v>
      </c>
      <c r="F43" s="3093">
        <v>1000.5</v>
      </c>
      <c r="G43" s="3093">
        <v>147</v>
      </c>
      <c r="H43" s="3093">
        <v>2</v>
      </c>
      <c r="I43" s="3093">
        <v>3</v>
      </c>
      <c r="J43" s="3093">
        <v>1</v>
      </c>
      <c r="K43" s="3093">
        <v>6</v>
      </c>
    </row>
    <row r="44" spans="1:11">
      <c r="A44" s="3093" t="s">
        <v>3108</v>
      </c>
      <c r="B44" s="3093" t="s">
        <v>3067</v>
      </c>
      <c r="C44" s="3093">
        <f t="shared" si="0"/>
        <v>1799.5</v>
      </c>
      <c r="D44" s="3093">
        <v>652</v>
      </c>
      <c r="F44" s="3093">
        <v>1000.5</v>
      </c>
      <c r="G44" s="3093">
        <v>147</v>
      </c>
      <c r="H44" s="3093">
        <v>2</v>
      </c>
      <c r="I44" s="3093">
        <v>3</v>
      </c>
      <c r="J44" s="3093">
        <v>1</v>
      </c>
      <c r="K44" s="3093">
        <v>6</v>
      </c>
    </row>
    <row r="45" spans="1:11">
      <c r="A45" s="3093" t="s">
        <v>3109</v>
      </c>
      <c r="B45" s="3093" t="s">
        <v>3067</v>
      </c>
      <c r="C45" s="3093">
        <f t="shared" si="0"/>
        <v>1799.5</v>
      </c>
      <c r="D45" s="3093">
        <v>652</v>
      </c>
      <c r="F45" s="3093">
        <v>1000.5</v>
      </c>
      <c r="G45" s="3093">
        <v>147</v>
      </c>
      <c r="H45" s="3093">
        <v>2</v>
      </c>
      <c r="I45" s="3093">
        <v>3</v>
      </c>
      <c r="J45" s="3093">
        <v>1</v>
      </c>
      <c r="K45" s="3093">
        <v>6</v>
      </c>
    </row>
    <row r="46" spans="1:11">
      <c r="A46" s="3093" t="s">
        <v>3110</v>
      </c>
      <c r="B46" s="3093" t="s">
        <v>3067</v>
      </c>
      <c r="C46" s="3093">
        <f t="shared" si="0"/>
        <v>1799.5</v>
      </c>
      <c r="D46" s="3093">
        <v>652</v>
      </c>
      <c r="F46" s="3093">
        <v>1000.5</v>
      </c>
      <c r="G46" s="3093">
        <v>147</v>
      </c>
      <c r="H46" s="3093">
        <v>2</v>
      </c>
      <c r="I46" s="3093">
        <v>3</v>
      </c>
      <c r="J46" s="3093">
        <v>1</v>
      </c>
      <c r="K46" s="3093">
        <v>6</v>
      </c>
    </row>
    <row r="47" spans="1:11">
      <c r="A47" s="3093" t="s">
        <v>3111</v>
      </c>
      <c r="B47" s="3093" t="s">
        <v>3067</v>
      </c>
      <c r="C47" s="3093">
        <f t="shared" si="0"/>
        <v>1202.82</v>
      </c>
      <c r="D47" s="3093">
        <v>435.55</v>
      </c>
      <c r="F47" s="3093">
        <v>669.27</v>
      </c>
      <c r="G47" s="3093">
        <v>98</v>
      </c>
      <c r="H47" s="3093">
        <v>2</v>
      </c>
      <c r="I47" s="3093">
        <v>3</v>
      </c>
      <c r="J47" s="3093">
        <v>1</v>
      </c>
      <c r="K47" s="3093">
        <v>4</v>
      </c>
    </row>
    <row r="48" spans="1:11">
      <c r="A48" s="3093" t="s">
        <v>3112</v>
      </c>
      <c r="B48" s="3093" t="s">
        <v>3067</v>
      </c>
      <c r="C48" s="3093">
        <f t="shared" si="0"/>
        <v>1229.8400000000001</v>
      </c>
      <c r="D48" s="3093">
        <v>449.6</v>
      </c>
      <c r="F48" s="3093">
        <v>682.24</v>
      </c>
      <c r="G48" s="3093">
        <v>98</v>
      </c>
      <c r="H48" s="3093">
        <v>2</v>
      </c>
      <c r="I48" s="3093">
        <v>3</v>
      </c>
      <c r="J48" s="3093">
        <v>1</v>
      </c>
      <c r="K48" s="3093">
        <v>4</v>
      </c>
    </row>
    <row r="49" spans="1:11">
      <c r="A49" s="3093" t="s">
        <v>3113</v>
      </c>
      <c r="B49" s="3093" t="s">
        <v>3067</v>
      </c>
      <c r="C49" s="3093">
        <f t="shared" si="0"/>
        <v>1799.5</v>
      </c>
      <c r="D49" s="3093">
        <v>652</v>
      </c>
      <c r="F49" s="3093">
        <v>1000.5</v>
      </c>
      <c r="G49" s="3093">
        <v>147</v>
      </c>
      <c r="H49" s="3093">
        <v>2</v>
      </c>
      <c r="I49" s="3093">
        <v>3</v>
      </c>
      <c r="J49" s="3093">
        <v>1</v>
      </c>
      <c r="K49" s="3093">
        <v>6</v>
      </c>
    </row>
    <row r="50" spans="1:11">
      <c r="A50" s="3093" t="s">
        <v>3114</v>
      </c>
      <c r="B50" s="3093" t="s">
        <v>3067</v>
      </c>
      <c r="C50" s="3093">
        <f t="shared" si="0"/>
        <v>1229.8400000000001</v>
      </c>
      <c r="D50" s="3093">
        <v>449.6</v>
      </c>
      <c r="F50" s="3093">
        <v>682.24</v>
      </c>
      <c r="G50" s="3093">
        <v>98</v>
      </c>
      <c r="H50" s="3093">
        <v>2</v>
      </c>
      <c r="I50" s="3093">
        <v>3</v>
      </c>
      <c r="J50" s="3093">
        <v>1</v>
      </c>
      <c r="K50" s="3093">
        <v>4</v>
      </c>
    </row>
    <row r="51" spans="1:11">
      <c r="A51" s="3093" t="s">
        <v>3115</v>
      </c>
      <c r="B51" s="3093" t="s">
        <v>3067</v>
      </c>
      <c r="C51" s="3093">
        <f t="shared" si="0"/>
        <v>2397.12</v>
      </c>
      <c r="D51" s="3093">
        <v>868.45</v>
      </c>
      <c r="F51" s="3093">
        <v>1332.67</v>
      </c>
      <c r="G51" s="3093">
        <v>196</v>
      </c>
      <c r="H51" s="3093">
        <v>2</v>
      </c>
      <c r="I51" s="3093">
        <v>3</v>
      </c>
      <c r="J51" s="3093">
        <v>1</v>
      </c>
      <c r="K51" s="3093">
        <v>8</v>
      </c>
    </row>
    <row r="52" spans="1:11">
      <c r="A52" s="3093" t="s">
        <v>3116</v>
      </c>
      <c r="B52" s="3093" t="s">
        <v>3067</v>
      </c>
      <c r="C52" s="3093">
        <f t="shared" si="0"/>
        <v>1799.5</v>
      </c>
      <c r="D52" s="3093">
        <v>652</v>
      </c>
      <c r="F52" s="3093">
        <v>1000.5</v>
      </c>
      <c r="G52" s="3093">
        <v>147</v>
      </c>
      <c r="H52" s="3093">
        <v>2</v>
      </c>
      <c r="I52" s="3093">
        <v>3</v>
      </c>
      <c r="J52" s="3093">
        <v>1</v>
      </c>
      <c r="K52" s="3093">
        <v>6</v>
      </c>
    </row>
    <row r="53" spans="1:11">
      <c r="A53" s="3093" t="s">
        <v>3117</v>
      </c>
      <c r="B53" s="3093" t="s">
        <v>3067</v>
      </c>
      <c r="C53" s="3093">
        <f t="shared" si="0"/>
        <v>1799.5</v>
      </c>
      <c r="D53" s="3093">
        <v>652</v>
      </c>
      <c r="F53" s="3093">
        <v>1000.5</v>
      </c>
      <c r="G53" s="3093">
        <v>147</v>
      </c>
      <c r="H53" s="3093">
        <v>2</v>
      </c>
      <c r="I53" s="3093">
        <v>3</v>
      </c>
      <c r="J53" s="3093">
        <v>1</v>
      </c>
      <c r="K53" s="3093">
        <v>6</v>
      </c>
    </row>
    <row r="54" spans="1:11">
      <c r="A54" s="3093" t="s">
        <v>3118</v>
      </c>
      <c r="B54" s="3093" t="s">
        <v>3067</v>
      </c>
      <c r="C54" s="3093">
        <f t="shared" si="0"/>
        <v>2397.12</v>
      </c>
      <c r="D54" s="3093">
        <v>868.45</v>
      </c>
      <c r="F54" s="3093">
        <v>1332.67</v>
      </c>
      <c r="G54" s="3093">
        <v>196</v>
      </c>
      <c r="H54" s="3093">
        <v>2</v>
      </c>
      <c r="I54" s="3093">
        <v>3</v>
      </c>
      <c r="J54" s="3093">
        <v>1</v>
      </c>
      <c r="K54" s="3093">
        <v>8</v>
      </c>
    </row>
    <row r="55" spans="1:11">
      <c r="A55" s="3093" t="s">
        <v>3119</v>
      </c>
      <c r="B55" s="3093" t="s">
        <v>3067</v>
      </c>
      <c r="C55" s="3093">
        <f t="shared" si="0"/>
        <v>2397.12</v>
      </c>
      <c r="D55" s="3093">
        <v>868.45</v>
      </c>
      <c r="F55" s="3093">
        <v>1332.67</v>
      </c>
      <c r="G55" s="3093">
        <v>196</v>
      </c>
      <c r="H55" s="3093">
        <v>2</v>
      </c>
      <c r="I55" s="3093">
        <v>3</v>
      </c>
      <c r="J55" s="3093">
        <v>1</v>
      </c>
      <c r="K55" s="3093">
        <v>8</v>
      </c>
    </row>
    <row r="56" spans="1:11">
      <c r="A56" s="3093" t="s">
        <v>3120</v>
      </c>
      <c r="B56" s="3093" t="s">
        <v>3067</v>
      </c>
      <c r="C56" s="3093">
        <f t="shared" si="0"/>
        <v>1163.2</v>
      </c>
      <c r="D56" s="3093">
        <v>351.38</v>
      </c>
      <c r="F56" s="3093">
        <v>762.82</v>
      </c>
      <c r="G56" s="3093">
        <v>49</v>
      </c>
      <c r="H56" s="3093">
        <v>2</v>
      </c>
      <c r="I56" s="3093">
        <v>3</v>
      </c>
      <c r="J56" s="3093">
        <v>1</v>
      </c>
      <c r="K56" s="3093">
        <v>2</v>
      </c>
    </row>
    <row r="57" spans="1:11">
      <c r="A57" s="3093" t="s">
        <v>3121</v>
      </c>
      <c r="B57" s="3093" t="s">
        <v>3067</v>
      </c>
      <c r="C57" s="3093">
        <f t="shared" si="0"/>
        <v>1163.2</v>
      </c>
      <c r="D57" s="3093">
        <v>351.38</v>
      </c>
      <c r="F57" s="3093">
        <v>762.82</v>
      </c>
      <c r="G57" s="3093">
        <v>49</v>
      </c>
      <c r="H57" s="3093">
        <v>2</v>
      </c>
      <c r="I57" s="3093">
        <v>3</v>
      </c>
      <c r="J57" s="3093">
        <v>1</v>
      </c>
      <c r="K57" s="3093">
        <v>2</v>
      </c>
    </row>
    <row r="58" spans="1:11">
      <c r="A58" s="3093" t="s">
        <v>3122</v>
      </c>
      <c r="B58" s="3093" t="s">
        <v>3067</v>
      </c>
      <c r="C58" s="3093">
        <f t="shared" si="0"/>
        <v>2397.12</v>
      </c>
      <c r="D58" s="3093">
        <v>868.45</v>
      </c>
      <c r="F58" s="3093">
        <v>1332.67</v>
      </c>
      <c r="G58" s="3093">
        <v>196</v>
      </c>
      <c r="H58" s="3093">
        <v>2</v>
      </c>
      <c r="I58" s="3093">
        <v>3</v>
      </c>
      <c r="J58" s="3093">
        <v>1</v>
      </c>
      <c r="K58" s="3093">
        <v>8</v>
      </c>
    </row>
    <row r="59" spans="1:11">
      <c r="A59" s="3093" t="s">
        <v>3123</v>
      </c>
      <c r="B59" s="3093" t="s">
        <v>3067</v>
      </c>
      <c r="C59" s="3093">
        <f t="shared" si="0"/>
        <v>2397.12</v>
      </c>
      <c r="D59" s="3093">
        <v>868.45</v>
      </c>
      <c r="F59" s="3093">
        <v>1332.67</v>
      </c>
      <c r="G59" s="3093">
        <v>196</v>
      </c>
      <c r="H59" s="3093">
        <v>2</v>
      </c>
      <c r="I59" s="3093">
        <v>3</v>
      </c>
      <c r="J59" s="3093">
        <v>1</v>
      </c>
      <c r="K59" s="3093">
        <v>8</v>
      </c>
    </row>
    <row r="60" spans="1:11">
      <c r="A60" s="3093" t="s">
        <v>3124</v>
      </c>
      <c r="B60" s="3093" t="s">
        <v>3067</v>
      </c>
      <c r="C60" s="3093">
        <f t="shared" si="0"/>
        <v>1799.5</v>
      </c>
      <c r="D60" s="3093">
        <v>652</v>
      </c>
      <c r="F60" s="3093">
        <v>1000.5</v>
      </c>
      <c r="G60" s="3093">
        <v>147</v>
      </c>
      <c r="H60" s="3093">
        <v>2</v>
      </c>
      <c r="I60" s="3093">
        <v>3</v>
      </c>
      <c r="J60" s="3093">
        <v>1</v>
      </c>
      <c r="K60" s="3093">
        <v>6</v>
      </c>
    </row>
    <row r="61" spans="1:11">
      <c r="A61" s="3093" t="s">
        <v>3125</v>
      </c>
      <c r="B61" s="3093" t="s">
        <v>3067</v>
      </c>
      <c r="C61" s="3093">
        <f t="shared" si="0"/>
        <v>1799.5</v>
      </c>
      <c r="D61" s="3093">
        <v>652</v>
      </c>
      <c r="F61" s="3093">
        <v>1000.5</v>
      </c>
      <c r="G61" s="3093">
        <v>147</v>
      </c>
      <c r="H61" s="3093">
        <v>2</v>
      </c>
      <c r="I61" s="3093">
        <v>3</v>
      </c>
      <c r="J61" s="3093">
        <v>1</v>
      </c>
      <c r="K61" s="3093">
        <v>6</v>
      </c>
    </row>
    <row r="62" spans="1:11">
      <c r="A62" s="3093" t="s">
        <v>3126</v>
      </c>
      <c r="B62" s="3093" t="s">
        <v>3067</v>
      </c>
      <c r="C62" s="3093">
        <f t="shared" si="0"/>
        <v>2397.12</v>
      </c>
      <c r="D62" s="3093">
        <v>868.45</v>
      </c>
      <c r="F62" s="3093">
        <v>1332.67</v>
      </c>
      <c r="G62" s="3093">
        <v>196</v>
      </c>
      <c r="H62" s="3093">
        <v>2</v>
      </c>
      <c r="I62" s="3093">
        <v>3</v>
      </c>
      <c r="J62" s="3093">
        <v>1</v>
      </c>
      <c r="K62" s="3093">
        <v>8</v>
      </c>
    </row>
    <row r="63" spans="1:11">
      <c r="A63" s="3093" t="s">
        <v>3127</v>
      </c>
      <c r="B63" s="3093" t="s">
        <v>3067</v>
      </c>
      <c r="C63" s="3093">
        <f t="shared" si="0"/>
        <v>1228.76</v>
      </c>
      <c r="D63" s="3093">
        <v>449.6</v>
      </c>
      <c r="F63" s="3093">
        <v>681.16</v>
      </c>
      <c r="G63" s="3093">
        <v>98</v>
      </c>
      <c r="H63" s="3093">
        <v>2</v>
      </c>
      <c r="I63" s="3093">
        <v>3</v>
      </c>
      <c r="J63" s="3093">
        <v>1</v>
      </c>
      <c r="K63" s="3093">
        <v>4</v>
      </c>
    </row>
    <row r="64" spans="1:11">
      <c r="A64" s="3093" t="s">
        <v>3128</v>
      </c>
      <c r="B64" s="3093" t="s">
        <v>3067</v>
      </c>
      <c r="C64" s="3093">
        <f t="shared" si="0"/>
        <v>922.90000000000009</v>
      </c>
      <c r="D64" s="3093">
        <v>337.54</v>
      </c>
      <c r="F64" s="3093">
        <v>511.86</v>
      </c>
      <c r="G64" s="3093">
        <v>73.5</v>
      </c>
      <c r="H64" s="3093">
        <v>2</v>
      </c>
      <c r="I64" s="3093">
        <v>3</v>
      </c>
      <c r="J64" s="3093">
        <v>1</v>
      </c>
      <c r="K64" s="3093">
        <v>3</v>
      </c>
    </row>
    <row r="65" spans="1:11">
      <c r="A65" s="3093" t="s">
        <v>3129</v>
      </c>
      <c r="B65" s="3093" t="s">
        <v>3067</v>
      </c>
      <c r="C65" s="3093">
        <f t="shared" si="0"/>
        <v>1799.5</v>
      </c>
      <c r="D65" s="3093">
        <v>652</v>
      </c>
      <c r="F65" s="3093">
        <v>1000.5</v>
      </c>
      <c r="G65" s="3093">
        <v>147</v>
      </c>
      <c r="H65" s="3093">
        <v>2</v>
      </c>
      <c r="I65" s="3093">
        <v>3</v>
      </c>
      <c r="J65" s="3093">
        <v>1</v>
      </c>
      <c r="K65" s="3093">
        <v>6</v>
      </c>
    </row>
    <row r="66" spans="1:11">
      <c r="A66" s="3093" t="s">
        <v>3130</v>
      </c>
      <c r="B66" s="3093" t="s">
        <v>3067</v>
      </c>
      <c r="C66" s="3093">
        <f t="shared" si="0"/>
        <v>2397.12</v>
      </c>
      <c r="D66" s="3093">
        <v>868.45</v>
      </c>
      <c r="F66" s="3093">
        <v>1332.67</v>
      </c>
      <c r="G66" s="3093">
        <v>196</v>
      </c>
      <c r="H66" s="3093">
        <v>2</v>
      </c>
      <c r="I66" s="3093">
        <v>3</v>
      </c>
      <c r="J66" s="3093">
        <v>1</v>
      </c>
      <c r="K66" s="3093">
        <v>8</v>
      </c>
    </row>
    <row r="67" spans="1:11">
      <c r="A67" s="3093" t="s">
        <v>3131</v>
      </c>
      <c r="B67" s="3093" t="s">
        <v>3067</v>
      </c>
      <c r="C67" s="3093">
        <f t="shared" si="0"/>
        <v>1626.24</v>
      </c>
      <c r="D67" s="3093">
        <v>564.07000000000005</v>
      </c>
      <c r="F67" s="3093">
        <v>964.17</v>
      </c>
      <c r="G67" s="3093">
        <v>98</v>
      </c>
      <c r="H67" s="3093">
        <v>2</v>
      </c>
      <c r="I67" s="3093">
        <v>3</v>
      </c>
      <c r="J67" s="3093">
        <v>1</v>
      </c>
      <c r="K67" s="3093">
        <v>4</v>
      </c>
    </row>
    <row r="68" spans="1:11">
      <c r="A68" s="3093" t="s">
        <v>3132</v>
      </c>
      <c r="B68" s="3093" t="s">
        <v>3067</v>
      </c>
      <c r="C68" s="3093">
        <f t="shared" ref="C68:C85" si="1">SUM(D68:G68)</f>
        <v>1626.24</v>
      </c>
      <c r="D68" s="3093">
        <v>564.07000000000005</v>
      </c>
      <c r="F68" s="3093">
        <v>964.17</v>
      </c>
      <c r="G68" s="3093">
        <v>98</v>
      </c>
      <c r="H68" s="3093">
        <v>2</v>
      </c>
      <c r="I68" s="3093">
        <v>3</v>
      </c>
      <c r="J68" s="3093">
        <v>1</v>
      </c>
      <c r="K68" s="3093">
        <v>4</v>
      </c>
    </row>
    <row r="69" spans="1:11">
      <c r="A69" s="3093" t="s">
        <v>3133</v>
      </c>
      <c r="B69" s="3093" t="s">
        <v>3067</v>
      </c>
      <c r="C69" s="3093">
        <f t="shared" si="1"/>
        <v>1219.1500000000001</v>
      </c>
      <c r="D69" s="3093">
        <v>423.44</v>
      </c>
      <c r="F69" s="3093">
        <v>722.21</v>
      </c>
      <c r="G69" s="3093">
        <v>73.5</v>
      </c>
      <c r="H69" s="3093">
        <v>2</v>
      </c>
      <c r="I69" s="3093">
        <v>3</v>
      </c>
      <c r="J69" s="3093">
        <v>1</v>
      </c>
      <c r="K69" s="3093">
        <v>3</v>
      </c>
    </row>
    <row r="70" spans="1:11">
      <c r="A70" s="3093" t="s">
        <v>3134</v>
      </c>
      <c r="B70" s="3093" t="s">
        <v>3067</v>
      </c>
      <c r="C70" s="3093">
        <f t="shared" si="1"/>
        <v>1799.5</v>
      </c>
      <c r="D70" s="3093">
        <v>652</v>
      </c>
      <c r="F70" s="3093">
        <v>1000.5</v>
      </c>
      <c r="G70" s="3093">
        <v>147</v>
      </c>
      <c r="H70" s="3093">
        <v>2</v>
      </c>
      <c r="I70" s="3093">
        <v>3</v>
      </c>
      <c r="J70" s="3093">
        <v>1</v>
      </c>
      <c r="K70" s="3093">
        <v>6</v>
      </c>
    </row>
    <row r="71" spans="1:11">
      <c r="A71" s="3093" t="s">
        <v>3135</v>
      </c>
      <c r="B71" s="3093" t="s">
        <v>3067</v>
      </c>
      <c r="C71" s="3093">
        <f t="shared" si="1"/>
        <v>1202.82</v>
      </c>
      <c r="D71" s="3093">
        <v>435.55</v>
      </c>
      <c r="F71" s="3093">
        <v>669.27</v>
      </c>
      <c r="G71" s="3093">
        <v>98</v>
      </c>
      <c r="H71" s="3093">
        <v>2</v>
      </c>
      <c r="I71" s="3093">
        <v>3</v>
      </c>
      <c r="J71" s="3093">
        <v>1</v>
      </c>
      <c r="K71" s="3093">
        <v>4</v>
      </c>
    </row>
    <row r="72" spans="1:11">
      <c r="A72" s="3093" t="s">
        <v>3136</v>
      </c>
      <c r="B72" s="3093" t="s">
        <v>3067</v>
      </c>
      <c r="C72" s="3093">
        <f t="shared" si="1"/>
        <v>1202.82</v>
      </c>
      <c r="D72" s="3093">
        <v>435.55</v>
      </c>
      <c r="F72" s="3093">
        <v>669.27</v>
      </c>
      <c r="G72" s="3093">
        <v>98</v>
      </c>
      <c r="H72" s="3093">
        <v>2</v>
      </c>
      <c r="I72" s="3093">
        <v>3</v>
      </c>
      <c r="J72" s="3093">
        <v>1</v>
      </c>
      <c r="K72" s="3093">
        <v>4</v>
      </c>
    </row>
    <row r="73" spans="1:11">
      <c r="A73" s="3093" t="s">
        <v>3137</v>
      </c>
      <c r="B73" s="3093" t="s">
        <v>3067</v>
      </c>
      <c r="C73" s="3093">
        <f t="shared" si="1"/>
        <v>1799.5</v>
      </c>
      <c r="D73" s="3093">
        <v>652</v>
      </c>
      <c r="F73" s="3093">
        <v>1000.5</v>
      </c>
      <c r="G73" s="3093">
        <v>147</v>
      </c>
      <c r="H73" s="3093">
        <v>2</v>
      </c>
      <c r="I73" s="3093">
        <v>3</v>
      </c>
      <c r="J73" s="3093">
        <v>1</v>
      </c>
      <c r="K73" s="3093">
        <v>6</v>
      </c>
    </row>
    <row r="74" spans="1:11">
      <c r="A74" s="3093" t="s">
        <v>3138</v>
      </c>
      <c r="B74" s="3093" t="s">
        <v>3067</v>
      </c>
      <c r="C74" s="3093">
        <f t="shared" si="1"/>
        <v>1799.5</v>
      </c>
      <c r="D74" s="3093">
        <v>652</v>
      </c>
      <c r="F74" s="3093">
        <v>1000.5</v>
      </c>
      <c r="G74" s="3093">
        <v>147</v>
      </c>
      <c r="H74" s="3093">
        <v>2</v>
      </c>
      <c r="I74" s="3093">
        <v>3</v>
      </c>
      <c r="J74" s="3093">
        <v>1</v>
      </c>
      <c r="K74" s="3093">
        <v>6</v>
      </c>
    </row>
    <row r="75" spans="1:11">
      <c r="A75" s="3093" t="s">
        <v>3139</v>
      </c>
      <c r="B75" s="3093" t="s">
        <v>3067</v>
      </c>
      <c r="C75" s="3093">
        <f t="shared" si="1"/>
        <v>1202.82</v>
      </c>
      <c r="D75" s="3093">
        <v>435.55</v>
      </c>
      <c r="F75" s="3093">
        <v>669.27</v>
      </c>
      <c r="G75" s="3093">
        <v>98</v>
      </c>
      <c r="H75" s="3093">
        <v>2</v>
      </c>
      <c r="I75" s="3093">
        <v>3</v>
      </c>
      <c r="J75" s="3093">
        <v>1</v>
      </c>
      <c r="K75" s="3093">
        <v>4</v>
      </c>
    </row>
    <row r="76" spans="1:11">
      <c r="A76" s="3093" t="s">
        <v>3140</v>
      </c>
      <c r="B76" s="3093" t="s">
        <v>3067</v>
      </c>
      <c r="C76" s="3093">
        <f t="shared" si="1"/>
        <v>1799.5</v>
      </c>
      <c r="D76" s="3093">
        <v>652</v>
      </c>
      <c r="F76" s="3093">
        <v>1000.5</v>
      </c>
      <c r="G76" s="3093">
        <v>147</v>
      </c>
      <c r="H76" s="3093">
        <v>2</v>
      </c>
      <c r="I76" s="3093">
        <v>3</v>
      </c>
      <c r="J76" s="3093">
        <v>1</v>
      </c>
      <c r="K76" s="3093">
        <v>6</v>
      </c>
    </row>
    <row r="77" spans="1:11">
      <c r="A77" s="3093" t="s">
        <v>3141</v>
      </c>
      <c r="B77" s="3093" t="s">
        <v>3067</v>
      </c>
      <c r="C77" s="3093">
        <f t="shared" si="1"/>
        <v>1202.82</v>
      </c>
      <c r="D77" s="3093">
        <v>435.55</v>
      </c>
      <c r="F77" s="3093">
        <v>669.27</v>
      </c>
      <c r="G77" s="3093">
        <v>98</v>
      </c>
      <c r="H77" s="3093">
        <v>2</v>
      </c>
      <c r="I77" s="3093">
        <v>3</v>
      </c>
      <c r="J77" s="3093">
        <v>1</v>
      </c>
      <c r="K77" s="3093">
        <v>4</v>
      </c>
    </row>
    <row r="78" spans="1:11">
      <c r="A78" s="3093" t="s">
        <v>3142</v>
      </c>
      <c r="B78" s="3093" t="s">
        <v>3067</v>
      </c>
      <c r="C78" s="3093">
        <f t="shared" si="1"/>
        <v>1203.48</v>
      </c>
      <c r="D78" s="3093">
        <v>435.55</v>
      </c>
      <c r="F78" s="3093">
        <v>669.93</v>
      </c>
      <c r="G78" s="3093">
        <v>98</v>
      </c>
      <c r="H78" s="3093">
        <v>2</v>
      </c>
      <c r="I78" s="3093">
        <v>3</v>
      </c>
      <c r="J78" s="3093">
        <v>1</v>
      </c>
      <c r="K78" s="3093">
        <v>4</v>
      </c>
    </row>
    <row r="79" spans="1:11">
      <c r="A79" s="3093" t="s">
        <v>3143</v>
      </c>
      <c r="B79" s="3093" t="s">
        <v>3067</v>
      </c>
      <c r="C79" s="3093">
        <f t="shared" si="1"/>
        <v>1799.5</v>
      </c>
      <c r="D79" s="3093">
        <v>652</v>
      </c>
      <c r="F79" s="3093">
        <v>1000.5</v>
      </c>
      <c r="G79" s="3093">
        <v>147</v>
      </c>
      <c r="H79" s="3093">
        <v>2</v>
      </c>
      <c r="I79" s="3093">
        <v>3</v>
      </c>
      <c r="J79" s="3093">
        <v>1</v>
      </c>
      <c r="K79" s="3093">
        <v>6</v>
      </c>
    </row>
    <row r="80" spans="1:11">
      <c r="A80" s="3093" t="s">
        <v>3144</v>
      </c>
      <c r="B80" s="3093" t="s">
        <v>3067</v>
      </c>
      <c r="C80" s="3093">
        <f t="shared" si="1"/>
        <v>1202.82</v>
      </c>
      <c r="D80" s="3093">
        <v>435.55</v>
      </c>
      <c r="F80" s="3093">
        <v>669.27</v>
      </c>
      <c r="G80" s="3093">
        <v>98</v>
      </c>
      <c r="H80" s="3093">
        <v>2</v>
      </c>
      <c r="I80" s="3093">
        <v>3</v>
      </c>
      <c r="J80" s="3093">
        <v>1</v>
      </c>
      <c r="K80" s="3093">
        <v>4</v>
      </c>
    </row>
    <row r="81" spans="1:14">
      <c r="A81" s="3093" t="s">
        <v>3145</v>
      </c>
      <c r="B81" s="3093" t="s">
        <v>3067</v>
      </c>
      <c r="C81" s="3093">
        <f t="shared" si="1"/>
        <v>1799.5</v>
      </c>
      <c r="D81" s="3093">
        <v>652</v>
      </c>
      <c r="F81" s="3093">
        <v>1000.5</v>
      </c>
      <c r="G81" s="3093">
        <v>147</v>
      </c>
      <c r="H81" s="3093">
        <v>2</v>
      </c>
      <c r="I81" s="3093">
        <v>3</v>
      </c>
      <c r="J81" s="3093">
        <v>1</v>
      </c>
      <c r="K81" s="3093">
        <v>6</v>
      </c>
    </row>
    <row r="82" spans="1:14">
      <c r="A82" s="3093" t="s">
        <v>3146</v>
      </c>
      <c r="B82" s="3093" t="s">
        <v>3067</v>
      </c>
      <c r="C82" s="3093">
        <f t="shared" si="1"/>
        <v>1799.5</v>
      </c>
      <c r="D82" s="3093">
        <v>652</v>
      </c>
      <c r="F82" s="3093">
        <v>1000.5</v>
      </c>
      <c r="G82" s="3093">
        <v>147</v>
      </c>
      <c r="H82" s="3093">
        <v>2</v>
      </c>
      <c r="I82" s="3093">
        <v>3</v>
      </c>
      <c r="J82" s="3093">
        <v>1</v>
      </c>
      <c r="K82" s="3093">
        <v>6</v>
      </c>
    </row>
    <row r="83" spans="1:14">
      <c r="A83" s="3093" t="s">
        <v>3147</v>
      </c>
      <c r="B83" s="3093" t="s">
        <v>3067</v>
      </c>
      <c r="C83" s="3093">
        <f t="shared" si="1"/>
        <v>1202.82</v>
      </c>
      <c r="D83" s="3093">
        <v>435.55</v>
      </c>
      <c r="F83" s="3093">
        <v>669.27</v>
      </c>
      <c r="G83" s="3093">
        <v>98</v>
      </c>
      <c r="H83" s="3093">
        <v>2</v>
      </c>
      <c r="I83" s="3093">
        <v>3</v>
      </c>
      <c r="J83" s="3093">
        <v>1</v>
      </c>
      <c r="K83" s="3093">
        <v>4</v>
      </c>
    </row>
    <row r="84" spans="1:14">
      <c r="A84" s="3093" t="s">
        <v>3148</v>
      </c>
      <c r="B84" s="3093" t="s">
        <v>3067</v>
      </c>
      <c r="C84" s="3093">
        <f t="shared" si="1"/>
        <v>1202.82</v>
      </c>
      <c r="D84" s="3093">
        <v>435.55</v>
      </c>
      <c r="F84" s="3093">
        <v>669.27</v>
      </c>
      <c r="G84" s="3093">
        <v>98</v>
      </c>
      <c r="H84" s="3093">
        <v>2</v>
      </c>
      <c r="I84" s="3093">
        <v>3</v>
      </c>
      <c r="J84" s="3093">
        <v>1</v>
      </c>
      <c r="K84" s="3093">
        <v>4</v>
      </c>
    </row>
    <row r="85" spans="1:14">
      <c r="A85" s="3093" t="s">
        <v>3149</v>
      </c>
      <c r="B85" s="3093" t="s">
        <v>3067</v>
      </c>
      <c r="C85" s="3093">
        <f t="shared" si="1"/>
        <v>1799.5</v>
      </c>
      <c r="D85" s="3093">
        <v>652</v>
      </c>
      <c r="F85" s="3093">
        <v>1000.5</v>
      </c>
      <c r="G85" s="3093">
        <v>147</v>
      </c>
      <c r="H85" s="3093">
        <v>2</v>
      </c>
      <c r="I85" s="3093">
        <v>3</v>
      </c>
      <c r="J85" s="3093">
        <v>1</v>
      </c>
      <c r="K85" s="3093">
        <v>6</v>
      </c>
    </row>
    <row r="86" spans="1:14">
      <c r="A86" s="3093" t="s">
        <v>37</v>
      </c>
      <c r="C86" s="3093">
        <f>SUM(C3:C85)</f>
        <v>129624.39</v>
      </c>
      <c r="D86" s="3093">
        <f>SUM(D3:D85)</f>
        <v>46712.660000000018</v>
      </c>
      <c r="E86" s="3093">
        <f>SUM(E3:E85)</f>
        <v>0</v>
      </c>
      <c r="F86" s="3093">
        <f>SUM(F3:F85)</f>
        <v>72621.729999999967</v>
      </c>
      <c r="G86" s="3093">
        <f>SUM(G3:G85)</f>
        <v>10290</v>
      </c>
      <c r="K86" s="3093">
        <f>SUM(K3:K85)</f>
        <v>420</v>
      </c>
    </row>
    <row r="87" spans="1:14">
      <c r="A87" s="3093" t="s">
        <v>5297</v>
      </c>
      <c r="B87" s="3093" t="s">
        <v>3150</v>
      </c>
      <c r="C87" s="3093">
        <f>E87+G87</f>
        <v>450</v>
      </c>
      <c r="E87" s="3093">
        <v>300</v>
      </c>
      <c r="G87" s="3093">
        <v>150</v>
      </c>
    </row>
    <row r="88" spans="1:14">
      <c r="A88" s="3093" t="s">
        <v>48</v>
      </c>
      <c r="C88" s="3093">
        <f>SUM(D88:G88)</f>
        <v>50636.86</v>
      </c>
      <c r="E88" s="3093">
        <f>29+26+47+27</f>
        <v>129</v>
      </c>
      <c r="F88" s="3093">
        <v>46509.14</v>
      </c>
      <c r="G88" s="3093">
        <f>225+225+217.5+217.5+300+300+2513.72</f>
        <v>3998.72</v>
      </c>
    </row>
    <row r="89" spans="1:14">
      <c r="C89" s="3093">
        <f>C86+C87+C88</f>
        <v>180711.25</v>
      </c>
      <c r="F89" s="3093">
        <v>10280</v>
      </c>
    </row>
    <row r="91" spans="1:14">
      <c r="M91" s="3093">
        <f>C94/G94</f>
        <v>0.64323254210551084</v>
      </c>
    </row>
    <row r="92" spans="1:14">
      <c r="B92" s="3439" t="s">
        <v>37</v>
      </c>
      <c r="C92" s="3439" t="s">
        <v>3056</v>
      </c>
      <c r="D92" s="3439"/>
      <c r="E92" s="3439"/>
      <c r="F92" s="3439"/>
      <c r="G92" s="3439" t="s">
        <v>3057</v>
      </c>
      <c r="H92" s="3439"/>
      <c r="I92" s="3439"/>
      <c r="J92" s="3439"/>
      <c r="K92" s="3439"/>
    </row>
    <row r="93" spans="1:14">
      <c r="B93" s="3439"/>
      <c r="C93" s="3122" t="s">
        <v>3058</v>
      </c>
      <c r="D93" s="3122" t="s">
        <v>3061</v>
      </c>
      <c r="E93" s="3122" t="s">
        <v>3161</v>
      </c>
      <c r="F93" s="3122" t="s">
        <v>1343</v>
      </c>
      <c r="G93" s="3122" t="s">
        <v>3060</v>
      </c>
      <c r="H93" s="3122" t="s">
        <v>3162</v>
      </c>
      <c r="I93" s="3122" t="s">
        <v>3061</v>
      </c>
      <c r="J93" s="3122" t="s">
        <v>3161</v>
      </c>
      <c r="K93" s="3122" t="s">
        <v>1343</v>
      </c>
      <c r="M93" s="3093" t="s">
        <v>3163</v>
      </c>
    </row>
    <row r="94" spans="1:14">
      <c r="A94" s="3093" t="s">
        <v>3149</v>
      </c>
      <c r="B94" s="3122">
        <f>SUM(C94:K94)</f>
        <v>170302.24999999997</v>
      </c>
      <c r="C94" s="3122">
        <f>D86</f>
        <v>46712.660000000018</v>
      </c>
      <c r="D94" s="3122">
        <f>E87</f>
        <v>300</v>
      </c>
      <c r="E94" s="3122"/>
      <c r="F94" s="3122"/>
      <c r="G94" s="3122">
        <f>F86</f>
        <v>72621.729999999967</v>
      </c>
      <c r="H94" s="3122">
        <f>F88-F89</f>
        <v>36229.14</v>
      </c>
      <c r="I94" s="3122">
        <f>G87+G86+G88</f>
        <v>14438.72</v>
      </c>
      <c r="J94" s="3122"/>
      <c r="K94" s="3122"/>
      <c r="L94" s="3093" t="s">
        <v>3164</v>
      </c>
      <c r="M94" s="3093">
        <f>F89+E88</f>
        <v>10409</v>
      </c>
      <c r="N94" s="3123">
        <f>M94+B94</f>
        <v>180711.24999999997</v>
      </c>
    </row>
    <row r="95" spans="1:14">
      <c r="B95" s="3122">
        <f>SUM(C95:K95)</f>
        <v>58492.750000000007</v>
      </c>
      <c r="C95" s="3122">
        <f>D109</f>
        <v>42524.340000000011</v>
      </c>
      <c r="D95" s="3122">
        <f>E109</f>
        <v>168</v>
      </c>
      <c r="E95" s="3122">
        <f>F109</f>
        <v>1870</v>
      </c>
      <c r="F95" s="3122">
        <f>G109</f>
        <v>250</v>
      </c>
      <c r="G95" s="3122">
        <f>H109</f>
        <v>10172.129999999999</v>
      </c>
      <c r="H95" s="3122"/>
      <c r="I95" s="3122">
        <f>I109</f>
        <v>3228.2799999999997</v>
      </c>
      <c r="J95" s="3122">
        <v>50</v>
      </c>
      <c r="K95" s="3122">
        <v>230</v>
      </c>
    </row>
    <row r="96" spans="1:14">
      <c r="B96" s="3122">
        <f>SUM(B94:B95)</f>
        <v>228794.99999999997</v>
      </c>
      <c r="C96" s="3122">
        <f t="shared" ref="C96:K96" si="2">SUM(C94:C95)</f>
        <v>89237.000000000029</v>
      </c>
      <c r="D96" s="3122">
        <f t="shared" si="2"/>
        <v>468</v>
      </c>
      <c r="E96" s="3122">
        <f t="shared" si="2"/>
        <v>1870</v>
      </c>
      <c r="F96" s="3122">
        <f t="shared" si="2"/>
        <v>250</v>
      </c>
      <c r="G96" s="3122">
        <f t="shared" si="2"/>
        <v>82793.859999999971</v>
      </c>
      <c r="H96" s="3122">
        <f t="shared" si="2"/>
        <v>36229.14</v>
      </c>
      <c r="I96" s="3122">
        <f t="shared" si="2"/>
        <v>17667</v>
      </c>
      <c r="J96" s="3122">
        <f t="shared" si="2"/>
        <v>50</v>
      </c>
      <c r="K96" s="3122">
        <f t="shared" si="2"/>
        <v>230</v>
      </c>
      <c r="M96" s="3124"/>
    </row>
    <row r="98" spans="1:15">
      <c r="A98" s="3122" t="s">
        <v>3165</v>
      </c>
      <c r="B98" s="3122"/>
      <c r="C98" s="3122"/>
      <c r="D98" s="3122" t="s">
        <v>3056</v>
      </c>
      <c r="E98" s="3122"/>
      <c r="F98" s="3122"/>
      <c r="G98" s="3122"/>
      <c r="H98" s="3122" t="s">
        <v>3057</v>
      </c>
      <c r="I98" s="3122"/>
      <c r="J98" s="3122"/>
      <c r="K98" s="3122"/>
      <c r="L98" s="3122"/>
      <c r="M98" s="3122"/>
      <c r="N98" s="3122"/>
      <c r="O98" s="3122"/>
    </row>
    <row r="99" spans="1:15">
      <c r="A99" s="3122"/>
      <c r="B99" s="3122"/>
      <c r="C99" s="3122" t="s">
        <v>37</v>
      </c>
      <c r="D99" s="3122" t="s">
        <v>3058</v>
      </c>
      <c r="E99" s="3122" t="s">
        <v>3061</v>
      </c>
      <c r="F99" s="3122" t="s">
        <v>3161</v>
      </c>
      <c r="G99" s="3122" t="s">
        <v>1343</v>
      </c>
      <c r="H99" s="3122" t="s">
        <v>3060</v>
      </c>
      <c r="I99" s="3122" t="s">
        <v>3061</v>
      </c>
      <c r="J99" s="3122" t="s">
        <v>3161</v>
      </c>
      <c r="K99" s="3122" t="s">
        <v>1343</v>
      </c>
      <c r="L99" s="3122" t="s">
        <v>3062</v>
      </c>
      <c r="M99" s="3122" t="s">
        <v>3063</v>
      </c>
      <c r="N99" s="3122" t="s">
        <v>3065</v>
      </c>
      <c r="O99" s="3122" t="s">
        <v>3166</v>
      </c>
    </row>
    <row r="100" spans="1:15">
      <c r="A100" s="3122" t="s">
        <v>3151</v>
      </c>
      <c r="B100" s="3122" t="s">
        <v>3067</v>
      </c>
      <c r="C100" s="3122">
        <f>SUM(D100:K100)</f>
        <v>9627.16</v>
      </c>
      <c r="D100" s="3122">
        <v>6972.46</v>
      </c>
      <c r="E100" s="3122"/>
      <c r="F100" s="3122"/>
      <c r="G100" s="3122"/>
      <c r="H100" s="3122">
        <v>1536.46</v>
      </c>
      <c r="I100" s="3122">
        <f>228.24+780+50+30+30</f>
        <v>1118.24</v>
      </c>
      <c r="J100" s="3122"/>
      <c r="K100" s="3122"/>
      <c r="L100" s="3122">
        <v>8</v>
      </c>
      <c r="M100" s="3122">
        <v>3</v>
      </c>
      <c r="N100" s="3122">
        <v>48</v>
      </c>
      <c r="O100" s="3122">
        <v>6115.4</v>
      </c>
    </row>
    <row r="101" spans="1:15">
      <c r="A101" s="3122" t="s">
        <v>3152</v>
      </c>
      <c r="B101" s="3122" t="s">
        <v>3067</v>
      </c>
      <c r="C101" s="3122">
        <f t="shared" ref="C101:C108" si="3">SUM(D101:K101)</f>
        <v>8835.02</v>
      </c>
      <c r="D101" s="3122">
        <v>6984.06</v>
      </c>
      <c r="E101" s="3122"/>
      <c r="F101" s="3122"/>
      <c r="G101" s="3122"/>
      <c r="H101" s="3122">
        <v>1622.72</v>
      </c>
      <c r="I101" s="3122">
        <v>228.24</v>
      </c>
      <c r="J101" s="3122"/>
      <c r="K101" s="3122"/>
      <c r="L101" s="3122">
        <v>8</v>
      </c>
      <c r="M101" s="3122">
        <v>3</v>
      </c>
      <c r="N101" s="3122">
        <v>48</v>
      </c>
      <c r="O101" s="3122">
        <v>6115.4</v>
      </c>
    </row>
    <row r="102" spans="1:15">
      <c r="A102" s="3122" t="s">
        <v>3153</v>
      </c>
      <c r="B102" s="3122" t="s">
        <v>3067</v>
      </c>
      <c r="C102" s="3122">
        <f t="shared" si="3"/>
        <v>8835.07</v>
      </c>
      <c r="D102" s="3122">
        <v>6975.06</v>
      </c>
      <c r="E102" s="3122"/>
      <c r="F102" s="3122"/>
      <c r="G102" s="3122"/>
      <c r="H102" s="3122">
        <v>1631.77</v>
      </c>
      <c r="I102" s="3122">
        <v>228.24</v>
      </c>
      <c r="J102" s="3122"/>
      <c r="K102" s="3122"/>
      <c r="L102" s="3122">
        <v>8</v>
      </c>
      <c r="M102" s="3122">
        <v>3</v>
      </c>
      <c r="N102" s="3122">
        <v>48</v>
      </c>
      <c r="O102" s="3122">
        <v>6115.4</v>
      </c>
    </row>
    <row r="103" spans="1:15">
      <c r="A103" s="3122" t="s">
        <v>3154</v>
      </c>
      <c r="B103" s="3122" t="s">
        <v>3067</v>
      </c>
      <c r="C103" s="3122">
        <f t="shared" si="3"/>
        <v>7910.56</v>
      </c>
      <c r="D103" s="3122">
        <v>4540.51</v>
      </c>
      <c r="E103" s="3122">
        <f>78</f>
        <v>78</v>
      </c>
      <c r="F103" s="3122">
        <f>450+200</f>
        <v>650</v>
      </c>
      <c r="G103" s="3122">
        <f>50+200</f>
        <v>250</v>
      </c>
      <c r="H103" s="3122">
        <v>1294.5899999999999</v>
      </c>
      <c r="I103" s="3122">
        <v>867.46</v>
      </c>
      <c r="J103" s="3122"/>
      <c r="K103" s="3122">
        <v>230</v>
      </c>
      <c r="L103" s="3122">
        <v>8</v>
      </c>
      <c r="M103" s="3122">
        <v>3</v>
      </c>
      <c r="N103" s="3122">
        <v>30</v>
      </c>
      <c r="O103" s="3122">
        <v>4191.8999999999996</v>
      </c>
    </row>
    <row r="104" spans="1:15">
      <c r="A104" s="3122" t="s">
        <v>3155</v>
      </c>
      <c r="B104" s="3122" t="s">
        <v>3067</v>
      </c>
      <c r="C104" s="3122">
        <f t="shared" si="3"/>
        <v>6088.81</v>
      </c>
      <c r="D104" s="3122">
        <v>4545.8500000000004</v>
      </c>
      <c r="E104" s="3122">
        <f>70+20</f>
        <v>90</v>
      </c>
      <c r="F104" s="3122">
        <f>100+120</f>
        <v>220</v>
      </c>
      <c r="G104" s="3122"/>
      <c r="H104" s="3122">
        <v>897.65</v>
      </c>
      <c r="I104" s="3122">
        <v>285.31</v>
      </c>
      <c r="J104" s="3122">
        <v>50</v>
      </c>
      <c r="K104" s="3122"/>
      <c r="L104" s="3122">
        <v>8</v>
      </c>
      <c r="M104" s="3122">
        <v>3</v>
      </c>
      <c r="N104" s="3122">
        <v>30</v>
      </c>
      <c r="O104" s="3122">
        <v>4191.8999999999996</v>
      </c>
    </row>
    <row r="105" spans="1:15">
      <c r="A105" s="3122" t="s">
        <v>3156</v>
      </c>
      <c r="B105" s="3122" t="s">
        <v>3067</v>
      </c>
      <c r="C105" s="3122">
        <f t="shared" si="3"/>
        <v>5398.7100000000009</v>
      </c>
      <c r="D105" s="3122">
        <v>4168.8</v>
      </c>
      <c r="E105" s="3122"/>
      <c r="F105" s="3122"/>
      <c r="G105" s="3122"/>
      <c r="H105" s="3122">
        <v>1062.98</v>
      </c>
      <c r="I105" s="3122">
        <v>166.93</v>
      </c>
      <c r="J105" s="3122"/>
      <c r="K105" s="3122"/>
      <c r="L105" s="3122">
        <v>8</v>
      </c>
      <c r="M105" s="3122">
        <v>3</v>
      </c>
      <c r="N105" s="3122">
        <v>28</v>
      </c>
      <c r="O105" s="3122">
        <v>1364</v>
      </c>
    </row>
    <row r="106" spans="1:15">
      <c r="A106" s="3122" t="s">
        <v>3157</v>
      </c>
      <c r="B106" s="3122" t="s">
        <v>3067</v>
      </c>
      <c r="C106" s="3122">
        <f t="shared" si="3"/>
        <v>5398.7100000000009</v>
      </c>
      <c r="D106" s="3122">
        <v>4168.8</v>
      </c>
      <c r="E106" s="3122"/>
      <c r="F106" s="3122"/>
      <c r="G106" s="3122"/>
      <c r="H106" s="3122">
        <v>1062.98</v>
      </c>
      <c r="I106" s="3122">
        <v>166.93</v>
      </c>
      <c r="J106" s="3122"/>
      <c r="K106" s="3122"/>
      <c r="L106" s="3122">
        <v>8</v>
      </c>
      <c r="M106" s="3122">
        <v>3</v>
      </c>
      <c r="N106" s="3122">
        <v>28</v>
      </c>
      <c r="O106" s="3122">
        <v>0</v>
      </c>
    </row>
    <row r="107" spans="1:15">
      <c r="A107" s="3122" t="s">
        <v>3158</v>
      </c>
      <c r="B107" s="3122" t="s">
        <v>3067</v>
      </c>
      <c r="C107" s="3122">
        <f t="shared" si="3"/>
        <v>5398.7100000000009</v>
      </c>
      <c r="D107" s="3122">
        <v>4168.8</v>
      </c>
      <c r="E107" s="3122"/>
      <c r="F107" s="3122"/>
      <c r="G107" s="3122"/>
      <c r="H107" s="3122">
        <v>1062.98</v>
      </c>
      <c r="I107" s="3122">
        <v>166.93</v>
      </c>
      <c r="J107" s="3122"/>
      <c r="K107" s="3122"/>
      <c r="L107" s="3122">
        <v>8</v>
      </c>
      <c r="M107" s="3122">
        <v>3</v>
      </c>
      <c r="N107" s="3122">
        <v>28</v>
      </c>
      <c r="O107" s="3122">
        <v>3582.1</v>
      </c>
    </row>
    <row r="108" spans="1:15">
      <c r="A108" s="3122" t="s">
        <v>3159</v>
      </c>
      <c r="B108" s="3122" t="s">
        <v>3160</v>
      </c>
      <c r="C108" s="3122">
        <f t="shared" si="3"/>
        <v>1000</v>
      </c>
      <c r="D108" s="3122"/>
      <c r="E108" s="3122"/>
      <c r="F108" s="3122">
        <v>1000</v>
      </c>
      <c r="G108" s="3122"/>
      <c r="H108" s="3122"/>
      <c r="I108" s="3122"/>
      <c r="J108" s="3122"/>
      <c r="K108" s="3122"/>
      <c r="L108" s="3122"/>
      <c r="M108" s="3122"/>
      <c r="N108" s="3122"/>
      <c r="O108" s="3122"/>
    </row>
    <row r="109" spans="1:15">
      <c r="A109" s="3122" t="s">
        <v>37</v>
      </c>
      <c r="B109" s="3122"/>
      <c r="C109" s="3122">
        <f>SUM(C100:C108)</f>
        <v>58492.749999999993</v>
      </c>
      <c r="D109" s="3122">
        <f>SUM(D100:D108)</f>
        <v>42524.340000000011</v>
      </c>
      <c r="E109" s="3122">
        <f>SUM(E100:E108)</f>
        <v>168</v>
      </c>
      <c r="F109" s="3122">
        <f t="shared" ref="F109:K109" si="4">SUM(F100:F108)</f>
        <v>1870</v>
      </c>
      <c r="G109" s="3122">
        <f t="shared" si="4"/>
        <v>250</v>
      </c>
      <c r="H109" s="3122">
        <f t="shared" si="4"/>
        <v>10172.129999999999</v>
      </c>
      <c r="I109" s="3122">
        <f t="shared" si="4"/>
        <v>3228.2799999999997</v>
      </c>
      <c r="J109" s="3122">
        <f t="shared" si="4"/>
        <v>50</v>
      </c>
      <c r="K109" s="3122">
        <f t="shared" si="4"/>
        <v>230</v>
      </c>
      <c r="L109" s="3122"/>
      <c r="M109" s="3122"/>
      <c r="N109" s="3122"/>
      <c r="O109" s="3122">
        <f>SUM(O100:O108)</f>
        <v>31676.1</v>
      </c>
    </row>
    <row r="111" spans="1:15" s="3125" customFormat="1">
      <c r="B111" s="3125" t="s">
        <v>3167</v>
      </c>
      <c r="C111" s="3125">
        <v>64089.62</v>
      </c>
    </row>
    <row r="112" spans="1:15">
      <c r="B112" s="3093" t="s">
        <v>5298</v>
      </c>
      <c r="C112" s="3093">
        <v>91043.21</v>
      </c>
    </row>
    <row r="113" spans="1:20" hidden="1">
      <c r="C113" s="3122"/>
      <c r="D113" s="3122" t="s">
        <v>3056</v>
      </c>
      <c r="E113" s="3122"/>
      <c r="F113" s="3122" t="s">
        <v>3057</v>
      </c>
      <c r="G113" s="3122"/>
      <c r="H113" s="3122"/>
      <c r="I113" s="3122"/>
    </row>
    <row r="114" spans="1:20" hidden="1">
      <c r="B114" s="3093" t="s">
        <v>37</v>
      </c>
      <c r="C114" s="3122" t="s">
        <v>3058</v>
      </c>
      <c r="D114" s="3122" t="s">
        <v>3168</v>
      </c>
      <c r="E114" s="3122" t="s">
        <v>3061</v>
      </c>
      <c r="F114" s="3122" t="s">
        <v>3060</v>
      </c>
      <c r="G114" s="3122" t="s">
        <v>3169</v>
      </c>
      <c r="H114" s="3122" t="s">
        <v>3061</v>
      </c>
      <c r="I114" s="3122" t="s">
        <v>3162</v>
      </c>
      <c r="L114" s="3093" t="s">
        <v>3163</v>
      </c>
    </row>
    <row r="115" spans="1:20" hidden="1">
      <c r="B115" s="3093">
        <f>SUM(C115:I115)</f>
        <v>168826</v>
      </c>
      <c r="C115" s="3122">
        <f>64616-D115</f>
        <v>40845.619999999995</v>
      </c>
      <c r="D115" s="3122">
        <v>23770.38</v>
      </c>
      <c r="E115" s="3122">
        <f>78</f>
        <v>78</v>
      </c>
      <c r="F115" s="3122">
        <v>64403</v>
      </c>
      <c r="G115" s="3122">
        <f>990</f>
        <v>990</v>
      </c>
      <c r="H115" s="3122">
        <f>757+10933</f>
        <v>11690</v>
      </c>
      <c r="I115" s="3122">
        <f>31217-4168</f>
        <v>27049</v>
      </c>
      <c r="K115" s="3093" t="s">
        <v>3170</v>
      </c>
      <c r="L115" s="3093">
        <f>36+4168</f>
        <v>4204</v>
      </c>
      <c r="M115" s="3093">
        <f>B115+L115</f>
        <v>173030</v>
      </c>
    </row>
    <row r="116" spans="1:20" hidden="1">
      <c r="C116" s="3093" t="s">
        <v>3483</v>
      </c>
      <c r="D116" s="3093" t="s">
        <v>3485</v>
      </c>
      <c r="E116" s="3093" t="s">
        <v>5299</v>
      </c>
      <c r="F116" s="3126" t="s">
        <v>5299</v>
      </c>
      <c r="K116" s="3093">
        <f>I115/684</f>
        <v>39.545321637426902</v>
      </c>
    </row>
    <row r="117" spans="1:20" hidden="1">
      <c r="C117" s="3093">
        <v>37366</v>
      </c>
      <c r="D117" s="3093">
        <v>27250</v>
      </c>
      <c r="E117" s="3093">
        <v>3356</v>
      </c>
      <c r="F117" s="3093">
        <f>F115-E117</f>
        <v>61047</v>
      </c>
    </row>
    <row r="118" spans="1:20" hidden="1"/>
    <row r="119" spans="1:20" hidden="1">
      <c r="C119" s="3093">
        <f>C111+C112</f>
        <v>155132.83000000002</v>
      </c>
    </row>
    <row r="120" spans="1:20" hidden="1">
      <c r="A120" s="3093" t="s">
        <v>3055</v>
      </c>
      <c r="B120" s="3093" t="s">
        <v>5300</v>
      </c>
      <c r="D120" s="3093" t="s">
        <v>3056</v>
      </c>
      <c r="F120" s="3093" t="s">
        <v>3057</v>
      </c>
    </row>
    <row r="121" spans="1:20" hidden="1">
      <c r="C121" s="3093" t="s">
        <v>37</v>
      </c>
      <c r="D121" s="3093" t="s">
        <v>3058</v>
      </c>
      <c r="E121" s="3093" t="s">
        <v>3059</v>
      </c>
      <c r="F121" s="3093" t="s">
        <v>3060</v>
      </c>
      <c r="G121" s="3093" t="s">
        <v>3061</v>
      </c>
      <c r="H121" s="3093" t="s">
        <v>3062</v>
      </c>
      <c r="I121" s="3093" t="s">
        <v>3063</v>
      </c>
      <c r="J121" s="3093" t="s">
        <v>3064</v>
      </c>
      <c r="K121" s="3093" t="s">
        <v>3065</v>
      </c>
      <c r="P121" s="3093" t="s">
        <v>5301</v>
      </c>
      <c r="Q121" s="3093" t="s">
        <v>5302</v>
      </c>
      <c r="R121" s="3093" t="s">
        <v>3168</v>
      </c>
    </row>
    <row r="122" spans="1:20" hidden="1">
      <c r="A122" s="3093" t="s">
        <v>5303</v>
      </c>
      <c r="B122" s="3093" t="s">
        <v>3067</v>
      </c>
      <c r="C122" s="3093">
        <f>D122+E122+F122+G122</f>
        <v>1226.19</v>
      </c>
      <c r="D122" s="3093">
        <v>423.44</v>
      </c>
      <c r="F122" s="3093">
        <v>729.25</v>
      </c>
      <c r="G122" s="3093">
        <v>73.5</v>
      </c>
      <c r="H122" s="3198">
        <v>2</v>
      </c>
      <c r="I122" s="3198">
        <v>3</v>
      </c>
      <c r="J122" s="3093">
        <v>1</v>
      </c>
      <c r="K122" s="3093">
        <v>3</v>
      </c>
      <c r="O122" s="3093" t="s">
        <v>5303</v>
      </c>
      <c r="P122" s="3093">
        <v>1226.42</v>
      </c>
      <c r="Q122" s="3127">
        <v>0.5</v>
      </c>
      <c r="S122" s="3093">
        <f>清单!N2</f>
        <v>408.38</v>
      </c>
      <c r="T122" s="3093" t="s">
        <v>5528</v>
      </c>
    </row>
    <row r="123" spans="1:20" hidden="1">
      <c r="A123" s="3093" t="s">
        <v>5304</v>
      </c>
      <c r="B123" s="3093" t="s">
        <v>3067</v>
      </c>
      <c r="C123" s="3093">
        <f t="shared" ref="C123:C179" si="5">D123+E123+F123+G123</f>
        <v>2411.12</v>
      </c>
      <c r="D123" s="3093">
        <v>868.45</v>
      </c>
      <c r="F123" s="3093">
        <v>1346.67</v>
      </c>
      <c r="G123" s="3093">
        <v>196</v>
      </c>
      <c r="H123" s="3198">
        <v>2</v>
      </c>
      <c r="I123" s="3198">
        <v>3</v>
      </c>
      <c r="J123" s="3093">
        <v>1</v>
      </c>
      <c r="K123" s="3093">
        <v>8</v>
      </c>
      <c r="O123" s="3093" t="s">
        <v>5304</v>
      </c>
      <c r="P123" s="3093">
        <v>2409.16</v>
      </c>
      <c r="Q123" s="3127">
        <v>0.5</v>
      </c>
      <c r="S123" s="3093">
        <f>清单!N7</f>
        <v>2107.46</v>
      </c>
      <c r="T123" s="3197" t="s">
        <v>5527</v>
      </c>
    </row>
    <row r="124" spans="1:20" hidden="1">
      <c r="A124" s="3093" t="s">
        <v>5305</v>
      </c>
      <c r="B124" s="3093" t="s">
        <v>3067</v>
      </c>
      <c r="C124" s="3093">
        <f t="shared" si="5"/>
        <v>2411.12</v>
      </c>
      <c r="D124" s="3093">
        <v>868.45</v>
      </c>
      <c r="F124" s="3093">
        <v>1346.67</v>
      </c>
      <c r="G124" s="3093">
        <v>196</v>
      </c>
      <c r="H124" s="3198">
        <v>2</v>
      </c>
      <c r="I124" s="3198">
        <v>3</v>
      </c>
      <c r="J124" s="3093">
        <v>1</v>
      </c>
      <c r="K124" s="3093">
        <v>8</v>
      </c>
      <c r="O124" s="3093" t="s">
        <v>5305</v>
      </c>
      <c r="P124" s="3093">
        <v>2408.44</v>
      </c>
      <c r="Q124" s="3127">
        <v>0.5</v>
      </c>
      <c r="S124" s="3093">
        <f>清单!N42</f>
        <v>2108.1499999999996</v>
      </c>
      <c r="T124" s="3197" t="s">
        <v>5527</v>
      </c>
    </row>
    <row r="125" spans="1:20" hidden="1">
      <c r="A125" s="3093" t="s">
        <v>5306</v>
      </c>
      <c r="B125" s="3093" t="s">
        <v>3067</v>
      </c>
      <c r="C125" s="3093">
        <f t="shared" si="5"/>
        <v>2411.12</v>
      </c>
      <c r="D125" s="3093">
        <v>868.45</v>
      </c>
      <c r="F125" s="3093">
        <v>1346.67</v>
      </c>
      <c r="G125" s="3093">
        <v>196</v>
      </c>
      <c r="H125" s="3198">
        <v>2</v>
      </c>
      <c r="I125" s="3198">
        <v>3</v>
      </c>
      <c r="J125" s="3093">
        <v>1</v>
      </c>
      <c r="K125" s="3093">
        <v>8</v>
      </c>
      <c r="O125" s="3093" t="s">
        <v>5306</v>
      </c>
      <c r="P125" s="3093">
        <v>2408.44</v>
      </c>
      <c r="Q125" s="3127">
        <v>0.5</v>
      </c>
      <c r="S125" s="3093">
        <f>清单!N77</f>
        <v>2108.1499999999996</v>
      </c>
      <c r="T125" s="3197" t="s">
        <v>5527</v>
      </c>
    </row>
    <row r="126" spans="1:20" hidden="1">
      <c r="A126" s="3093" t="s">
        <v>5307</v>
      </c>
      <c r="B126" s="3093" t="s">
        <v>3067</v>
      </c>
      <c r="C126" s="3093">
        <f t="shared" si="5"/>
        <v>932.81</v>
      </c>
      <c r="D126" s="3093">
        <v>337.54</v>
      </c>
      <c r="F126" s="3093">
        <v>521.77</v>
      </c>
      <c r="G126" s="3093">
        <v>73.5</v>
      </c>
      <c r="H126" s="3198">
        <v>2</v>
      </c>
      <c r="I126" s="3198">
        <v>3</v>
      </c>
      <c r="J126" s="3093">
        <v>1</v>
      </c>
      <c r="K126" s="3093">
        <v>3</v>
      </c>
      <c r="O126" s="3093" t="s">
        <v>5307</v>
      </c>
      <c r="P126" s="3093">
        <v>931.81</v>
      </c>
      <c r="Q126" s="3127">
        <v>0.5</v>
      </c>
      <c r="S126" s="3093">
        <f>清单!N112</f>
        <v>622.04</v>
      </c>
      <c r="T126" s="3197" t="s">
        <v>5527</v>
      </c>
    </row>
    <row r="127" spans="1:20" hidden="1">
      <c r="A127" s="3093" t="s">
        <v>5308</v>
      </c>
      <c r="B127" s="3093" t="s">
        <v>3067</v>
      </c>
      <c r="C127" s="3093">
        <f t="shared" si="5"/>
        <v>1241.49</v>
      </c>
      <c r="D127" s="3093">
        <v>449.6</v>
      </c>
      <c r="F127" s="3093">
        <v>693.89</v>
      </c>
      <c r="G127" s="3093">
        <v>98</v>
      </c>
      <c r="H127" s="3198">
        <v>2</v>
      </c>
      <c r="I127" s="3198">
        <v>3</v>
      </c>
      <c r="J127" s="3093">
        <v>1</v>
      </c>
      <c r="K127" s="3093">
        <v>4</v>
      </c>
      <c r="O127" s="3093" t="s">
        <v>5308</v>
      </c>
      <c r="P127" s="3093">
        <v>1241.02</v>
      </c>
      <c r="Q127" s="3127">
        <v>0.5</v>
      </c>
      <c r="S127" s="3093">
        <f>清单!N122</f>
        <v>619.83000000000004</v>
      </c>
      <c r="T127" s="3197" t="s">
        <v>5527</v>
      </c>
    </row>
    <row r="128" spans="1:20" hidden="1">
      <c r="A128" s="3093" t="s">
        <v>5309</v>
      </c>
      <c r="B128" s="3093" t="s">
        <v>3067</v>
      </c>
      <c r="C128" s="3093">
        <f t="shared" si="5"/>
        <v>2411.12</v>
      </c>
      <c r="D128" s="3093">
        <v>868.45</v>
      </c>
      <c r="F128" s="3093">
        <v>1346.67</v>
      </c>
      <c r="G128" s="3093">
        <v>196</v>
      </c>
      <c r="H128" s="3198">
        <v>2</v>
      </c>
      <c r="I128" s="3198">
        <v>3</v>
      </c>
      <c r="J128" s="3093">
        <v>1</v>
      </c>
      <c r="K128" s="3093">
        <v>8</v>
      </c>
      <c r="O128" s="3093" t="s">
        <v>5309</v>
      </c>
      <c r="P128" s="3093">
        <v>2409.16</v>
      </c>
      <c r="Q128" s="3127">
        <v>0.5</v>
      </c>
      <c r="S128" s="3093">
        <f>清单!N132</f>
        <v>1204.58</v>
      </c>
      <c r="T128" s="3197" t="s">
        <v>5527</v>
      </c>
    </row>
    <row r="129" spans="1:22" hidden="1">
      <c r="A129" s="3093" t="s">
        <v>5310</v>
      </c>
      <c r="B129" s="3093" t="s">
        <v>3067</v>
      </c>
      <c r="C129" s="3093">
        <f t="shared" si="5"/>
        <v>2411.12</v>
      </c>
      <c r="D129" s="3093">
        <v>868.45</v>
      </c>
      <c r="F129" s="3093">
        <v>1346.67</v>
      </c>
      <c r="G129" s="3093">
        <v>196</v>
      </c>
      <c r="H129" s="3198">
        <v>2</v>
      </c>
      <c r="I129" s="3198">
        <v>3</v>
      </c>
      <c r="J129" s="3093">
        <v>1</v>
      </c>
      <c r="K129" s="3093">
        <v>8</v>
      </c>
      <c r="O129" s="3093" t="s">
        <v>5310</v>
      </c>
      <c r="P129" s="3093">
        <v>2408.44</v>
      </c>
      <c r="Q129" s="3127">
        <v>0.5</v>
      </c>
      <c r="S129" s="3093">
        <f>清单!N152</f>
        <v>903.93</v>
      </c>
      <c r="T129" s="3197" t="s">
        <v>5527</v>
      </c>
    </row>
    <row r="130" spans="1:22" hidden="1">
      <c r="A130" s="3093" t="s">
        <v>5311</v>
      </c>
      <c r="B130" s="3093" t="s">
        <v>3067</v>
      </c>
      <c r="C130" s="3093">
        <f t="shared" si="5"/>
        <v>2411.12</v>
      </c>
      <c r="D130" s="3093">
        <v>868.45</v>
      </c>
      <c r="F130" s="3093">
        <v>1346.67</v>
      </c>
      <c r="G130" s="3093">
        <v>196</v>
      </c>
      <c r="H130" s="3198">
        <v>2</v>
      </c>
      <c r="I130" s="3198">
        <v>3</v>
      </c>
      <c r="J130" s="3093">
        <v>1</v>
      </c>
      <c r="K130" s="3093">
        <v>8</v>
      </c>
      <c r="O130" s="3093" t="s">
        <v>5311</v>
      </c>
      <c r="P130" s="3093">
        <v>2409.16</v>
      </c>
      <c r="Q130" s="3127">
        <v>0.5</v>
      </c>
      <c r="S130" s="3093">
        <f>清单!N167</f>
        <v>902.88</v>
      </c>
      <c r="T130" s="3197" t="s">
        <v>5527</v>
      </c>
    </row>
    <row r="131" spans="1:22" hidden="1">
      <c r="A131" s="3093" t="s">
        <v>5312</v>
      </c>
      <c r="B131" s="3093" t="s">
        <v>3067</v>
      </c>
      <c r="C131" s="3093">
        <f t="shared" si="5"/>
        <v>2411.12</v>
      </c>
      <c r="D131" s="3093">
        <v>868.45</v>
      </c>
      <c r="F131" s="3093">
        <v>1346.67</v>
      </c>
      <c r="G131" s="3093">
        <v>196</v>
      </c>
      <c r="H131" s="3198">
        <v>2</v>
      </c>
      <c r="I131" s="3198">
        <v>3</v>
      </c>
      <c r="J131" s="3093">
        <v>1</v>
      </c>
      <c r="K131" s="3093">
        <v>8</v>
      </c>
      <c r="O131" s="3093" t="s">
        <v>5312</v>
      </c>
      <c r="P131" s="3093">
        <v>2408.44</v>
      </c>
      <c r="Q131" s="3127">
        <v>0.5</v>
      </c>
      <c r="S131" s="3093">
        <f>清单!N182</f>
        <v>1805.2199999999998</v>
      </c>
      <c r="T131" s="3197" t="s">
        <v>5527</v>
      </c>
    </row>
    <row r="132" spans="1:22" hidden="1">
      <c r="A132" s="3093" t="s">
        <v>5313</v>
      </c>
      <c r="B132" s="3093" t="s">
        <v>3067</v>
      </c>
      <c r="C132" s="3093">
        <f t="shared" si="5"/>
        <v>1632.62</v>
      </c>
      <c r="D132" s="3093">
        <v>564.07000000000005</v>
      </c>
      <c r="F132" s="3093">
        <v>970.55</v>
      </c>
      <c r="G132" s="3093">
        <v>98</v>
      </c>
      <c r="H132" s="3198">
        <v>2</v>
      </c>
      <c r="I132" s="3198">
        <v>3</v>
      </c>
      <c r="J132" s="3093">
        <v>1</v>
      </c>
      <c r="K132" s="3093">
        <v>4</v>
      </c>
      <c r="O132" s="3093" t="s">
        <v>5313</v>
      </c>
      <c r="P132" s="3093">
        <v>1632.96</v>
      </c>
      <c r="Q132" s="3127">
        <v>0.5</v>
      </c>
      <c r="S132" s="3093">
        <f>清单!N212</f>
        <v>1632.96</v>
      </c>
      <c r="T132" s="3197" t="s">
        <v>5527</v>
      </c>
    </row>
    <row r="133" spans="1:22" hidden="1">
      <c r="A133" s="3093" t="s">
        <v>5314</v>
      </c>
      <c r="B133" s="3093" t="s">
        <v>3067</v>
      </c>
      <c r="C133" s="3093">
        <f t="shared" si="5"/>
        <v>1632.62</v>
      </c>
      <c r="D133" s="3093">
        <v>564.07000000000005</v>
      </c>
      <c r="F133" s="3093">
        <v>970.55</v>
      </c>
      <c r="G133" s="3093">
        <v>98</v>
      </c>
      <c r="H133" s="3198">
        <v>2</v>
      </c>
      <c r="I133" s="3198">
        <v>3</v>
      </c>
      <c r="J133" s="3093">
        <v>1</v>
      </c>
      <c r="K133" s="3093">
        <v>4</v>
      </c>
      <c r="O133" s="3093" t="s">
        <v>5314</v>
      </c>
      <c r="P133" s="3093">
        <v>1632.57</v>
      </c>
      <c r="Q133" s="3093">
        <v>0</v>
      </c>
      <c r="S133" s="3093">
        <f>清单!N232</f>
        <v>1224.75</v>
      </c>
      <c r="T133" s="3093" t="s">
        <v>5515</v>
      </c>
      <c r="U133" s="3093" t="s">
        <v>5521</v>
      </c>
      <c r="V133" s="3181">
        <v>0.125</v>
      </c>
    </row>
    <row r="134" spans="1:22" hidden="1">
      <c r="A134" s="3093" t="s">
        <v>5315</v>
      </c>
      <c r="B134" s="3093" t="s">
        <v>3067</v>
      </c>
      <c r="C134" s="3093">
        <f t="shared" si="5"/>
        <v>2407.25</v>
      </c>
      <c r="D134" s="3093">
        <v>868.45</v>
      </c>
      <c r="F134" s="3093">
        <v>1342.8</v>
      </c>
      <c r="G134" s="3093">
        <v>196</v>
      </c>
      <c r="H134" s="3198">
        <v>2</v>
      </c>
      <c r="I134" s="3198">
        <v>3</v>
      </c>
      <c r="J134" s="3093">
        <v>1</v>
      </c>
      <c r="K134" s="3093">
        <v>8</v>
      </c>
      <c r="O134" s="3093" t="s">
        <v>5315</v>
      </c>
      <c r="P134" s="3093">
        <v>2405.2600000000002</v>
      </c>
      <c r="Q134" s="3093">
        <v>0</v>
      </c>
      <c r="S134" s="3093">
        <f>清单!N247</f>
        <v>2105.36</v>
      </c>
      <c r="T134" s="3190" t="s">
        <v>5515</v>
      </c>
      <c r="U134" s="3093">
        <v>0</v>
      </c>
    </row>
    <row r="135" spans="1:22" hidden="1">
      <c r="A135" s="3093" t="s">
        <v>5316</v>
      </c>
      <c r="B135" s="3093" t="s">
        <v>3067</v>
      </c>
      <c r="C135" s="3093">
        <f t="shared" si="5"/>
        <v>688.92000000000007</v>
      </c>
      <c r="D135" s="3093">
        <v>225.49</v>
      </c>
      <c r="F135" s="3093">
        <v>414.43</v>
      </c>
      <c r="G135" s="3093">
        <v>49</v>
      </c>
      <c r="H135" s="3198">
        <v>2</v>
      </c>
      <c r="I135" s="3198">
        <v>3</v>
      </c>
      <c r="J135" s="3093">
        <v>1</v>
      </c>
      <c r="K135" s="3093">
        <v>2</v>
      </c>
      <c r="O135" s="3093" t="s">
        <v>5316</v>
      </c>
      <c r="P135" s="3093">
        <v>683.85</v>
      </c>
      <c r="Q135" s="3093">
        <v>0</v>
      </c>
      <c r="S135" s="3093">
        <f>清单!N282</f>
        <v>683.84999999999991</v>
      </c>
      <c r="T135" s="3093" t="s">
        <v>5516</v>
      </c>
      <c r="U135" s="3093">
        <v>0</v>
      </c>
    </row>
    <row r="136" spans="1:22" hidden="1">
      <c r="A136" s="3093" t="s">
        <v>5317</v>
      </c>
      <c r="B136" s="3093" t="s">
        <v>3067</v>
      </c>
      <c r="C136" s="3093">
        <f t="shared" si="5"/>
        <v>1027.96</v>
      </c>
      <c r="D136" s="3093">
        <v>337.54</v>
      </c>
      <c r="F136" s="3093">
        <v>616.91999999999996</v>
      </c>
      <c r="G136" s="3093">
        <v>73.5</v>
      </c>
      <c r="H136" s="3198">
        <v>2</v>
      </c>
      <c r="I136" s="3198">
        <v>3</v>
      </c>
      <c r="J136" s="3093">
        <v>1</v>
      </c>
      <c r="K136" s="3093">
        <v>3</v>
      </c>
      <c r="O136" s="3093" t="s">
        <v>5317</v>
      </c>
      <c r="P136" s="3093">
        <v>1019.07</v>
      </c>
      <c r="Q136" s="3093">
        <v>0</v>
      </c>
      <c r="S136" s="3093">
        <f>清单!N292</f>
        <v>1019.0699999999999</v>
      </c>
      <c r="T136" s="3190" t="s">
        <v>5516</v>
      </c>
      <c r="U136" s="3093">
        <v>0</v>
      </c>
    </row>
    <row r="137" spans="1:22" hidden="1">
      <c r="A137" s="3093" t="s">
        <v>5318</v>
      </c>
      <c r="B137" s="3093" t="s">
        <v>3067</v>
      </c>
      <c r="C137" s="3093">
        <f t="shared" si="5"/>
        <v>1807.52</v>
      </c>
      <c r="D137" s="3093">
        <v>652</v>
      </c>
      <c r="F137" s="3093">
        <v>1008.52</v>
      </c>
      <c r="G137" s="3093">
        <v>147</v>
      </c>
      <c r="H137" s="3198">
        <v>2</v>
      </c>
      <c r="I137" s="3198">
        <v>3</v>
      </c>
      <c r="J137" s="3093">
        <v>1</v>
      </c>
      <c r="K137" s="3093">
        <v>6</v>
      </c>
      <c r="O137" s="3093" t="s">
        <v>5318</v>
      </c>
      <c r="P137" s="3093">
        <v>1806.88</v>
      </c>
      <c r="Q137" s="3093">
        <v>0</v>
      </c>
      <c r="S137" s="3093">
        <f>清单!N307</f>
        <v>1806.88</v>
      </c>
      <c r="T137" s="3190" t="s">
        <v>5516</v>
      </c>
      <c r="U137" s="3093">
        <v>0</v>
      </c>
    </row>
    <row r="138" spans="1:22" hidden="1">
      <c r="A138" s="3093" t="s">
        <v>5319</v>
      </c>
      <c r="B138" s="3093" t="s">
        <v>3067</v>
      </c>
      <c r="C138" s="3093">
        <f t="shared" si="5"/>
        <v>1207.9000000000001</v>
      </c>
      <c r="D138" s="3093">
        <v>435.55</v>
      </c>
      <c r="F138" s="3093">
        <v>674.35</v>
      </c>
      <c r="G138" s="3093">
        <v>98</v>
      </c>
      <c r="H138" s="3198">
        <v>2</v>
      </c>
      <c r="I138" s="3198">
        <v>3</v>
      </c>
      <c r="J138" s="3093">
        <v>1</v>
      </c>
      <c r="K138" s="3093">
        <v>4</v>
      </c>
      <c r="O138" s="3093" t="s">
        <v>5319</v>
      </c>
      <c r="P138" s="3093">
        <v>1206.08</v>
      </c>
      <c r="Q138" s="3093">
        <v>0</v>
      </c>
      <c r="S138" s="3093">
        <f>清单!N337</f>
        <v>1206.08</v>
      </c>
      <c r="T138" s="3190" t="s">
        <v>5516</v>
      </c>
      <c r="U138" s="3093">
        <v>0</v>
      </c>
    </row>
    <row r="139" spans="1:22" hidden="1">
      <c r="A139" s="3093" t="s">
        <v>5320</v>
      </c>
      <c r="B139" s="3093" t="s">
        <v>3067</v>
      </c>
      <c r="C139" s="3093">
        <f t="shared" si="5"/>
        <v>1516.65</v>
      </c>
      <c r="D139" s="3093">
        <v>547.6</v>
      </c>
      <c r="F139" s="3093">
        <v>846.55</v>
      </c>
      <c r="G139" s="3093">
        <v>122.5</v>
      </c>
      <c r="H139" s="3198">
        <v>2</v>
      </c>
      <c r="I139" s="3198">
        <v>3</v>
      </c>
      <c r="J139" s="3093">
        <v>1</v>
      </c>
      <c r="K139" s="3093">
        <v>5</v>
      </c>
      <c r="O139" s="3093" t="s">
        <v>5320</v>
      </c>
      <c r="P139" s="3093">
        <v>1515.42</v>
      </c>
      <c r="Q139" s="3193">
        <f>$V$133*U139</f>
        <v>0.125</v>
      </c>
      <c r="S139" s="3093">
        <f>清单!N357</f>
        <v>1515.42</v>
      </c>
      <c r="T139" s="3126" t="s">
        <v>5517</v>
      </c>
      <c r="U139" s="3093">
        <v>1</v>
      </c>
    </row>
    <row r="140" spans="1:22" hidden="1">
      <c r="A140" s="3093" t="s">
        <v>5321</v>
      </c>
      <c r="B140" s="3093" t="s">
        <v>3067</v>
      </c>
      <c r="C140" s="3093">
        <f t="shared" si="5"/>
        <v>1207.9000000000001</v>
      </c>
      <c r="D140" s="3093">
        <v>435.55</v>
      </c>
      <c r="F140" s="3093">
        <v>674.35</v>
      </c>
      <c r="G140" s="3093">
        <v>98</v>
      </c>
      <c r="H140" s="3198">
        <v>2</v>
      </c>
      <c r="I140" s="3198">
        <v>3</v>
      </c>
      <c r="J140" s="3093">
        <v>1</v>
      </c>
      <c r="K140" s="3093">
        <v>4</v>
      </c>
      <c r="O140" s="3093" t="s">
        <v>5321</v>
      </c>
      <c r="P140" s="3093">
        <v>1206.72</v>
      </c>
      <c r="Q140" s="3193">
        <f t="shared" ref="Q140:Q152" si="6">$V$133*U140</f>
        <v>0.125</v>
      </c>
      <c r="S140" s="3093">
        <f>清单!N382</f>
        <v>1206.72</v>
      </c>
      <c r="T140" s="3126" t="s">
        <v>5517</v>
      </c>
      <c r="U140" s="3093">
        <v>1</v>
      </c>
    </row>
    <row r="141" spans="1:22" hidden="1">
      <c r="A141" s="3093" t="s">
        <v>5322</v>
      </c>
      <c r="B141" s="3093" t="s">
        <v>3067</v>
      </c>
      <c r="C141" s="3093">
        <f t="shared" si="5"/>
        <v>1904.75</v>
      </c>
      <c r="D141" s="3093">
        <v>652</v>
      </c>
      <c r="F141" s="3093">
        <v>1105.75</v>
      </c>
      <c r="G141" s="3093">
        <v>147</v>
      </c>
      <c r="H141" s="3198">
        <v>2</v>
      </c>
      <c r="I141" s="3198">
        <v>3</v>
      </c>
      <c r="J141" s="3093">
        <v>1</v>
      </c>
      <c r="K141" s="3093">
        <v>6</v>
      </c>
      <c r="O141" s="3093" t="s">
        <v>5322</v>
      </c>
      <c r="P141" s="3093">
        <v>1903.42</v>
      </c>
      <c r="Q141" s="3193">
        <f t="shared" si="6"/>
        <v>0.125</v>
      </c>
      <c r="S141" s="3093">
        <f>清单!N402</f>
        <v>1903.4199999999998</v>
      </c>
      <c r="T141" s="3126" t="s">
        <v>5517</v>
      </c>
      <c r="U141" s="3093">
        <v>1</v>
      </c>
    </row>
    <row r="142" spans="1:22" hidden="1">
      <c r="A142" s="3093" t="s">
        <v>5323</v>
      </c>
      <c r="B142" s="3093" t="s">
        <v>3067</v>
      </c>
      <c r="C142" s="3093">
        <f t="shared" si="5"/>
        <v>1272.3499999999999</v>
      </c>
      <c r="D142" s="3093">
        <v>435.55</v>
      </c>
      <c r="F142" s="3093">
        <v>738.8</v>
      </c>
      <c r="G142" s="3093">
        <v>98</v>
      </c>
      <c r="H142" s="3198">
        <v>2</v>
      </c>
      <c r="I142" s="3198">
        <v>3</v>
      </c>
      <c r="J142" s="3093">
        <v>1</v>
      </c>
      <c r="K142" s="3093">
        <v>4</v>
      </c>
      <c r="O142" s="3093" t="s">
        <v>5323</v>
      </c>
      <c r="P142" s="3093">
        <v>1271.08</v>
      </c>
      <c r="Q142" s="3193">
        <f t="shared" si="6"/>
        <v>0.25</v>
      </c>
      <c r="S142" s="3093">
        <f>清单!N432</f>
        <v>1271.08</v>
      </c>
      <c r="T142" s="3128" t="s">
        <v>5518</v>
      </c>
      <c r="U142" s="3093">
        <v>2</v>
      </c>
    </row>
    <row r="143" spans="1:22" hidden="1">
      <c r="A143" s="3093" t="s">
        <v>5324</v>
      </c>
      <c r="B143" s="3093" t="s">
        <v>3067</v>
      </c>
      <c r="C143" s="3093">
        <f t="shared" si="5"/>
        <v>1207.9000000000001</v>
      </c>
      <c r="D143" s="3093">
        <v>435.55</v>
      </c>
      <c r="F143" s="3093">
        <v>674.35</v>
      </c>
      <c r="G143" s="3093">
        <v>98</v>
      </c>
      <c r="H143" s="3198">
        <v>2</v>
      </c>
      <c r="I143" s="3198">
        <v>3</v>
      </c>
      <c r="J143" s="3093">
        <v>1</v>
      </c>
      <c r="K143" s="3093">
        <v>4</v>
      </c>
      <c r="O143" s="3093" t="s">
        <v>5324</v>
      </c>
      <c r="P143" s="3093">
        <v>1206.08</v>
      </c>
      <c r="Q143" s="3193">
        <f t="shared" si="6"/>
        <v>0.375</v>
      </c>
      <c r="S143" s="3093">
        <f>清单!N452</f>
        <v>604.36</v>
      </c>
      <c r="T143" s="3194" t="s">
        <v>5519</v>
      </c>
      <c r="U143" s="3093">
        <v>3</v>
      </c>
    </row>
    <row r="144" spans="1:22" hidden="1">
      <c r="A144" s="3093" t="s">
        <v>5325</v>
      </c>
      <c r="B144" s="3093" t="s">
        <v>3067</v>
      </c>
      <c r="C144" s="3093">
        <f t="shared" si="5"/>
        <v>2407.25</v>
      </c>
      <c r="D144" s="3093">
        <v>868.45</v>
      </c>
      <c r="F144" s="3093">
        <v>1342.8</v>
      </c>
      <c r="G144" s="3093">
        <v>196</v>
      </c>
      <c r="H144" s="3198">
        <v>2</v>
      </c>
      <c r="I144" s="3198">
        <v>3</v>
      </c>
      <c r="J144" s="3093">
        <v>1</v>
      </c>
      <c r="K144" s="3093">
        <v>8</v>
      </c>
      <c r="O144" s="3093" t="s">
        <v>5325</v>
      </c>
      <c r="P144" s="3093">
        <v>2405.96</v>
      </c>
      <c r="Q144" s="3193">
        <f t="shared" si="6"/>
        <v>0.25</v>
      </c>
      <c r="S144" s="3093">
        <f>清单!N462</f>
        <v>602.59999999999991</v>
      </c>
      <c r="T144" s="3128" t="s">
        <v>5518</v>
      </c>
      <c r="U144" s="3093">
        <v>2</v>
      </c>
    </row>
    <row r="145" spans="1:21" hidden="1">
      <c r="A145" s="3093" t="s">
        <v>5326</v>
      </c>
      <c r="B145" s="3093" t="s">
        <v>3067</v>
      </c>
      <c r="C145" s="3093">
        <f t="shared" si="5"/>
        <v>2116.77</v>
      </c>
      <c r="D145" s="3093">
        <v>764.05</v>
      </c>
      <c r="F145" s="3093">
        <v>1181.22</v>
      </c>
      <c r="G145" s="3093">
        <v>171.5</v>
      </c>
      <c r="H145" s="3198">
        <v>2</v>
      </c>
      <c r="I145" s="3198">
        <v>3</v>
      </c>
      <c r="J145" s="3093">
        <v>1</v>
      </c>
      <c r="K145" s="3093">
        <v>7</v>
      </c>
      <c r="O145" s="3093" t="s">
        <v>5326</v>
      </c>
      <c r="P145" s="3093">
        <v>2115.65</v>
      </c>
      <c r="Q145" s="3193">
        <f t="shared" si="6"/>
        <v>0</v>
      </c>
      <c r="S145" s="3093">
        <f>清单!N472</f>
        <v>1510.04</v>
      </c>
      <c r="T145" s="3192" t="s">
        <v>5516</v>
      </c>
      <c r="U145" s="3093">
        <v>0</v>
      </c>
    </row>
    <row r="146" spans="1:21" hidden="1">
      <c r="A146" s="3093" t="s">
        <v>5327</v>
      </c>
      <c r="B146" s="3093" t="s">
        <v>3067</v>
      </c>
      <c r="C146" s="3093">
        <f t="shared" si="5"/>
        <v>1207.9000000000001</v>
      </c>
      <c r="D146" s="3093">
        <v>435.55</v>
      </c>
      <c r="F146" s="3093">
        <v>674.35</v>
      </c>
      <c r="G146" s="3093">
        <v>98</v>
      </c>
      <c r="H146" s="3198">
        <v>2</v>
      </c>
      <c r="I146" s="3198">
        <v>3</v>
      </c>
      <c r="J146" s="3093">
        <v>1</v>
      </c>
      <c r="K146" s="3093">
        <v>4</v>
      </c>
      <c r="O146" s="3093" t="s">
        <v>5327</v>
      </c>
      <c r="P146" s="3093">
        <v>1206.72</v>
      </c>
      <c r="Q146" s="3193">
        <f t="shared" si="6"/>
        <v>0.125</v>
      </c>
      <c r="S146" s="3093">
        <f>清单!N497</f>
        <v>301.02</v>
      </c>
      <c r="T146" s="3126" t="s">
        <v>5517</v>
      </c>
      <c r="U146" s="3093">
        <v>1</v>
      </c>
    </row>
    <row r="147" spans="1:21" hidden="1">
      <c r="A147" s="3093" t="s">
        <v>5328</v>
      </c>
      <c r="B147" s="3093" t="s">
        <v>3067</v>
      </c>
      <c r="C147" s="3093">
        <f t="shared" si="5"/>
        <v>1549.5900000000001</v>
      </c>
      <c r="D147" s="3093">
        <v>547.6</v>
      </c>
      <c r="F147" s="3093">
        <v>879.49</v>
      </c>
      <c r="G147" s="3093">
        <v>122.5</v>
      </c>
      <c r="H147" s="3198">
        <v>2</v>
      </c>
      <c r="I147" s="3198">
        <v>3</v>
      </c>
      <c r="J147" s="3093">
        <v>1</v>
      </c>
      <c r="K147" s="3093">
        <v>5</v>
      </c>
      <c r="O147" s="3093" t="s">
        <v>5328</v>
      </c>
      <c r="P147" s="3093">
        <v>1548.32</v>
      </c>
      <c r="Q147" s="3193">
        <f t="shared" si="6"/>
        <v>0.125</v>
      </c>
      <c r="S147" s="3093">
        <f>清单!N502</f>
        <v>927.82999999999993</v>
      </c>
      <c r="T147" s="3126" t="s">
        <v>5517</v>
      </c>
      <c r="U147" s="3093">
        <v>1</v>
      </c>
    </row>
    <row r="148" spans="1:21" hidden="1">
      <c r="A148" s="3093" t="s">
        <v>5329</v>
      </c>
      <c r="B148" s="3093" t="s">
        <v>3067</v>
      </c>
      <c r="C148" s="3093">
        <f t="shared" si="5"/>
        <v>1904.75</v>
      </c>
      <c r="D148" s="3093">
        <v>652</v>
      </c>
      <c r="F148" s="3093">
        <v>1105.75</v>
      </c>
      <c r="G148" s="3093">
        <v>147</v>
      </c>
      <c r="H148" s="3198">
        <v>2</v>
      </c>
      <c r="I148" s="3198">
        <v>3</v>
      </c>
      <c r="J148" s="3093">
        <v>1</v>
      </c>
      <c r="K148" s="3093">
        <v>6</v>
      </c>
      <c r="O148" s="3093" t="s">
        <v>5329</v>
      </c>
      <c r="P148" s="3093">
        <v>1904.28</v>
      </c>
      <c r="Q148" s="3193">
        <f t="shared" si="6"/>
        <v>0</v>
      </c>
      <c r="S148" s="3093">
        <f>清单!N517</f>
        <v>1904.2800000000002</v>
      </c>
      <c r="T148" s="3093" t="s">
        <v>5516</v>
      </c>
      <c r="U148" s="3093">
        <v>0</v>
      </c>
    </row>
    <row r="149" spans="1:21" hidden="1">
      <c r="A149" s="3093" t="s">
        <v>5330</v>
      </c>
      <c r="B149" s="3093" t="s">
        <v>3067</v>
      </c>
      <c r="C149" s="3093">
        <f t="shared" si="5"/>
        <v>1807.52</v>
      </c>
      <c r="D149" s="3093">
        <v>652</v>
      </c>
      <c r="F149" s="3093">
        <v>1008.52</v>
      </c>
      <c r="G149" s="3093">
        <v>147</v>
      </c>
      <c r="H149" s="3198">
        <v>2</v>
      </c>
      <c r="I149" s="3198">
        <v>3</v>
      </c>
      <c r="J149" s="3093">
        <v>1</v>
      </c>
      <c r="K149" s="3093">
        <v>6</v>
      </c>
      <c r="O149" s="3093" t="s">
        <v>5330</v>
      </c>
      <c r="P149" s="3093">
        <v>1806.88</v>
      </c>
      <c r="Q149" s="3193">
        <f t="shared" si="6"/>
        <v>0.375</v>
      </c>
      <c r="S149" s="3093">
        <f>清单!N547</f>
        <v>1203.8599999999999</v>
      </c>
      <c r="T149" s="3194" t="s">
        <v>5520</v>
      </c>
      <c r="U149" s="3093">
        <v>3</v>
      </c>
    </row>
    <row r="150" spans="1:21" hidden="1">
      <c r="A150" s="3093" t="s">
        <v>5331</v>
      </c>
      <c r="B150" s="3093" t="s">
        <v>3067</v>
      </c>
      <c r="C150" s="3093">
        <f t="shared" si="5"/>
        <v>1207.9000000000001</v>
      </c>
      <c r="D150" s="3093">
        <v>435.55</v>
      </c>
      <c r="F150" s="3093">
        <v>674.35</v>
      </c>
      <c r="G150" s="3093">
        <v>98</v>
      </c>
      <c r="H150" s="3198">
        <v>2</v>
      </c>
      <c r="I150" s="3198">
        <v>3</v>
      </c>
      <c r="J150" s="3093">
        <v>1</v>
      </c>
      <c r="K150" s="3093">
        <v>4</v>
      </c>
      <c r="O150" s="3093" t="s">
        <v>5331</v>
      </c>
      <c r="P150" s="3093">
        <v>1206.72</v>
      </c>
      <c r="Q150" s="3193">
        <f t="shared" si="6"/>
        <v>0.25</v>
      </c>
      <c r="S150" s="3093">
        <f>清单!N567</f>
        <v>301.02</v>
      </c>
      <c r="T150" s="3128" t="s">
        <v>5518</v>
      </c>
      <c r="U150" s="3093">
        <v>2</v>
      </c>
    </row>
    <row r="151" spans="1:21" hidden="1">
      <c r="A151" s="3093" t="s">
        <v>5332</v>
      </c>
      <c r="B151" s="3093" t="s">
        <v>3067</v>
      </c>
      <c r="C151" s="3093">
        <f t="shared" si="5"/>
        <v>1226.19</v>
      </c>
      <c r="D151" s="3093">
        <v>423.44</v>
      </c>
      <c r="F151" s="3093">
        <v>729.25</v>
      </c>
      <c r="G151" s="3093">
        <v>73.5</v>
      </c>
      <c r="H151" s="3198">
        <v>2</v>
      </c>
      <c r="I151" s="3198">
        <v>3</v>
      </c>
      <c r="J151" s="3093">
        <v>1</v>
      </c>
      <c r="K151" s="3093">
        <v>3</v>
      </c>
      <c r="O151" s="3093" t="s">
        <v>5332</v>
      </c>
      <c r="P151" s="3093">
        <v>1226.3399999999999</v>
      </c>
      <c r="Q151" s="3193">
        <f t="shared" si="6"/>
        <v>0.25</v>
      </c>
      <c r="S151" s="3093">
        <f>清单!N572</f>
        <v>1226.3400000000001</v>
      </c>
      <c r="T151" s="3128" t="s">
        <v>5518</v>
      </c>
      <c r="U151" s="3093">
        <v>2</v>
      </c>
    </row>
    <row r="152" spans="1:21" hidden="1">
      <c r="A152" s="3093" t="s">
        <v>5333</v>
      </c>
      <c r="B152" s="3093" t="s">
        <v>3067</v>
      </c>
      <c r="C152" s="3093">
        <f t="shared" si="5"/>
        <v>819.96</v>
      </c>
      <c r="D152" s="3093">
        <v>282.8</v>
      </c>
      <c r="F152" s="3093">
        <v>488.16</v>
      </c>
      <c r="G152" s="3093">
        <v>49</v>
      </c>
      <c r="H152" s="3198">
        <v>2</v>
      </c>
      <c r="I152" s="3198">
        <v>3</v>
      </c>
      <c r="J152" s="3093">
        <v>1</v>
      </c>
      <c r="K152" s="3093">
        <v>2</v>
      </c>
      <c r="O152" s="3093" t="s">
        <v>5333</v>
      </c>
      <c r="P152" s="3093">
        <v>820.09</v>
      </c>
      <c r="Q152" s="3193">
        <f t="shared" si="6"/>
        <v>0.25</v>
      </c>
      <c r="S152" s="3093">
        <f>清单!N587</f>
        <v>410.76</v>
      </c>
      <c r="T152" s="3128" t="s">
        <v>5518</v>
      </c>
      <c r="U152" s="3093">
        <v>2</v>
      </c>
    </row>
    <row r="153" spans="1:21" hidden="1">
      <c r="A153" s="3093" t="s">
        <v>5334</v>
      </c>
      <c r="B153" s="3093" t="s">
        <v>3067</v>
      </c>
      <c r="C153" s="3093">
        <f t="shared" si="5"/>
        <v>1226.19</v>
      </c>
      <c r="D153" s="3093">
        <v>423.44</v>
      </c>
      <c r="F153" s="3093">
        <v>729.25</v>
      </c>
      <c r="G153" s="3093">
        <v>73.5</v>
      </c>
      <c r="H153" s="3198">
        <v>2</v>
      </c>
      <c r="I153" s="3198">
        <v>3</v>
      </c>
      <c r="J153" s="3093">
        <v>1</v>
      </c>
      <c r="K153" s="3093">
        <v>3</v>
      </c>
      <c r="O153" s="3093" t="s">
        <v>5334</v>
      </c>
      <c r="P153" s="3093">
        <v>1225.07</v>
      </c>
      <c r="Q153" s="3127">
        <v>0.5</v>
      </c>
      <c r="S153" s="3093">
        <f>清单!N592</f>
        <v>817.14</v>
      </c>
      <c r="T153" s="3190" t="s">
        <v>5528</v>
      </c>
    </row>
    <row r="154" spans="1:21" hidden="1">
      <c r="A154" s="3093" t="s">
        <v>5335</v>
      </c>
      <c r="B154" s="3093" t="s">
        <v>3067</v>
      </c>
      <c r="C154" s="3093">
        <f t="shared" si="5"/>
        <v>1807.52</v>
      </c>
      <c r="D154" s="3093">
        <v>652</v>
      </c>
      <c r="F154" s="3093">
        <v>1008.52</v>
      </c>
      <c r="G154" s="3093">
        <v>147</v>
      </c>
      <c r="H154" s="3198">
        <v>2</v>
      </c>
      <c r="I154" s="3198">
        <v>3</v>
      </c>
      <c r="J154" s="3093">
        <v>1</v>
      </c>
      <c r="K154" s="3093">
        <v>6</v>
      </c>
      <c r="O154" s="3093" t="s">
        <v>5335</v>
      </c>
      <c r="P154" s="3093">
        <v>1805.66</v>
      </c>
      <c r="Q154" s="3127">
        <v>0.5</v>
      </c>
      <c r="S154" s="3093">
        <f>清单!N602</f>
        <v>1805.66</v>
      </c>
      <c r="T154" s="3197" t="s">
        <v>5528</v>
      </c>
    </row>
    <row r="155" spans="1:21" hidden="1">
      <c r="A155" s="3093" t="s">
        <v>5336</v>
      </c>
      <c r="B155" s="3093" t="s">
        <v>3067</v>
      </c>
      <c r="C155" s="3093">
        <f t="shared" si="5"/>
        <v>1369.02</v>
      </c>
      <c r="D155" s="3093">
        <v>449.6</v>
      </c>
      <c r="F155" s="3093">
        <v>821.42</v>
      </c>
      <c r="G155" s="3093">
        <v>98</v>
      </c>
      <c r="H155" s="3198">
        <v>2</v>
      </c>
      <c r="I155" s="3198">
        <v>3</v>
      </c>
      <c r="J155" s="3093">
        <v>1</v>
      </c>
      <c r="K155" s="3093">
        <v>4</v>
      </c>
      <c r="O155" s="3093" t="s">
        <v>5336</v>
      </c>
      <c r="P155" s="3093">
        <v>1365.46</v>
      </c>
      <c r="Q155" s="3127">
        <v>0.5</v>
      </c>
      <c r="S155" s="3093">
        <f>清单!N632</f>
        <v>1365.46</v>
      </c>
      <c r="T155" s="3197" t="s">
        <v>5528</v>
      </c>
    </row>
    <row r="156" spans="1:21" hidden="1">
      <c r="A156" s="3093" t="s">
        <v>5337</v>
      </c>
      <c r="B156" s="3093" t="s">
        <v>3067</v>
      </c>
      <c r="C156" s="3093">
        <f t="shared" si="5"/>
        <v>3039.07</v>
      </c>
      <c r="D156" s="3093">
        <v>1084.9000000000001</v>
      </c>
      <c r="F156" s="3093">
        <v>1709.17</v>
      </c>
      <c r="G156" s="3093">
        <v>245</v>
      </c>
      <c r="H156" s="3198">
        <v>2</v>
      </c>
      <c r="I156" s="3198">
        <v>3</v>
      </c>
      <c r="J156" s="3093">
        <v>1</v>
      </c>
      <c r="K156" s="3093">
        <v>10</v>
      </c>
      <c r="O156" s="3093" t="s">
        <v>5337</v>
      </c>
      <c r="P156" s="3093">
        <v>3037.24</v>
      </c>
      <c r="Q156" s="3127">
        <v>0.5</v>
      </c>
      <c r="S156" s="3093">
        <f>清单!N652</f>
        <v>2734.2300000000005</v>
      </c>
      <c r="T156" s="3197" t="s">
        <v>5528</v>
      </c>
    </row>
    <row r="157" spans="1:21" hidden="1">
      <c r="A157" s="3093" t="s">
        <v>5338</v>
      </c>
      <c r="B157" s="3093" t="s">
        <v>3067</v>
      </c>
      <c r="C157" s="3093">
        <f t="shared" si="5"/>
        <v>2720.66</v>
      </c>
      <c r="D157" s="3093">
        <v>981.76</v>
      </c>
      <c r="F157" s="3093">
        <v>1518.4</v>
      </c>
      <c r="G157" s="3093">
        <v>220.5</v>
      </c>
      <c r="H157" s="3198">
        <v>2</v>
      </c>
      <c r="I157" s="3198">
        <v>3</v>
      </c>
      <c r="J157" s="3093">
        <v>1</v>
      </c>
      <c r="K157" s="3093">
        <v>9</v>
      </c>
      <c r="O157" s="3093" t="s">
        <v>5338</v>
      </c>
      <c r="P157" s="3093">
        <v>2720.11</v>
      </c>
      <c r="Q157" s="3127">
        <v>0.5</v>
      </c>
      <c r="S157" s="3093">
        <f>清单!N697</f>
        <v>1814.4299999999998</v>
      </c>
      <c r="T157" s="3197" t="s">
        <v>5528</v>
      </c>
    </row>
    <row r="158" spans="1:21" hidden="1">
      <c r="A158" s="3093" t="s">
        <v>5339</v>
      </c>
      <c r="B158" s="3093" t="s">
        <v>3067</v>
      </c>
      <c r="C158" s="3093">
        <f t="shared" si="5"/>
        <v>3006.77</v>
      </c>
      <c r="D158" s="3093">
        <v>1084.9000000000001</v>
      </c>
      <c r="F158" s="3093">
        <v>1676.87</v>
      </c>
      <c r="G158" s="3093">
        <v>245</v>
      </c>
      <c r="H158" s="3198">
        <v>2</v>
      </c>
      <c r="I158" s="3198">
        <v>3</v>
      </c>
      <c r="J158" s="3093">
        <v>1</v>
      </c>
      <c r="K158" s="3093">
        <v>10</v>
      </c>
      <c r="O158" s="3093" t="s">
        <v>5339</v>
      </c>
      <c r="P158" s="3093">
        <v>3004.8</v>
      </c>
      <c r="Q158" s="3127">
        <v>0.5</v>
      </c>
      <c r="S158" s="3093">
        <f>清单!N727</f>
        <v>2716.55</v>
      </c>
      <c r="T158" s="3197" t="s">
        <v>5528</v>
      </c>
    </row>
    <row r="159" spans="1:21" hidden="1">
      <c r="A159" s="3093" t="s">
        <v>5340</v>
      </c>
      <c r="B159" s="3093" t="s">
        <v>3067</v>
      </c>
      <c r="C159" s="3093">
        <f t="shared" si="5"/>
        <v>1904.75</v>
      </c>
      <c r="D159" s="3093">
        <v>652</v>
      </c>
      <c r="F159" s="3093">
        <v>1105.75</v>
      </c>
      <c r="G159" s="3093">
        <v>147</v>
      </c>
      <c r="H159" s="3198">
        <v>2</v>
      </c>
      <c r="I159" s="3198">
        <v>3</v>
      </c>
      <c r="J159" s="3093">
        <v>1</v>
      </c>
      <c r="K159" s="3093">
        <v>6</v>
      </c>
      <c r="O159" s="3093" t="s">
        <v>5340</v>
      </c>
      <c r="P159" s="3093">
        <v>1904.62</v>
      </c>
      <c r="Q159" s="3127">
        <v>0.5</v>
      </c>
      <c r="S159" s="3093">
        <f>清单!N772</f>
        <v>1904.6200000000003</v>
      </c>
      <c r="T159" s="3197" t="s">
        <v>5528</v>
      </c>
    </row>
    <row r="160" spans="1:21" hidden="1">
      <c r="A160" s="3093" t="s">
        <v>5341</v>
      </c>
      <c r="B160" s="3093" t="s">
        <v>3067</v>
      </c>
      <c r="C160" s="3093">
        <f t="shared" si="5"/>
        <v>1872.39</v>
      </c>
      <c r="D160" s="3093">
        <v>652</v>
      </c>
      <c r="F160" s="3093">
        <v>1073.3900000000001</v>
      </c>
      <c r="G160" s="3093">
        <v>147</v>
      </c>
      <c r="H160" s="3198">
        <v>2</v>
      </c>
      <c r="I160" s="3198">
        <v>3</v>
      </c>
      <c r="J160" s="3093">
        <v>1</v>
      </c>
      <c r="K160" s="3093">
        <v>6</v>
      </c>
      <c r="O160" s="3093" t="s">
        <v>5341</v>
      </c>
      <c r="P160" s="3093">
        <v>1872.58</v>
      </c>
      <c r="Q160" s="3127">
        <v>0.5</v>
      </c>
      <c r="S160" s="3093">
        <f>清单!N802</f>
        <v>1872.58</v>
      </c>
      <c r="T160" s="3197" t="s">
        <v>5528</v>
      </c>
    </row>
    <row r="161" spans="1:20" hidden="1">
      <c r="A161" s="3093" t="s">
        <v>5342</v>
      </c>
      <c r="B161" s="3093" t="s">
        <v>3067</v>
      </c>
      <c r="C161" s="3093">
        <f t="shared" si="5"/>
        <v>1807.52</v>
      </c>
      <c r="D161" s="3093">
        <v>652</v>
      </c>
      <c r="F161" s="3093">
        <v>1008.52</v>
      </c>
      <c r="G161" s="3093">
        <v>147</v>
      </c>
      <c r="H161" s="3198">
        <v>2</v>
      </c>
      <c r="I161" s="3198">
        <v>3</v>
      </c>
      <c r="J161" s="3093">
        <v>1</v>
      </c>
      <c r="K161" s="3093">
        <v>6</v>
      </c>
      <c r="O161" s="3093" t="s">
        <v>5342</v>
      </c>
      <c r="P161" s="3093">
        <v>1807.56</v>
      </c>
      <c r="Q161" s="3127">
        <v>0.5</v>
      </c>
      <c r="S161" s="3093">
        <f>清单!N832</f>
        <v>1807.56</v>
      </c>
      <c r="T161" s="3197" t="s">
        <v>5528</v>
      </c>
    </row>
    <row r="162" spans="1:20" hidden="1">
      <c r="A162" s="3093" t="s">
        <v>5343</v>
      </c>
      <c r="B162" s="3093" t="s">
        <v>3067</v>
      </c>
      <c r="C162" s="3093">
        <f t="shared" si="5"/>
        <v>1516.26</v>
      </c>
      <c r="D162" s="3093">
        <v>547.6</v>
      </c>
      <c r="F162" s="3093">
        <v>846.16</v>
      </c>
      <c r="G162" s="3093">
        <v>122.5</v>
      </c>
      <c r="H162" s="3198">
        <v>2</v>
      </c>
      <c r="I162" s="3198">
        <v>3</v>
      </c>
      <c r="J162" s="3093">
        <v>1</v>
      </c>
      <c r="K162" s="3093">
        <v>5</v>
      </c>
      <c r="O162" s="3093" t="s">
        <v>5343</v>
      </c>
      <c r="P162" s="3093">
        <v>1515.36</v>
      </c>
      <c r="Q162" s="3127">
        <v>0.5</v>
      </c>
      <c r="S162" s="3093">
        <f>清单!N862</f>
        <v>1515.3600000000001</v>
      </c>
      <c r="T162" s="3197" t="s">
        <v>5528</v>
      </c>
    </row>
    <row r="163" spans="1:20" hidden="1">
      <c r="A163" s="3093" t="s">
        <v>5344</v>
      </c>
      <c r="B163" s="3093" t="s">
        <v>3067</v>
      </c>
      <c r="C163" s="3093">
        <f t="shared" si="5"/>
        <v>1807.52</v>
      </c>
      <c r="D163" s="3093">
        <v>652</v>
      </c>
      <c r="F163" s="3093">
        <v>1008.52</v>
      </c>
      <c r="G163" s="3093">
        <v>147</v>
      </c>
      <c r="H163" s="3198">
        <v>2</v>
      </c>
      <c r="I163" s="3198">
        <v>3</v>
      </c>
      <c r="J163" s="3093">
        <v>1</v>
      </c>
      <c r="K163" s="3093">
        <v>6</v>
      </c>
      <c r="O163" s="3093" t="s">
        <v>5344</v>
      </c>
      <c r="P163" s="3093">
        <v>1806.28</v>
      </c>
      <c r="Q163" s="3127">
        <v>0.5</v>
      </c>
      <c r="S163" s="3093">
        <f>清单!N887</f>
        <v>1806.2800000000002</v>
      </c>
      <c r="T163" s="3197" t="s">
        <v>5528</v>
      </c>
    </row>
    <row r="164" spans="1:20" hidden="1">
      <c r="A164" s="3093" t="s">
        <v>5345</v>
      </c>
      <c r="B164" s="3093" t="s">
        <v>3067</v>
      </c>
      <c r="C164" s="3093">
        <f t="shared" si="5"/>
        <v>1807.52</v>
      </c>
      <c r="D164" s="3093">
        <v>652</v>
      </c>
      <c r="F164" s="3093">
        <v>1008.52</v>
      </c>
      <c r="G164" s="3093">
        <v>147</v>
      </c>
      <c r="H164" s="3198">
        <v>2</v>
      </c>
      <c r="I164" s="3198">
        <v>3</v>
      </c>
      <c r="J164" s="3093">
        <v>1</v>
      </c>
      <c r="K164" s="3093">
        <v>6</v>
      </c>
      <c r="O164" s="3093" t="s">
        <v>5345</v>
      </c>
      <c r="P164" s="3093">
        <v>1805.66</v>
      </c>
      <c r="Q164" s="3127">
        <v>0.5</v>
      </c>
      <c r="S164" s="3093">
        <f>清单!N917</f>
        <v>1805.66</v>
      </c>
      <c r="T164" s="3197" t="s">
        <v>5528</v>
      </c>
    </row>
    <row r="165" spans="1:20" hidden="1">
      <c r="A165" s="3093" t="s">
        <v>5346</v>
      </c>
      <c r="B165" s="3093" t="s">
        <v>3067</v>
      </c>
      <c r="C165" s="3093">
        <f t="shared" si="5"/>
        <v>1807.52</v>
      </c>
      <c r="D165" s="3093">
        <v>652</v>
      </c>
      <c r="F165" s="3093">
        <v>1008.52</v>
      </c>
      <c r="G165" s="3093">
        <v>147</v>
      </c>
      <c r="H165" s="3198">
        <v>2</v>
      </c>
      <c r="I165" s="3198">
        <v>3</v>
      </c>
      <c r="J165" s="3093">
        <v>1</v>
      </c>
      <c r="K165" s="3093">
        <v>6</v>
      </c>
      <c r="O165" s="3093" t="s">
        <v>5346</v>
      </c>
      <c r="P165" s="3093">
        <v>1806.88</v>
      </c>
      <c r="Q165" s="3127">
        <v>0.5</v>
      </c>
      <c r="S165" s="3093">
        <f>清单!N947</f>
        <v>1806.88</v>
      </c>
      <c r="T165" s="3197" t="s">
        <v>5528</v>
      </c>
    </row>
    <row r="166" spans="1:20" hidden="1">
      <c r="A166" s="3093" t="s">
        <v>5347</v>
      </c>
      <c r="B166" s="3093" t="s">
        <v>3067</v>
      </c>
      <c r="C166" s="3093">
        <f t="shared" si="5"/>
        <v>1516.65</v>
      </c>
      <c r="D166" s="3093">
        <v>547.6</v>
      </c>
      <c r="F166" s="3093">
        <v>846.55</v>
      </c>
      <c r="G166" s="3093">
        <v>122.5</v>
      </c>
      <c r="H166" s="3198">
        <v>2</v>
      </c>
      <c r="I166" s="3198">
        <v>3</v>
      </c>
      <c r="J166" s="3093">
        <v>1</v>
      </c>
      <c r="K166" s="3093">
        <v>5</v>
      </c>
      <c r="O166" s="3093" t="s">
        <v>5347</v>
      </c>
      <c r="P166" s="3093">
        <v>1514.63</v>
      </c>
      <c r="Q166" s="3127">
        <v>0.5</v>
      </c>
      <c r="S166" s="3093">
        <f>清单!N977</f>
        <v>1514.63</v>
      </c>
      <c r="T166" s="3197" t="s">
        <v>5528</v>
      </c>
    </row>
    <row r="167" spans="1:20" hidden="1">
      <c r="A167" s="3093" t="s">
        <v>5348</v>
      </c>
      <c r="B167" s="3093" t="s">
        <v>3067</v>
      </c>
      <c r="C167" s="3093">
        <f t="shared" si="5"/>
        <v>1632.62</v>
      </c>
      <c r="D167" s="3093">
        <v>564.07000000000005</v>
      </c>
      <c r="F167" s="3093">
        <v>970.55</v>
      </c>
      <c r="G167" s="3093">
        <v>98</v>
      </c>
      <c r="H167" s="3198">
        <v>2</v>
      </c>
      <c r="I167" s="3198">
        <v>3</v>
      </c>
      <c r="J167" s="3093">
        <v>1</v>
      </c>
      <c r="K167" s="3093">
        <v>4</v>
      </c>
      <c r="O167" s="3093" t="s">
        <v>5348</v>
      </c>
      <c r="P167" s="3093">
        <v>1632.92</v>
      </c>
      <c r="Q167" s="3127">
        <v>0.5</v>
      </c>
      <c r="S167" s="3093">
        <f>清单!N1002</f>
        <v>1632.92</v>
      </c>
      <c r="T167" s="3197" t="s">
        <v>5528</v>
      </c>
    </row>
    <row r="168" spans="1:20" hidden="1">
      <c r="A168" s="3093" t="s">
        <v>5349</v>
      </c>
      <c r="B168" s="3093" t="s">
        <v>3067</v>
      </c>
      <c r="C168" s="3093">
        <f t="shared" si="5"/>
        <v>1632.62</v>
      </c>
      <c r="D168" s="3093">
        <v>564.07000000000005</v>
      </c>
      <c r="F168" s="3093">
        <v>970.55</v>
      </c>
      <c r="G168" s="3093">
        <v>98</v>
      </c>
      <c r="H168" s="3198">
        <v>2</v>
      </c>
      <c r="I168" s="3198">
        <v>3</v>
      </c>
      <c r="J168" s="3093">
        <v>1</v>
      </c>
      <c r="K168" s="3093">
        <v>4</v>
      </c>
      <c r="O168" s="3093" t="s">
        <v>5349</v>
      </c>
      <c r="P168" s="3093">
        <v>1632.92</v>
      </c>
      <c r="Q168" s="3127">
        <v>0.5</v>
      </c>
      <c r="S168" s="3093">
        <f>清单!N1022</f>
        <v>1632.92</v>
      </c>
      <c r="T168" s="3197" t="s">
        <v>5528</v>
      </c>
    </row>
    <row r="169" spans="1:20" hidden="1">
      <c r="A169" s="3093" t="s">
        <v>5350</v>
      </c>
      <c r="B169" s="3093" t="s">
        <v>3067</v>
      </c>
      <c r="C169" s="3093">
        <f t="shared" si="5"/>
        <v>2407.25</v>
      </c>
      <c r="D169" s="3093">
        <v>868.45</v>
      </c>
      <c r="F169" s="3093">
        <v>1342.8</v>
      </c>
      <c r="G169" s="3093">
        <v>196</v>
      </c>
      <c r="H169" s="3198">
        <v>2</v>
      </c>
      <c r="I169" s="3198">
        <v>3</v>
      </c>
      <c r="J169" s="3093">
        <v>1</v>
      </c>
      <c r="K169" s="3093">
        <v>8</v>
      </c>
      <c r="O169" s="3093" t="s">
        <v>5350</v>
      </c>
      <c r="P169" s="3093">
        <v>2405.2600000000002</v>
      </c>
      <c r="Q169" s="3127">
        <v>0.5</v>
      </c>
      <c r="S169" s="3093">
        <f>清单!N1042</f>
        <v>1804.6000000000001</v>
      </c>
      <c r="T169" s="3197" t="s">
        <v>5528</v>
      </c>
    </row>
    <row r="170" spans="1:20" hidden="1">
      <c r="A170" s="3093" t="s">
        <v>5351</v>
      </c>
      <c r="B170" s="3093" t="s">
        <v>3067</v>
      </c>
      <c r="C170" s="3093">
        <f t="shared" si="5"/>
        <v>2407.25</v>
      </c>
      <c r="D170" s="3093">
        <v>868.45</v>
      </c>
      <c r="F170" s="3093">
        <v>1342.8</v>
      </c>
      <c r="G170" s="3093">
        <v>196</v>
      </c>
      <c r="H170" s="3198">
        <v>2</v>
      </c>
      <c r="I170" s="3198">
        <v>3</v>
      </c>
      <c r="J170" s="3093">
        <v>1</v>
      </c>
      <c r="K170" s="3093">
        <v>8</v>
      </c>
      <c r="O170" s="3093" t="s">
        <v>5351</v>
      </c>
      <c r="P170" s="3093">
        <v>2406.52</v>
      </c>
      <c r="Q170" s="3127">
        <v>0.5</v>
      </c>
      <c r="S170" s="3093">
        <f>清单!N1072+清单!N1377</f>
        <v>1806.42</v>
      </c>
      <c r="T170" s="3197" t="s">
        <v>5528</v>
      </c>
    </row>
    <row r="171" spans="1:20" hidden="1">
      <c r="A171" s="3093" t="s">
        <v>5352</v>
      </c>
      <c r="B171" s="3093" t="s">
        <v>3067</v>
      </c>
      <c r="C171" s="3093">
        <f t="shared" si="5"/>
        <v>2121.0500000000002</v>
      </c>
      <c r="D171" s="3093">
        <v>765.31</v>
      </c>
      <c r="F171" s="3093">
        <v>1184.24</v>
      </c>
      <c r="G171" s="3093">
        <v>171.5</v>
      </c>
      <c r="H171" s="3198">
        <v>2</v>
      </c>
      <c r="I171" s="3198">
        <v>3</v>
      </c>
      <c r="J171" s="3093">
        <v>1</v>
      </c>
      <c r="K171" s="3093">
        <v>7</v>
      </c>
      <c r="O171" s="3093" t="s">
        <v>5352</v>
      </c>
      <c r="P171" s="3093">
        <v>2116.85</v>
      </c>
      <c r="Q171" s="3127">
        <v>0.5</v>
      </c>
      <c r="S171" s="3093">
        <f>清单!N1097</f>
        <v>2116.85</v>
      </c>
      <c r="T171" s="3197" t="s">
        <v>5528</v>
      </c>
    </row>
    <row r="172" spans="1:20" hidden="1">
      <c r="A172" s="3093" t="s">
        <v>5353</v>
      </c>
      <c r="B172" s="3093" t="s">
        <v>3067</v>
      </c>
      <c r="C172" s="3093">
        <f t="shared" si="5"/>
        <v>2536.59</v>
      </c>
      <c r="D172" s="3093">
        <v>868.45</v>
      </c>
      <c r="F172" s="3093">
        <v>1472.14</v>
      </c>
      <c r="G172" s="3093">
        <v>196</v>
      </c>
      <c r="H172" s="3198">
        <v>2</v>
      </c>
      <c r="I172" s="3198">
        <v>3</v>
      </c>
      <c r="J172" s="3093">
        <v>1</v>
      </c>
      <c r="K172" s="3093">
        <v>8</v>
      </c>
      <c r="O172" s="3093" t="s">
        <v>5353</v>
      </c>
      <c r="P172" s="3093">
        <v>2536.9</v>
      </c>
      <c r="Q172" s="3127">
        <v>0.5</v>
      </c>
      <c r="S172" s="3093">
        <f>清单!N1132</f>
        <v>2536.8999999999996</v>
      </c>
      <c r="T172" s="3197" t="s">
        <v>5528</v>
      </c>
    </row>
    <row r="173" spans="1:20" hidden="1">
      <c r="A173" s="3093" t="s">
        <v>5354</v>
      </c>
      <c r="B173" s="3093" t="s">
        <v>3067</v>
      </c>
      <c r="C173" s="3093">
        <f t="shared" si="5"/>
        <v>2407.25</v>
      </c>
      <c r="D173" s="3093">
        <v>868.45</v>
      </c>
      <c r="F173" s="3093">
        <v>1342.8</v>
      </c>
      <c r="G173" s="3093">
        <v>196</v>
      </c>
      <c r="H173" s="3198">
        <v>2</v>
      </c>
      <c r="I173" s="3198">
        <v>3</v>
      </c>
      <c r="J173" s="3093">
        <v>1</v>
      </c>
      <c r="K173" s="3093">
        <v>8</v>
      </c>
      <c r="O173" s="3093" t="s">
        <v>5354</v>
      </c>
      <c r="P173" s="3093">
        <v>2405.2600000000002</v>
      </c>
      <c r="Q173" s="3127">
        <v>0.5</v>
      </c>
      <c r="S173" s="3093">
        <f>清单!N1172</f>
        <v>2405.2600000000002</v>
      </c>
      <c r="T173" s="3197" t="s">
        <v>5528</v>
      </c>
    </row>
    <row r="174" spans="1:20" hidden="1">
      <c r="A174" s="3093" t="s">
        <v>5355</v>
      </c>
      <c r="B174" s="3093" t="s">
        <v>3067</v>
      </c>
      <c r="C174" s="3093">
        <f t="shared" si="5"/>
        <v>2407.25</v>
      </c>
      <c r="D174" s="3093">
        <v>868.45</v>
      </c>
      <c r="F174" s="3093">
        <v>1342.8</v>
      </c>
      <c r="G174" s="3093">
        <v>196</v>
      </c>
      <c r="H174" s="3198">
        <v>2</v>
      </c>
      <c r="I174" s="3198">
        <v>3</v>
      </c>
      <c r="J174" s="3093">
        <v>1</v>
      </c>
      <c r="K174" s="3093">
        <v>8</v>
      </c>
      <c r="O174" s="3093" t="s">
        <v>5355</v>
      </c>
      <c r="P174" s="3093">
        <v>2406.86</v>
      </c>
      <c r="Q174" s="3127">
        <v>0.5</v>
      </c>
      <c r="S174" s="3093">
        <f>清单!N1212</f>
        <v>2406.86</v>
      </c>
      <c r="T174" s="3197" t="s">
        <v>5528</v>
      </c>
    </row>
    <row r="175" spans="1:20" hidden="1">
      <c r="A175" s="3093" t="s">
        <v>5356</v>
      </c>
      <c r="B175" s="3093" t="s">
        <v>3067</v>
      </c>
      <c r="C175" s="3093">
        <f t="shared" si="5"/>
        <v>2121.0500000000002</v>
      </c>
      <c r="D175" s="3093">
        <v>765.31</v>
      </c>
      <c r="F175" s="3093">
        <v>1184.24</v>
      </c>
      <c r="G175" s="3093">
        <v>171.5</v>
      </c>
      <c r="H175" s="3198">
        <v>2</v>
      </c>
      <c r="I175" s="3198">
        <v>3</v>
      </c>
      <c r="J175" s="3093">
        <v>1</v>
      </c>
      <c r="K175" s="3093">
        <v>7</v>
      </c>
      <c r="O175" s="3093" t="s">
        <v>5356</v>
      </c>
      <c r="P175" s="3093">
        <v>2119.63</v>
      </c>
      <c r="Q175" s="3127">
        <v>0.5</v>
      </c>
      <c r="S175" s="3093">
        <f>清单!N1252</f>
        <v>2119.63</v>
      </c>
      <c r="T175" s="3197" t="s">
        <v>5528</v>
      </c>
    </row>
    <row r="176" spans="1:20" hidden="1">
      <c r="A176" s="3093" t="s">
        <v>5357</v>
      </c>
      <c r="B176" s="3093" t="s">
        <v>3067</v>
      </c>
      <c r="C176" s="3093">
        <f t="shared" si="5"/>
        <v>1239.5</v>
      </c>
      <c r="D176" s="3093">
        <v>449.6</v>
      </c>
      <c r="F176" s="3093">
        <v>691.9</v>
      </c>
      <c r="G176" s="3093">
        <v>98</v>
      </c>
      <c r="H176" s="3198">
        <v>2</v>
      </c>
      <c r="I176" s="3198">
        <v>3</v>
      </c>
      <c r="J176" s="3093">
        <v>1</v>
      </c>
      <c r="K176" s="3093">
        <v>4</v>
      </c>
      <c r="O176" s="3093" t="s">
        <v>5357</v>
      </c>
      <c r="P176" s="3093">
        <v>1233.82</v>
      </c>
      <c r="Q176" s="3127">
        <v>0.5</v>
      </c>
      <c r="S176" s="3093">
        <f>清单!N1287</f>
        <v>1233.82</v>
      </c>
      <c r="T176" s="3197" t="s">
        <v>5528</v>
      </c>
    </row>
    <row r="177" spans="1:23" hidden="1">
      <c r="A177" s="3093" t="s">
        <v>5358</v>
      </c>
      <c r="B177" s="3093" t="s">
        <v>3067</v>
      </c>
      <c r="C177" s="3093">
        <f t="shared" si="5"/>
        <v>2407.25</v>
      </c>
      <c r="D177" s="3093">
        <v>868.45</v>
      </c>
      <c r="F177" s="3093">
        <v>1342.8</v>
      </c>
      <c r="G177" s="3093">
        <v>196</v>
      </c>
      <c r="H177" s="3198">
        <v>2</v>
      </c>
      <c r="I177" s="3198">
        <v>3</v>
      </c>
      <c r="J177" s="3093">
        <v>1</v>
      </c>
      <c r="K177" s="3093">
        <v>8</v>
      </c>
      <c r="O177" s="3093" t="s">
        <v>5358</v>
      </c>
      <c r="P177" s="3093">
        <v>2406.52</v>
      </c>
      <c r="Q177" s="3127">
        <v>0.5</v>
      </c>
      <c r="S177" s="3093">
        <f>清单!N1307</f>
        <v>2406.5200000000004</v>
      </c>
      <c r="T177" s="3197" t="s">
        <v>5528</v>
      </c>
    </row>
    <row r="178" spans="1:23" hidden="1">
      <c r="A178" s="3093" t="s">
        <v>5359</v>
      </c>
      <c r="B178" s="3093" t="s">
        <v>3067</v>
      </c>
      <c r="C178" s="3093">
        <f t="shared" si="5"/>
        <v>1207.9000000000001</v>
      </c>
      <c r="D178" s="3093">
        <v>435.55</v>
      </c>
      <c r="F178" s="3093">
        <v>674.35</v>
      </c>
      <c r="G178" s="3093">
        <v>98</v>
      </c>
      <c r="H178" s="3198">
        <v>2</v>
      </c>
      <c r="I178" s="3198">
        <v>3</v>
      </c>
      <c r="J178" s="3093">
        <v>1</v>
      </c>
      <c r="K178" s="3093">
        <v>4</v>
      </c>
      <c r="O178" s="3093" t="s">
        <v>5359</v>
      </c>
      <c r="P178" s="3093">
        <v>1206.72</v>
      </c>
      <c r="Q178" s="3127">
        <v>0.5</v>
      </c>
      <c r="S178" s="3093">
        <f>清单!N1347</f>
        <v>1206.72</v>
      </c>
      <c r="T178" s="3197" t="s">
        <v>5528</v>
      </c>
    </row>
    <row r="179" spans="1:23" hidden="1">
      <c r="A179" s="3093" t="s">
        <v>5360</v>
      </c>
      <c r="B179" s="3093" t="s">
        <v>3067</v>
      </c>
      <c r="C179" s="3093">
        <f t="shared" si="5"/>
        <v>1226.19</v>
      </c>
      <c r="D179" s="3093">
        <v>423.44</v>
      </c>
      <c r="F179" s="3093">
        <v>729.25</v>
      </c>
      <c r="G179" s="3093">
        <v>73.5</v>
      </c>
      <c r="H179" s="3198">
        <v>2</v>
      </c>
      <c r="I179" s="3198">
        <v>3</v>
      </c>
      <c r="J179" s="3093">
        <v>1</v>
      </c>
      <c r="K179" s="3093">
        <v>3</v>
      </c>
      <c r="O179" s="3093" t="s">
        <v>5360</v>
      </c>
      <c r="P179" s="3093">
        <v>1225.28</v>
      </c>
      <c r="Q179" s="3127">
        <v>0.5</v>
      </c>
      <c r="S179" s="3093">
        <f>清单!N1367</f>
        <v>817.28</v>
      </c>
      <c r="T179" s="3093" t="s">
        <v>5491</v>
      </c>
      <c r="U179" s="3093" t="s">
        <v>5492</v>
      </c>
    </row>
    <row r="180" spans="1:23" hidden="1">
      <c r="A180" s="3440" t="s">
        <v>40</v>
      </c>
      <c r="B180" s="3440"/>
      <c r="C180" s="3093">
        <f>SUM(C122:C179)</f>
        <v>105003.62999999998</v>
      </c>
      <c r="D180" s="3093">
        <f>SUM(D122:D179)</f>
        <v>37366.439999999988</v>
      </c>
      <c r="F180" s="3093">
        <f>SUM(F122:F179)</f>
        <v>59454.19</v>
      </c>
      <c r="G180" s="3093">
        <f>SUM(G122:G179)</f>
        <v>8183</v>
      </c>
      <c r="K180" s="3093">
        <f>SUM(K122:K179)</f>
        <v>334</v>
      </c>
      <c r="M180" s="3093">
        <f>K180*2</f>
        <v>668</v>
      </c>
      <c r="O180" s="3122" t="s">
        <v>5361</v>
      </c>
      <c r="P180" s="3093">
        <v>11452.6</v>
      </c>
      <c r="Q180" s="3127">
        <v>0.5</v>
      </c>
      <c r="R180" s="3128">
        <v>8165.64</v>
      </c>
      <c r="S180" s="3093">
        <f>R180</f>
        <v>8165.64</v>
      </c>
      <c r="T180" s="3093">
        <f>265.23+265.2+265.2+265.02+265.02+265.2+265.2+309.55</f>
        <v>2165.6200000000003</v>
      </c>
      <c r="U180" s="3093">
        <v>222.72</v>
      </c>
      <c r="W180" s="3093">
        <f>P180-T180-R180-U180</f>
        <v>898.61999999999921</v>
      </c>
    </row>
    <row r="181" spans="1:23" hidden="1">
      <c r="A181" s="3093" t="s">
        <v>5362</v>
      </c>
      <c r="D181" s="3093">
        <v>36</v>
      </c>
      <c r="G181" s="3093">
        <f>270+240+240+240+1875.5</f>
        <v>2865.5</v>
      </c>
      <c r="O181" s="3122" t="s">
        <v>5363</v>
      </c>
      <c r="P181" s="3093">
        <v>11612.29</v>
      </c>
      <c r="Q181" s="3127">
        <v>0.5</v>
      </c>
      <c r="R181" s="3128">
        <v>8360.7199999999993</v>
      </c>
      <c r="S181" s="3093">
        <f>R181</f>
        <v>8360.7199999999993</v>
      </c>
      <c r="T181" s="3093">
        <f>310.9+266.1+266.1+265.91+265.91+266.1+266.1+310.67</f>
        <v>2217.79</v>
      </c>
      <c r="U181" s="3093">
        <v>1033.78</v>
      </c>
      <c r="W181" s="3159">
        <f>P181-T181-R181-U181</f>
        <v>0</v>
      </c>
    </row>
    <row r="182" spans="1:23" hidden="1">
      <c r="F182" s="3126">
        <f>30291.5+D181-4204</f>
        <v>26123.5</v>
      </c>
      <c r="O182" s="3122" t="s">
        <v>5364</v>
      </c>
      <c r="P182" s="3093">
        <v>11558.03</v>
      </c>
      <c r="Q182" s="3127">
        <v>0.5</v>
      </c>
      <c r="R182" s="3128">
        <v>8334.36</v>
      </c>
      <c r="S182" s="3093">
        <f>R182</f>
        <v>8334.36</v>
      </c>
      <c r="T182" s="3093">
        <f>314.9+269.6+269.6+269.41+269.41+269.6+269.6+269.63</f>
        <v>2201.75</v>
      </c>
      <c r="U182" s="3093">
        <v>1021.92</v>
      </c>
      <c r="W182" s="3159">
        <f t="shared" ref="W182" si="7">P182-T182-R182-U182</f>
        <v>0</v>
      </c>
    </row>
    <row r="183" spans="1:23" hidden="1">
      <c r="A183" s="3122"/>
      <c r="B183" s="3439" t="s">
        <v>37</v>
      </c>
      <c r="C183" s="3439" t="s">
        <v>3056</v>
      </c>
      <c r="D183" s="3439"/>
      <c r="E183" s="3439"/>
      <c r="F183" s="3439"/>
      <c r="G183" s="3439" t="s">
        <v>3057</v>
      </c>
      <c r="H183" s="3439"/>
      <c r="I183" s="3439"/>
      <c r="J183" s="3439"/>
      <c r="K183" s="3439"/>
      <c r="O183" s="3093" t="s">
        <v>48</v>
      </c>
      <c r="P183" s="3093">
        <v>28343.86</v>
      </c>
      <c r="Q183" s="3127">
        <v>0.5</v>
      </c>
      <c r="R183" s="3093">
        <f>SUM(R180:R182)</f>
        <v>24860.720000000001</v>
      </c>
      <c r="S183" s="3093">
        <f>'数据-汇总表'!G21</f>
        <v>10771.04</v>
      </c>
      <c r="U183" s="3093">
        <f>SUM(U180:U182)</f>
        <v>2278.42</v>
      </c>
    </row>
    <row r="184" spans="1:23" hidden="1">
      <c r="A184" s="3122"/>
      <c r="B184" s="3439"/>
      <c r="C184" s="3122" t="s">
        <v>3058</v>
      </c>
      <c r="D184" s="3122" t="s">
        <v>3061</v>
      </c>
      <c r="E184" s="3122" t="s">
        <v>3161</v>
      </c>
      <c r="F184" s="3122" t="s">
        <v>3168</v>
      </c>
      <c r="G184" s="3122" t="s">
        <v>3060</v>
      </c>
      <c r="H184" s="3122" t="s">
        <v>3162</v>
      </c>
      <c r="I184" s="3122" t="s">
        <v>3061</v>
      </c>
      <c r="J184" s="3122" t="s">
        <v>3161</v>
      </c>
      <c r="K184" s="3122" t="s">
        <v>1343</v>
      </c>
      <c r="L184" s="3129" t="s">
        <v>3163</v>
      </c>
      <c r="O184" s="3093" t="s">
        <v>37</v>
      </c>
      <c r="P184" s="3093">
        <f>SUM(P122:P183)</f>
        <v>167884.99</v>
      </c>
      <c r="Q184" s="3149">
        <f>ROUND(SUMPRODUCT(P122:P183,Q122:Q183)/P184,2)</f>
        <v>0.43</v>
      </c>
      <c r="S184" s="3093">
        <f>SUM(S122:S183)</f>
        <v>122403.82000000004</v>
      </c>
      <c r="T184" s="3149">
        <f>ROUND(SUMPRODUCT(Q122:Q183,P122:P183)/P184,2)</f>
        <v>0.43</v>
      </c>
    </row>
    <row r="185" spans="1:23" hidden="1">
      <c r="A185" s="3122" t="s">
        <v>5365</v>
      </c>
      <c r="B185" s="3122">
        <f>SUM(C185:K185)</f>
        <v>133992.63</v>
      </c>
      <c r="C185" s="3122">
        <f>D180</f>
        <v>37366.439999999988</v>
      </c>
      <c r="D185" s="3122"/>
      <c r="E185" s="3122"/>
      <c r="F185" s="3122"/>
      <c r="G185" s="3122">
        <f>F180</f>
        <v>59454.19</v>
      </c>
      <c r="H185" s="3122">
        <f>F182</f>
        <v>26123.5</v>
      </c>
      <c r="I185" s="3122">
        <f>G180+G181</f>
        <v>11048.5</v>
      </c>
      <c r="J185" s="3122"/>
      <c r="K185" s="3122"/>
      <c r="L185" s="3093">
        <v>4204</v>
      </c>
      <c r="M185" s="3093">
        <f>B185+L185</f>
        <v>138196.63</v>
      </c>
    </row>
    <row r="186" spans="1:23" hidden="1">
      <c r="A186" s="3122" t="s">
        <v>5366</v>
      </c>
      <c r="B186" s="3122">
        <f>SUM(C186:K186)</f>
        <v>35823.369999999995</v>
      </c>
      <c r="C186" s="3103">
        <f>D194-F186</f>
        <v>3473.1799999999967</v>
      </c>
      <c r="D186" s="3103">
        <f>E194</f>
        <v>84</v>
      </c>
      <c r="E186" s="3103"/>
      <c r="F186" s="3103">
        <f>L194</f>
        <v>23770.38</v>
      </c>
      <c r="G186" s="3103">
        <f>F194</f>
        <v>5874.31</v>
      </c>
      <c r="H186" s="3103"/>
      <c r="I186" s="3103">
        <f>G194</f>
        <v>1631.5</v>
      </c>
      <c r="J186" s="3103">
        <v>990</v>
      </c>
      <c r="K186" s="3103"/>
      <c r="L186" s="3093">
        <f>L185-D181</f>
        <v>4168</v>
      </c>
    </row>
    <row r="187" spans="1:23" hidden="1">
      <c r="A187" s="3122"/>
      <c r="B187" s="3122">
        <f>SUM(B185:B186)</f>
        <v>169816</v>
      </c>
      <c r="C187" s="3122">
        <f>SUM(C185:C186)</f>
        <v>40839.619999999981</v>
      </c>
      <c r="D187" s="3122">
        <f t="shared" ref="D187:K187" si="8">SUM(D185:D186)</f>
        <v>84</v>
      </c>
      <c r="E187" s="3122">
        <f t="shared" si="8"/>
        <v>0</v>
      </c>
      <c r="F187" s="3122">
        <f t="shared" si="8"/>
        <v>23770.38</v>
      </c>
      <c r="G187" s="3122">
        <f t="shared" si="8"/>
        <v>65328.5</v>
      </c>
      <c r="H187" s="3122">
        <f t="shared" si="8"/>
        <v>26123.5</v>
      </c>
      <c r="I187" s="3122">
        <f t="shared" si="8"/>
        <v>12680</v>
      </c>
      <c r="J187" s="3122">
        <v>990</v>
      </c>
      <c r="K187" s="3122">
        <f t="shared" si="8"/>
        <v>0</v>
      </c>
      <c r="R187" s="3093" t="s">
        <v>5415</v>
      </c>
      <c r="S187" s="3093">
        <f>S184-S183-S182-S181-S180+133.16+83.59+83.15+133.76+84.1+84.15</f>
        <v>87373.970000000016</v>
      </c>
    </row>
    <row r="188" spans="1:23" hidden="1">
      <c r="R188" s="3093" t="s">
        <v>5414</v>
      </c>
      <c r="S188" s="3093">
        <f>SUM(S133:S152)+133.16+83.59+83.15</f>
        <v>23234.640000000003</v>
      </c>
      <c r="T188" s="3181">
        <f>S188/S187</f>
        <v>0.26592176136668622</v>
      </c>
    </row>
    <row r="189" spans="1:23" hidden="1">
      <c r="A189" s="3122"/>
      <c r="B189" s="3122"/>
      <c r="C189" s="3122"/>
      <c r="D189" s="3122" t="s">
        <v>3056</v>
      </c>
      <c r="E189" s="3122"/>
      <c r="F189" s="3122" t="s">
        <v>3057</v>
      </c>
      <c r="G189" s="3122"/>
      <c r="H189" s="3122"/>
      <c r="I189" s="3122"/>
      <c r="J189" s="3122"/>
      <c r="K189" s="3122"/>
      <c r="L189" s="3122" t="s">
        <v>3168</v>
      </c>
      <c r="R189" s="3093" t="s">
        <v>5416</v>
      </c>
      <c r="S189" s="3093">
        <f>S187-S188</f>
        <v>64139.330000000016</v>
      </c>
      <c r="T189" s="3181">
        <f>S189/S187</f>
        <v>0.7340782386333139</v>
      </c>
    </row>
    <row r="190" spans="1:23" hidden="1">
      <c r="A190" s="3122"/>
      <c r="B190" s="3122"/>
      <c r="C190" s="3122" t="s">
        <v>37</v>
      </c>
      <c r="D190" s="3122" t="s">
        <v>3058</v>
      </c>
      <c r="E190" s="3122" t="s">
        <v>3059</v>
      </c>
      <c r="F190" s="3122" t="s">
        <v>3060</v>
      </c>
      <c r="G190" s="3122" t="s">
        <v>3061</v>
      </c>
      <c r="H190" s="3122" t="s">
        <v>3062</v>
      </c>
      <c r="I190" s="3122" t="s">
        <v>3063</v>
      </c>
      <c r="J190" s="3122" t="s">
        <v>3064</v>
      </c>
      <c r="K190" s="3122" t="s">
        <v>3065</v>
      </c>
      <c r="L190" s="3122"/>
    </row>
    <row r="191" spans="1:23" hidden="1">
      <c r="A191" s="3122" t="s">
        <v>5361</v>
      </c>
      <c r="B191" s="3122"/>
      <c r="C191" s="3122">
        <f>SUM(D191:G191)</f>
        <v>11468.789999999999</v>
      </c>
      <c r="D191" s="3122">
        <v>9025.48</v>
      </c>
      <c r="E191" s="3122"/>
      <c r="F191" s="3122">
        <v>2151.81</v>
      </c>
      <c r="G191" s="3122">
        <v>291.5</v>
      </c>
      <c r="H191" s="3122">
        <v>8</v>
      </c>
      <c r="I191" s="3122">
        <v>3</v>
      </c>
      <c r="J191" s="3122">
        <v>1</v>
      </c>
      <c r="K191" s="3122">
        <v>64</v>
      </c>
      <c r="L191" s="3122">
        <v>7879.05</v>
      </c>
      <c r="N191" s="3093">
        <f>D191-L191</f>
        <v>1146.4299999999994</v>
      </c>
      <c r="O191" s="3093">
        <f>N191/D191*K191</f>
        <v>8.129375944548098</v>
      </c>
      <c r="U191" s="3093">
        <f>S184+U183+清单!T16</f>
        <v>125747.97000000003</v>
      </c>
    </row>
    <row r="192" spans="1:23" hidden="1">
      <c r="A192" s="3122" t="s">
        <v>5363</v>
      </c>
      <c r="B192" s="3122"/>
      <c r="C192" s="3122">
        <f>SUM(D192:G192)</f>
        <v>11676.560000000001</v>
      </c>
      <c r="D192" s="3122">
        <v>9192.68</v>
      </c>
      <c r="E192" s="3122"/>
      <c r="F192" s="3122">
        <v>2192.38</v>
      </c>
      <c r="G192" s="3122">
        <v>291.5</v>
      </c>
      <c r="H192" s="3122">
        <v>8</v>
      </c>
      <c r="I192" s="3122">
        <v>3</v>
      </c>
      <c r="J192" s="3122">
        <v>1</v>
      </c>
      <c r="K192" s="3122">
        <v>64</v>
      </c>
      <c r="L192" s="3122">
        <v>8012.28</v>
      </c>
      <c r="N192" s="3093">
        <f>D192-L192</f>
        <v>1180.4000000000005</v>
      </c>
      <c r="O192" s="3174">
        <f t="shared" ref="O192:O193" si="9">N192/D192*K192</f>
        <v>8.2180169439162505</v>
      </c>
    </row>
    <row r="193" spans="1:15" hidden="1">
      <c r="A193" s="3122" t="s">
        <v>5364</v>
      </c>
      <c r="B193" s="3122"/>
      <c r="C193" s="3122">
        <f>SUM(D193:G193)</f>
        <v>11688.02</v>
      </c>
      <c r="D193" s="3122">
        <v>9025.4</v>
      </c>
      <c r="E193" s="3122">
        <v>84</v>
      </c>
      <c r="F193" s="3122">
        <v>1530.12</v>
      </c>
      <c r="G193" s="3122">
        <f>757+291.5</f>
        <v>1048.5</v>
      </c>
      <c r="H193" s="3122">
        <v>8</v>
      </c>
      <c r="I193" s="3122">
        <v>3</v>
      </c>
      <c r="J193" s="3122">
        <v>1</v>
      </c>
      <c r="K193" s="3122">
        <v>64</v>
      </c>
      <c r="L193" s="3122">
        <v>7879.05</v>
      </c>
      <c r="N193" s="3093">
        <f>D193-L193</f>
        <v>1146.3499999999995</v>
      </c>
      <c r="O193" s="3174">
        <f t="shared" si="9"/>
        <v>8.1288807144281652</v>
      </c>
    </row>
    <row r="194" spans="1:15" hidden="1">
      <c r="A194" s="3122"/>
      <c r="B194" s="3122"/>
      <c r="C194" s="3122">
        <f>SUM(D194:G194)</f>
        <v>34833.369999999995</v>
      </c>
      <c r="D194" s="3122">
        <f>SUM(D191:D193)</f>
        <v>27243.559999999998</v>
      </c>
      <c r="E194" s="3122">
        <f>SUM(E191:E193)</f>
        <v>84</v>
      </c>
      <c r="F194" s="3122">
        <f>SUM(F191:F193)</f>
        <v>5874.31</v>
      </c>
      <c r="G194" s="3122">
        <f>SUM(G191:G193)</f>
        <v>1631.5</v>
      </c>
      <c r="H194" s="3122"/>
      <c r="I194" s="3122"/>
      <c r="J194" s="3122"/>
      <c r="K194" s="3122">
        <f>SUM(K191:K193)</f>
        <v>192</v>
      </c>
      <c r="L194" s="3122">
        <f>SUM(L191:L193)</f>
        <v>23770.38</v>
      </c>
      <c r="M194" s="3093">
        <f>D194-L194</f>
        <v>3473.1799999999967</v>
      </c>
      <c r="O194" s="3093">
        <v>24</v>
      </c>
    </row>
    <row r="195" spans="1:15" hidden="1"/>
    <row r="196" spans="1:15" hidden="1">
      <c r="B196" s="3093" t="s">
        <v>3490</v>
      </c>
      <c r="C196" s="3093" t="s">
        <v>5367</v>
      </c>
    </row>
    <row r="197" spans="1:15" hidden="1">
      <c r="B197" s="3093">
        <v>10993</v>
      </c>
      <c r="C197" s="3093">
        <v>48109</v>
      </c>
      <c r="I197" s="3093">
        <f>G181+F182</f>
        <v>28989</v>
      </c>
    </row>
    <row r="198" spans="1:15" hidden="1"/>
    <row r="199" spans="1:15" hidden="1"/>
    <row r="200" spans="1:15" hidden="1"/>
    <row r="201" spans="1:15" hidden="1"/>
    <row r="202" spans="1:15" ht="15" hidden="1" thickBot="1"/>
    <row r="203" spans="1:15" ht="15" hidden="1" thickBot="1">
      <c r="C203" s="3432" t="s">
        <v>40</v>
      </c>
      <c r="D203" s="3433"/>
      <c r="E203" s="3130">
        <v>105003.63</v>
      </c>
      <c r="F203" s="3130">
        <v>37366.44</v>
      </c>
      <c r="G203" s="3130">
        <v>0</v>
      </c>
      <c r="H203" s="3130">
        <v>59454.19</v>
      </c>
      <c r="I203" s="3130">
        <v>8183</v>
      </c>
      <c r="J203" s="3131">
        <v>0</v>
      </c>
      <c r="K203" s="3130" t="s">
        <v>70</v>
      </c>
      <c r="L203" s="3132" t="s">
        <v>70</v>
      </c>
      <c r="M203" s="3130">
        <v>334</v>
      </c>
    </row>
    <row r="204" spans="1:15" ht="15" hidden="1" thickBot="1">
      <c r="C204" s="3133" t="s">
        <v>5368</v>
      </c>
      <c r="D204" s="3134" t="s">
        <v>48</v>
      </c>
      <c r="E204" s="3135">
        <f>I204+J204</f>
        <v>29979</v>
      </c>
      <c r="F204" s="3134">
        <v>0</v>
      </c>
      <c r="G204" s="3134">
        <v>0</v>
      </c>
      <c r="H204" s="3135">
        <v>0</v>
      </c>
      <c r="I204" s="3134">
        <f>2865.5+990</f>
        <v>3855.5</v>
      </c>
      <c r="J204" s="3136">
        <v>26123.5</v>
      </c>
      <c r="K204" s="3134" t="s">
        <v>70</v>
      </c>
      <c r="L204" s="3134" t="s">
        <v>70</v>
      </c>
      <c r="M204" s="3134" t="s">
        <v>70</v>
      </c>
    </row>
    <row r="205" spans="1:15" ht="15" hidden="1" thickBot="1">
      <c r="C205" s="3133" t="s">
        <v>5361</v>
      </c>
      <c r="D205" s="3134" t="s">
        <v>3067</v>
      </c>
      <c r="E205" s="3135">
        <v>11468.79</v>
      </c>
      <c r="F205" s="3135">
        <v>9025.48</v>
      </c>
      <c r="G205" s="3135">
        <v>0</v>
      </c>
      <c r="H205" s="3135">
        <v>2151.81</v>
      </c>
      <c r="I205" s="3135">
        <v>291.5</v>
      </c>
      <c r="J205" s="3137">
        <v>0</v>
      </c>
      <c r="K205" s="3135">
        <v>8</v>
      </c>
      <c r="L205" s="3135">
        <v>3</v>
      </c>
      <c r="M205" s="3135">
        <v>64</v>
      </c>
    </row>
    <row r="206" spans="1:15" ht="15" hidden="1" thickBot="1">
      <c r="C206" s="3133" t="s">
        <v>5363</v>
      </c>
      <c r="D206" s="3134" t="s">
        <v>3067</v>
      </c>
      <c r="E206" s="3135">
        <v>11676.56</v>
      </c>
      <c r="F206" s="3135">
        <v>9192.68</v>
      </c>
      <c r="G206" s="3135">
        <v>0</v>
      </c>
      <c r="H206" s="3135">
        <v>2192.38</v>
      </c>
      <c r="I206" s="3135">
        <v>291.5</v>
      </c>
      <c r="J206" s="3137">
        <v>0</v>
      </c>
      <c r="K206" s="3135">
        <v>8</v>
      </c>
      <c r="L206" s="3135">
        <v>3</v>
      </c>
      <c r="M206" s="3135">
        <v>64</v>
      </c>
    </row>
    <row r="207" spans="1:15" ht="15" hidden="1" thickBot="1">
      <c r="C207" s="3133" t="s">
        <v>5364</v>
      </c>
      <c r="D207" s="3134" t="s">
        <v>3067</v>
      </c>
      <c r="E207" s="3135">
        <v>11688.02</v>
      </c>
      <c r="F207" s="3135">
        <v>9025.4</v>
      </c>
      <c r="G207" s="3135">
        <v>84</v>
      </c>
      <c r="H207" s="3135">
        <v>1530.12</v>
      </c>
      <c r="I207" s="3135">
        <v>1048.5</v>
      </c>
      <c r="J207" s="3137">
        <v>0</v>
      </c>
      <c r="K207" s="3135">
        <v>8</v>
      </c>
      <c r="L207" s="3135">
        <v>3</v>
      </c>
      <c r="M207" s="3135">
        <v>64</v>
      </c>
    </row>
    <row r="208" spans="1:15" hidden="1">
      <c r="C208" s="3138" t="s">
        <v>40</v>
      </c>
      <c r="D208" s="3138"/>
      <c r="E208" s="3093">
        <f>SUM(E205:E207)</f>
        <v>34833.369999999995</v>
      </c>
      <c r="F208" s="3093">
        <f>SUM(F205:F207)</f>
        <v>27243.559999999998</v>
      </c>
      <c r="G208" s="3093">
        <f>SUM(G205:G207)</f>
        <v>84</v>
      </c>
      <c r="H208" s="3093">
        <f>SUM(H205:H207)</f>
        <v>5874.31</v>
      </c>
      <c r="I208" s="3093">
        <f>SUM(I205:I207)</f>
        <v>1631.5</v>
      </c>
    </row>
    <row r="209" spans="3:10" hidden="1">
      <c r="C209" s="3139" t="s">
        <v>37</v>
      </c>
      <c r="E209" s="3093">
        <f t="shared" ref="E209:J209" si="10">E203+E204+E208</f>
        <v>169816</v>
      </c>
      <c r="F209" s="3093">
        <f t="shared" si="10"/>
        <v>64610</v>
      </c>
      <c r="G209" s="3093">
        <f t="shared" si="10"/>
        <v>84</v>
      </c>
      <c r="H209" s="3093">
        <f t="shared" si="10"/>
        <v>65328.5</v>
      </c>
      <c r="I209" s="3093">
        <f t="shared" si="10"/>
        <v>13670</v>
      </c>
      <c r="J209" s="3093">
        <f t="shared" si="10"/>
        <v>26123.5</v>
      </c>
    </row>
    <row r="256" ht="15" thickBot="1"/>
    <row r="257" spans="5:11" ht="15" thickBot="1">
      <c r="E257" s="3421" t="s">
        <v>5369</v>
      </c>
      <c r="F257" s="3421" t="s">
        <v>5370</v>
      </c>
      <c r="G257" s="3421" t="s">
        <v>5371</v>
      </c>
      <c r="H257" s="3434" t="s">
        <v>5372</v>
      </c>
      <c r="I257" s="3435"/>
      <c r="J257" s="3436"/>
      <c r="K257" s="3437" t="s">
        <v>5373</v>
      </c>
    </row>
    <row r="258" spans="5:11" ht="15" thickBot="1">
      <c r="E258" s="3422"/>
      <c r="F258" s="3423"/>
      <c r="G258" s="3423"/>
      <c r="H258" s="3140" t="s">
        <v>37</v>
      </c>
      <c r="I258" s="3141" t="s">
        <v>3056</v>
      </c>
      <c r="J258" s="3141" t="s">
        <v>3057</v>
      </c>
      <c r="K258" s="3438"/>
    </row>
    <row r="259" spans="5:11" ht="15" thickBot="1">
      <c r="E259" s="3422"/>
      <c r="F259" s="3424" t="s">
        <v>5374</v>
      </c>
      <c r="G259" s="3142" t="s">
        <v>5375</v>
      </c>
      <c r="H259" s="3142">
        <v>40265.83</v>
      </c>
      <c r="I259" s="3142">
        <v>40265.83</v>
      </c>
      <c r="J259" s="3142">
        <v>0</v>
      </c>
      <c r="K259" s="3427">
        <v>60947.48</v>
      </c>
    </row>
    <row r="260" spans="5:11" ht="15" thickBot="1">
      <c r="E260" s="3422"/>
      <c r="F260" s="3425"/>
      <c r="G260" s="3142" t="s">
        <v>5376</v>
      </c>
      <c r="H260" s="3142">
        <v>10848.24</v>
      </c>
      <c r="I260" s="3142">
        <v>10848.24</v>
      </c>
      <c r="J260" s="3142">
        <v>0</v>
      </c>
      <c r="K260" s="3428"/>
    </row>
    <row r="261" spans="5:11" ht="15" thickBot="1">
      <c r="E261" s="3422"/>
      <c r="F261" s="3425"/>
      <c r="G261" s="3142" t="s">
        <v>3168</v>
      </c>
      <c r="H261" s="3142">
        <v>31676.1</v>
      </c>
      <c r="I261" s="3142">
        <v>31676.1</v>
      </c>
      <c r="J261" s="3142">
        <v>0</v>
      </c>
      <c r="K261" s="3428"/>
    </row>
    <row r="262" spans="5:11" ht="15" thickBot="1">
      <c r="E262" s="3422"/>
      <c r="F262" s="3425"/>
      <c r="G262" s="3142" t="s">
        <v>1343</v>
      </c>
      <c r="H262" s="3142">
        <v>480</v>
      </c>
      <c r="I262" s="3142">
        <v>250</v>
      </c>
      <c r="J262" s="3142">
        <v>230</v>
      </c>
      <c r="K262" s="3428"/>
    </row>
    <row r="263" spans="5:11" ht="15" thickBot="1">
      <c r="E263" s="3422"/>
      <c r="F263" s="3425"/>
      <c r="G263" s="3142" t="s">
        <v>48</v>
      </c>
      <c r="H263" s="3142">
        <v>33813.93</v>
      </c>
      <c r="I263" s="3142">
        <v>0</v>
      </c>
      <c r="J263" s="3142">
        <v>33813.93</v>
      </c>
      <c r="K263" s="3428"/>
    </row>
    <row r="264" spans="5:11" ht="15" thickBot="1">
      <c r="E264" s="3422"/>
      <c r="F264" s="3425"/>
      <c r="G264" s="3142" t="s">
        <v>5377</v>
      </c>
      <c r="H264" s="3142">
        <v>10172.129999999999</v>
      </c>
      <c r="I264" s="3142">
        <v>0</v>
      </c>
      <c r="J264" s="3142">
        <v>10172.129999999999</v>
      </c>
      <c r="K264" s="3428"/>
    </row>
    <row r="265" spans="5:11" ht="15" thickBot="1">
      <c r="E265" s="3422"/>
      <c r="F265" s="3426"/>
      <c r="G265" s="3142" t="s">
        <v>5378</v>
      </c>
      <c r="H265" s="3142">
        <v>74192.240000000005</v>
      </c>
      <c r="I265" s="3142">
        <v>0</v>
      </c>
      <c r="J265" s="3142">
        <v>74192.240000000005</v>
      </c>
      <c r="K265" s="3428"/>
    </row>
    <row r="266" spans="5:11" ht="15" thickBot="1">
      <c r="E266" s="3422"/>
      <c r="F266" s="3430" t="s">
        <v>5379</v>
      </c>
      <c r="G266" s="3431"/>
      <c r="H266" s="3141">
        <v>201448.47</v>
      </c>
      <c r="I266" s="3141">
        <v>83040.17</v>
      </c>
      <c r="J266" s="3141">
        <v>118408.3</v>
      </c>
      <c r="K266" s="3428"/>
    </row>
    <row r="267" spans="5:11" ht="15" thickBot="1">
      <c r="E267" s="3422"/>
      <c r="F267" s="3424" t="s">
        <v>5380</v>
      </c>
      <c r="G267" s="3142" t="s">
        <v>5381</v>
      </c>
      <c r="H267" s="3142">
        <v>4741.9399999999996</v>
      </c>
      <c r="I267" s="3142">
        <v>168</v>
      </c>
      <c r="J267" s="3142">
        <v>4573.9399999999996</v>
      </c>
      <c r="K267" s="3428"/>
    </row>
    <row r="268" spans="5:11" ht="15" thickBot="1">
      <c r="E268" s="3422"/>
      <c r="F268" s="3426"/>
      <c r="G268" s="3142" t="s">
        <v>5382</v>
      </c>
      <c r="H268" s="3142">
        <v>1920</v>
      </c>
      <c r="I268" s="3142">
        <v>1870</v>
      </c>
      <c r="J268" s="3142">
        <v>50</v>
      </c>
      <c r="K268" s="3428"/>
    </row>
    <row r="269" spans="5:11" ht="15" thickBot="1">
      <c r="E269" s="3422"/>
      <c r="F269" s="3430" t="s">
        <v>5383</v>
      </c>
      <c r="G269" s="3431"/>
      <c r="H269" s="3141">
        <v>6661.94</v>
      </c>
      <c r="I269" s="3141">
        <v>2038</v>
      </c>
      <c r="J269" s="3141">
        <v>4623.9399999999996</v>
      </c>
      <c r="K269" s="3428"/>
    </row>
    <row r="270" spans="5:11" ht="15" thickBot="1">
      <c r="E270" s="3423"/>
      <c r="F270" s="3416" t="s">
        <v>5384</v>
      </c>
      <c r="G270" s="3418"/>
      <c r="H270" s="3141">
        <v>208110.41</v>
      </c>
      <c r="I270" s="3141">
        <v>85078.17</v>
      </c>
      <c r="J270" s="3141">
        <v>123032.24</v>
      </c>
      <c r="K270" s="3429"/>
    </row>
    <row r="271" spans="5:11" ht="15" thickBot="1">
      <c r="E271" s="3421" t="s">
        <v>5385</v>
      </c>
      <c r="F271" s="3424" t="s">
        <v>5374</v>
      </c>
      <c r="G271" s="3142" t="s">
        <v>5375</v>
      </c>
      <c r="H271" s="3142">
        <v>37366.44</v>
      </c>
      <c r="I271" s="3142">
        <v>37366.44</v>
      </c>
      <c r="J271" s="3142">
        <v>0</v>
      </c>
      <c r="K271" s="3427">
        <v>0</v>
      </c>
    </row>
    <row r="272" spans="5:11" ht="15" thickBot="1">
      <c r="E272" s="3422"/>
      <c r="F272" s="3425"/>
      <c r="G272" s="3142" t="s">
        <v>5376</v>
      </c>
      <c r="H272" s="3142">
        <v>3473.18</v>
      </c>
      <c r="I272" s="3142">
        <v>3473.18</v>
      </c>
      <c r="J272" s="3142">
        <v>0</v>
      </c>
      <c r="K272" s="3428"/>
    </row>
    <row r="273" spans="5:11" ht="15" thickBot="1">
      <c r="E273" s="3422"/>
      <c r="F273" s="3425"/>
      <c r="G273" s="3142" t="s">
        <v>3168</v>
      </c>
      <c r="H273" s="3142">
        <v>23770.38</v>
      </c>
      <c r="I273" s="3142">
        <v>23770.38</v>
      </c>
      <c r="J273" s="3142">
        <v>0</v>
      </c>
      <c r="K273" s="3428"/>
    </row>
    <row r="274" spans="5:11" ht="15" thickBot="1">
      <c r="E274" s="3422"/>
      <c r="F274" s="3425"/>
      <c r="G274" s="3142" t="s">
        <v>48</v>
      </c>
      <c r="H274" s="3142">
        <v>26123.5</v>
      </c>
      <c r="I274" s="3142">
        <v>0</v>
      </c>
      <c r="J274" s="3142">
        <v>26123.5</v>
      </c>
      <c r="K274" s="3428"/>
    </row>
    <row r="275" spans="5:11" ht="15" thickBot="1">
      <c r="E275" s="3422"/>
      <c r="F275" s="3425"/>
      <c r="G275" s="3142" t="s">
        <v>5377</v>
      </c>
      <c r="H275" s="3142">
        <v>5874.31</v>
      </c>
      <c r="I275" s="3142">
        <v>0</v>
      </c>
      <c r="J275" s="3142">
        <v>5874.31</v>
      </c>
      <c r="K275" s="3428"/>
    </row>
    <row r="276" spans="5:11" ht="15" thickBot="1">
      <c r="E276" s="3422"/>
      <c r="F276" s="3426"/>
      <c r="G276" s="3142" t="s">
        <v>5378</v>
      </c>
      <c r="H276" s="3142">
        <v>59454.19</v>
      </c>
      <c r="I276" s="3142">
        <v>0</v>
      </c>
      <c r="J276" s="3142">
        <v>59454.19</v>
      </c>
      <c r="K276" s="3428"/>
    </row>
    <row r="277" spans="5:11" ht="15" thickBot="1">
      <c r="E277" s="3422"/>
      <c r="F277" s="3430" t="s">
        <v>5386</v>
      </c>
      <c r="G277" s="3431"/>
      <c r="H277" s="3142">
        <v>156062</v>
      </c>
      <c r="I277" s="3142">
        <v>64610</v>
      </c>
      <c r="J277" s="3142">
        <v>91452</v>
      </c>
      <c r="K277" s="3428"/>
    </row>
    <row r="278" spans="5:11" ht="15" thickBot="1">
      <c r="E278" s="3422"/>
      <c r="F278" s="3424" t="s">
        <v>5380</v>
      </c>
      <c r="G278" s="3142" t="s">
        <v>5381</v>
      </c>
      <c r="H278" s="3142">
        <v>12764</v>
      </c>
      <c r="I278" s="3142">
        <v>84</v>
      </c>
      <c r="J278" s="3142">
        <v>12680</v>
      </c>
      <c r="K278" s="3428"/>
    </row>
    <row r="279" spans="5:11" ht="15" thickBot="1">
      <c r="E279" s="3422"/>
      <c r="F279" s="3426"/>
      <c r="G279" s="3142" t="s">
        <v>5382</v>
      </c>
      <c r="H279" s="3142">
        <v>990</v>
      </c>
      <c r="I279" s="3142">
        <v>0</v>
      </c>
      <c r="J279" s="3142">
        <v>990</v>
      </c>
      <c r="K279" s="3428"/>
    </row>
    <row r="280" spans="5:11" ht="15" thickBot="1">
      <c r="E280" s="3422"/>
      <c r="F280" s="3430" t="s">
        <v>5387</v>
      </c>
      <c r="G280" s="3431"/>
      <c r="H280" s="3142">
        <v>13754</v>
      </c>
      <c r="I280" s="3142">
        <v>84</v>
      </c>
      <c r="J280" s="3142">
        <v>13670</v>
      </c>
      <c r="K280" s="3428"/>
    </row>
    <row r="281" spans="5:11" ht="15" thickBot="1">
      <c r="E281" s="3423"/>
      <c r="F281" s="3416" t="s">
        <v>5388</v>
      </c>
      <c r="G281" s="3418"/>
      <c r="H281" s="3141">
        <v>169816</v>
      </c>
      <c r="I281" s="3141">
        <v>64694</v>
      </c>
      <c r="J281" s="3141">
        <v>105122</v>
      </c>
      <c r="K281" s="3429"/>
    </row>
    <row r="282" spans="5:11" ht="15" thickBot="1">
      <c r="E282" s="3416" t="s">
        <v>5389</v>
      </c>
      <c r="F282" s="3417"/>
      <c r="G282" s="3418"/>
      <c r="H282" s="3141">
        <f>H270+H281</f>
        <v>377926.41000000003</v>
      </c>
      <c r="I282" s="3141">
        <f t="shared" ref="I282:J282" si="11">I270+I281</f>
        <v>149772.16999999998</v>
      </c>
      <c r="J282" s="3141">
        <f t="shared" si="11"/>
        <v>228154.23999999999</v>
      </c>
      <c r="K282" s="3143">
        <f>K259</f>
        <v>60947.48</v>
      </c>
    </row>
    <row r="290" spans="3:12" ht="15" thickBot="1"/>
    <row r="291" spans="3:12" ht="43.5" thickTop="1">
      <c r="C291" s="3419" t="s">
        <v>5390</v>
      </c>
      <c r="D291" s="3419" t="s">
        <v>5391</v>
      </c>
      <c r="E291" s="3419" t="s">
        <v>5392</v>
      </c>
      <c r="F291" s="3144" t="s">
        <v>5373</v>
      </c>
      <c r="G291" s="3414" t="s">
        <v>5393</v>
      </c>
      <c r="H291" s="3415"/>
      <c r="I291" s="3414" t="s">
        <v>5394</v>
      </c>
      <c r="J291" s="3415"/>
      <c r="K291" s="3414" t="s">
        <v>5395</v>
      </c>
      <c r="L291" s="3415"/>
    </row>
    <row r="292" spans="3:12" ht="28.5">
      <c r="C292" s="3420"/>
      <c r="D292" s="3420"/>
      <c r="E292" s="3420"/>
      <c r="F292" s="3145" t="s">
        <v>5396</v>
      </c>
      <c r="G292" s="3145" t="s">
        <v>3253</v>
      </c>
      <c r="H292" s="3145" t="s">
        <v>5397</v>
      </c>
      <c r="I292" s="3145" t="s">
        <v>5398</v>
      </c>
      <c r="J292" s="3145" t="s">
        <v>5397</v>
      </c>
      <c r="K292" s="3145" t="s">
        <v>5398</v>
      </c>
      <c r="L292" s="3145" t="s">
        <v>5397</v>
      </c>
    </row>
    <row r="293" spans="3:12" ht="128.25">
      <c r="C293" s="3146" t="s">
        <v>5399</v>
      </c>
      <c r="D293" s="3145">
        <v>208110.41</v>
      </c>
      <c r="E293" s="3145">
        <v>72636.320000000007</v>
      </c>
      <c r="F293" s="3147">
        <v>60947.48</v>
      </c>
      <c r="G293" s="3145">
        <v>438261</v>
      </c>
      <c r="H293" s="3145">
        <v>21060</v>
      </c>
      <c r="I293" s="3145">
        <v>16367</v>
      </c>
      <c r="J293" s="3145">
        <v>786</v>
      </c>
      <c r="K293" s="3145">
        <v>454628</v>
      </c>
      <c r="L293" s="3145">
        <v>21846</v>
      </c>
    </row>
    <row r="294" spans="3:12" ht="99.75">
      <c r="C294" s="3146" t="s">
        <v>5400</v>
      </c>
      <c r="D294" s="3145">
        <v>169816</v>
      </c>
      <c r="E294" s="3145">
        <v>62541.33</v>
      </c>
      <c r="F294" s="3145">
        <v>0</v>
      </c>
      <c r="G294" s="3145">
        <v>311695</v>
      </c>
      <c r="H294" s="3145">
        <v>18355</v>
      </c>
      <c r="I294" s="3145">
        <v>0</v>
      </c>
      <c r="J294" s="3145">
        <v>0</v>
      </c>
      <c r="K294" s="3145">
        <v>311695</v>
      </c>
      <c r="L294" s="3145">
        <v>18355</v>
      </c>
    </row>
    <row r="295" spans="3:12">
      <c r="C295" s="3146" t="s">
        <v>37</v>
      </c>
      <c r="D295" s="3145">
        <v>377926.41</v>
      </c>
      <c r="E295" s="3145">
        <v>135177.65</v>
      </c>
      <c r="F295" s="3147">
        <v>60947.48</v>
      </c>
      <c r="G295" s="3411">
        <f>G293+G294</f>
        <v>749956</v>
      </c>
      <c r="H295" s="3413"/>
      <c r="I295" s="3411">
        <f>I293+I294</f>
        <v>16367</v>
      </c>
      <c r="J295" s="3413"/>
      <c r="K295" s="3411">
        <f>K293+K294</f>
        <v>766323</v>
      </c>
      <c r="L295" s="3413"/>
    </row>
    <row r="296" spans="3:12">
      <c r="C296" s="3411" t="s">
        <v>5401</v>
      </c>
      <c r="D296" s="3412"/>
      <c r="E296" s="3412"/>
      <c r="F296" s="3413"/>
      <c r="G296" s="3411">
        <f>G295*10000</f>
        <v>7499560000</v>
      </c>
      <c r="H296" s="3413"/>
      <c r="I296" s="3411">
        <f t="shared" ref="I296" si="12">I295*10000</f>
        <v>163670000</v>
      </c>
      <c r="J296" s="3413"/>
      <c r="K296" s="3411">
        <f t="shared" ref="K296" si="13">K295*10000</f>
        <v>7663230000</v>
      </c>
      <c r="L296" s="3413"/>
    </row>
    <row r="297" spans="3:12">
      <c r="C297" s="3408" t="s">
        <v>5402</v>
      </c>
      <c r="D297" s="3409"/>
      <c r="E297" s="3409"/>
      <c r="F297" s="3410"/>
      <c r="G297" s="3411">
        <v>0</v>
      </c>
      <c r="H297" s="3412"/>
      <c r="I297" s="3412"/>
      <c r="J297" s="3412"/>
      <c r="K297" s="3412"/>
      <c r="L297" s="3413"/>
    </row>
    <row r="298" spans="3:12">
      <c r="C298" s="3411" t="s">
        <v>5401</v>
      </c>
      <c r="D298" s="3412"/>
      <c r="E298" s="3412"/>
      <c r="F298" s="3413"/>
      <c r="G298" s="3411" t="s">
        <v>5403</v>
      </c>
      <c r="H298" s="3412"/>
      <c r="I298" s="3412"/>
      <c r="J298" s="3412"/>
      <c r="K298" s="3412"/>
      <c r="L298" s="3413"/>
    </row>
    <row r="299" spans="3:12">
      <c r="C299" s="3408" t="s">
        <v>3226</v>
      </c>
      <c r="D299" s="3409"/>
      <c r="E299" s="3409"/>
      <c r="F299" s="3410"/>
      <c r="G299" s="3411">
        <v>790992</v>
      </c>
      <c r="H299" s="3412"/>
      <c r="I299" s="3412"/>
      <c r="J299" s="3412"/>
      <c r="K299" s="3412"/>
      <c r="L299" s="3413"/>
    </row>
    <row r="300" spans="3:12" ht="15" thickBot="1">
      <c r="C300" s="3405" t="s">
        <v>5401</v>
      </c>
      <c r="D300" s="3406"/>
      <c r="E300" s="3406"/>
      <c r="F300" s="3407"/>
      <c r="G300" s="3405" t="s">
        <v>5404</v>
      </c>
      <c r="H300" s="3406"/>
      <c r="I300" s="3406"/>
      <c r="J300" s="3406"/>
      <c r="K300" s="3406"/>
      <c r="L300" s="3407"/>
    </row>
    <row r="301" spans="3:12" ht="15" thickTop="1"/>
  </sheetData>
  <mergeCells count="48">
    <mergeCell ref="B92:B93"/>
    <mergeCell ref="C92:F92"/>
    <mergeCell ref="G92:K92"/>
    <mergeCell ref="A180:B180"/>
    <mergeCell ref="B183:B184"/>
    <mergeCell ref="C183:F183"/>
    <mergeCell ref="G183:K183"/>
    <mergeCell ref="K257:K258"/>
    <mergeCell ref="F259:F265"/>
    <mergeCell ref="K259:K270"/>
    <mergeCell ref="F266:G266"/>
    <mergeCell ref="F267:F268"/>
    <mergeCell ref="C203:D203"/>
    <mergeCell ref="E257:E270"/>
    <mergeCell ref="F257:F258"/>
    <mergeCell ref="G257:G258"/>
    <mergeCell ref="H257:J257"/>
    <mergeCell ref="F269:G269"/>
    <mergeCell ref="F270:G270"/>
    <mergeCell ref="E271:E281"/>
    <mergeCell ref="F271:F276"/>
    <mergeCell ref="K271:K281"/>
    <mergeCell ref="F277:G277"/>
    <mergeCell ref="F278:F279"/>
    <mergeCell ref="F280:G280"/>
    <mergeCell ref="F281:G281"/>
    <mergeCell ref="E282:G282"/>
    <mergeCell ref="C291:C292"/>
    <mergeCell ref="D291:D292"/>
    <mergeCell ref="E291:E292"/>
    <mergeCell ref="G291:H291"/>
    <mergeCell ref="K291:L291"/>
    <mergeCell ref="G295:H295"/>
    <mergeCell ref="I295:J295"/>
    <mergeCell ref="K295:L295"/>
    <mergeCell ref="C296:F296"/>
    <mergeCell ref="G296:H296"/>
    <mergeCell ref="I296:J296"/>
    <mergeCell ref="K296:L296"/>
    <mergeCell ref="I291:J291"/>
    <mergeCell ref="C300:F300"/>
    <mergeCell ref="G300:L300"/>
    <mergeCell ref="C297:F297"/>
    <mergeCell ref="G297:L297"/>
    <mergeCell ref="C298:F298"/>
    <mergeCell ref="G298:L298"/>
    <mergeCell ref="C299:F299"/>
    <mergeCell ref="G299:L299"/>
  </mergeCells>
  <phoneticPr fontId="141" type="noConversion"/>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4396-631D-4B0F-904C-7BAD7E28E3B3}">
  <dimension ref="A1:K14"/>
  <sheetViews>
    <sheetView workbookViewId="0">
      <selection activeCell="H14" sqref="H14"/>
    </sheetView>
  </sheetViews>
  <sheetFormatPr defaultRowHeight="13.5"/>
  <sheetData>
    <row r="1" spans="1:11" ht="16.5">
      <c r="A1" s="3066" t="s">
        <v>5428</v>
      </c>
      <c r="B1" s="3280" t="s">
        <v>5709</v>
      </c>
      <c r="C1" s="3280" t="s">
        <v>5710</v>
      </c>
      <c r="D1" s="3280" t="s">
        <v>5711</v>
      </c>
      <c r="E1" s="3280" t="s">
        <v>3171</v>
      </c>
      <c r="F1" s="3281" t="s">
        <v>5712</v>
      </c>
      <c r="G1" s="3282" t="s">
        <v>3490</v>
      </c>
      <c r="H1" s="3283" t="s">
        <v>3491</v>
      </c>
    </row>
    <row r="2" spans="1:11" ht="14.25">
      <c r="A2">
        <v>1</v>
      </c>
      <c r="B2" s="3284">
        <v>31</v>
      </c>
      <c r="C2" s="3284">
        <v>87</v>
      </c>
      <c r="D2" s="3284">
        <v>1</v>
      </c>
      <c r="E2" s="3284">
        <v>101</v>
      </c>
      <c r="F2" s="3150" t="s">
        <v>5512</v>
      </c>
      <c r="G2" s="3284">
        <v>190.69</v>
      </c>
      <c r="H2" s="3285">
        <v>10963340</v>
      </c>
      <c r="J2" s="3066" t="s">
        <v>5512</v>
      </c>
      <c r="K2">
        <f>G2+G5+G6+G8+G10+G12+G14</f>
        <v>1473.1699999999998</v>
      </c>
    </row>
    <row r="3" spans="1:11" ht="14.25">
      <c r="B3" s="3284">
        <v>31</v>
      </c>
      <c r="C3" s="3284">
        <v>87</v>
      </c>
      <c r="D3" s="3284">
        <v>1</v>
      </c>
      <c r="E3" s="3284">
        <v>101</v>
      </c>
      <c r="F3" s="3150" t="s">
        <v>5713</v>
      </c>
      <c r="G3" s="3284">
        <v>115.38</v>
      </c>
      <c r="H3" s="3285">
        <v>3461400</v>
      </c>
      <c r="J3" s="3066" t="s">
        <v>5629</v>
      </c>
      <c r="K3">
        <f>G3+G7+G9+G11+G13</f>
        <v>496.05</v>
      </c>
    </row>
    <row r="4" spans="1:11">
      <c r="G4">
        <f>SUM(G2:G3)</f>
        <v>306.07</v>
      </c>
    </row>
    <row r="5" spans="1:11">
      <c r="A5">
        <v>2</v>
      </c>
      <c r="C5">
        <v>85</v>
      </c>
      <c r="D5">
        <v>1</v>
      </c>
      <c r="E5">
        <v>101</v>
      </c>
      <c r="F5" s="3066" t="s">
        <v>5512</v>
      </c>
      <c r="G5" s="3066">
        <v>306.60000000000002</v>
      </c>
    </row>
    <row r="6" spans="1:11">
      <c r="A6">
        <v>3</v>
      </c>
      <c r="C6">
        <v>85</v>
      </c>
      <c r="D6">
        <v>1</v>
      </c>
      <c r="E6">
        <v>102</v>
      </c>
      <c r="F6" s="3066" t="s">
        <v>5512</v>
      </c>
      <c r="G6">
        <v>167.35</v>
      </c>
    </row>
    <row r="7" spans="1:11" ht="14.25">
      <c r="C7">
        <v>85</v>
      </c>
      <c r="D7">
        <v>1</v>
      </c>
      <c r="E7">
        <v>102</v>
      </c>
      <c r="F7" s="3150" t="s">
        <v>5713</v>
      </c>
      <c r="G7">
        <v>95.17</v>
      </c>
    </row>
    <row r="8" spans="1:11">
      <c r="A8">
        <v>4</v>
      </c>
      <c r="C8">
        <v>85</v>
      </c>
      <c r="D8">
        <v>2</v>
      </c>
      <c r="E8">
        <v>101</v>
      </c>
      <c r="F8" s="3066" t="s">
        <v>5512</v>
      </c>
      <c r="G8">
        <v>167.35</v>
      </c>
    </row>
    <row r="9" spans="1:11" ht="14.25">
      <c r="C9">
        <v>85</v>
      </c>
      <c r="D9">
        <v>2</v>
      </c>
      <c r="E9">
        <v>101</v>
      </c>
      <c r="F9" s="3150" t="s">
        <v>5713</v>
      </c>
      <c r="G9">
        <v>95.17</v>
      </c>
    </row>
    <row r="10" spans="1:11">
      <c r="A10">
        <v>5</v>
      </c>
      <c r="C10">
        <v>85</v>
      </c>
      <c r="D10">
        <v>2</v>
      </c>
      <c r="E10">
        <v>102</v>
      </c>
      <c r="F10" s="3066" t="s">
        <v>5512</v>
      </c>
      <c r="G10">
        <v>167.57</v>
      </c>
    </row>
    <row r="11" spans="1:11" ht="14.25">
      <c r="C11">
        <v>85</v>
      </c>
      <c r="D11">
        <v>2</v>
      </c>
      <c r="E11">
        <v>102</v>
      </c>
      <c r="F11" s="3150" t="s">
        <v>5713</v>
      </c>
      <c r="G11">
        <v>95.16</v>
      </c>
    </row>
    <row r="12" spans="1:11">
      <c r="A12">
        <v>6</v>
      </c>
      <c r="C12">
        <v>85</v>
      </c>
      <c r="D12">
        <v>3</v>
      </c>
      <c r="E12">
        <v>101</v>
      </c>
      <c r="F12" s="3066" t="s">
        <v>5512</v>
      </c>
      <c r="G12">
        <v>167.35</v>
      </c>
    </row>
    <row r="13" spans="1:11" ht="14.25">
      <c r="C13">
        <v>85</v>
      </c>
      <c r="D13">
        <v>3</v>
      </c>
      <c r="E13">
        <v>101</v>
      </c>
      <c r="F13" s="3150" t="s">
        <v>5713</v>
      </c>
      <c r="G13">
        <v>95.17</v>
      </c>
    </row>
    <row r="14" spans="1:11">
      <c r="A14">
        <v>7</v>
      </c>
      <c r="C14">
        <v>85</v>
      </c>
      <c r="D14">
        <v>3</v>
      </c>
      <c r="E14">
        <v>102</v>
      </c>
      <c r="F14" s="3286" t="s">
        <v>5512</v>
      </c>
      <c r="G14">
        <v>306.26</v>
      </c>
    </row>
  </sheetData>
  <phoneticPr fontId="14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295" t="str">
        <f>项目基本情况!B1</f>
        <v>北京市0331地块部分在建工程出让国有建设用地使用权及在建建筑物房地产抵押价值预评估</v>
      </c>
      <c r="C37" s="3295"/>
      <c r="D37" s="3295"/>
      <c r="E37" s="3295"/>
      <c r="F37" s="3295"/>
      <c r="G37" s="3295"/>
      <c r="H37" s="3295"/>
      <c r="I37" s="3295"/>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吴薇（注册号：1419970001)、郑燚（注册号：1120070131)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BB7E5-0DA4-466D-B4C4-B4683AA7D08D}">
  <dimension ref="A1:K99"/>
  <sheetViews>
    <sheetView topLeftCell="A79" workbookViewId="0">
      <selection activeCell="H99" sqref="H99"/>
    </sheetView>
  </sheetViews>
  <sheetFormatPr defaultRowHeight="13.5"/>
  <cols>
    <col min="3" max="3" width="10.5" bestFit="1" customWidth="1"/>
    <col min="4" max="6" width="9" customWidth="1"/>
    <col min="7" max="7" width="10.5" customWidth="1"/>
    <col min="11" max="11" width="10.5" bestFit="1" customWidth="1"/>
  </cols>
  <sheetData>
    <row r="1" spans="1:9">
      <c r="A1" t="s">
        <v>5536</v>
      </c>
      <c r="B1" t="s">
        <v>5537</v>
      </c>
      <c r="C1" t="s">
        <v>5538</v>
      </c>
      <c r="D1" t="s">
        <v>5539</v>
      </c>
      <c r="H1" s="3066" t="s">
        <v>5628</v>
      </c>
      <c r="I1" s="3066" t="s">
        <v>5629</v>
      </c>
    </row>
    <row r="2" spans="1:9">
      <c r="A2">
        <v>1</v>
      </c>
      <c r="B2" t="s">
        <v>5540</v>
      </c>
      <c r="C2">
        <v>1223.99</v>
      </c>
      <c r="D2">
        <v>67</v>
      </c>
      <c r="H2">
        <f>178.86+178.63+178.63</f>
        <v>536.12</v>
      </c>
      <c r="I2">
        <f>C2-H2</f>
        <v>687.87</v>
      </c>
    </row>
    <row r="3" spans="1:9">
      <c r="A3">
        <v>2</v>
      </c>
      <c r="B3" t="s">
        <v>5541</v>
      </c>
      <c r="C3">
        <v>1629.84</v>
      </c>
      <c r="D3">
        <v>66</v>
      </c>
      <c r="H3">
        <f>178.66+178.43+178.43+178.43</f>
        <v>713.95</v>
      </c>
      <c r="I3">
        <f t="shared" ref="I3:I11" si="0">C3-H3</f>
        <v>915.88999999999987</v>
      </c>
    </row>
    <row r="4" spans="1:9">
      <c r="A4">
        <v>3</v>
      </c>
      <c r="B4" t="s">
        <v>5542</v>
      </c>
      <c r="C4">
        <v>1629.84</v>
      </c>
      <c r="D4">
        <v>65</v>
      </c>
      <c r="H4">
        <f>178.66+178.43+178.43+178.43</f>
        <v>713.95</v>
      </c>
      <c r="I4">
        <f t="shared" si="0"/>
        <v>915.88999999999987</v>
      </c>
    </row>
    <row r="5" spans="1:9">
      <c r="A5">
        <v>4</v>
      </c>
      <c r="B5" t="s">
        <v>5543</v>
      </c>
      <c r="C5">
        <v>1629.84</v>
      </c>
      <c r="D5">
        <v>26</v>
      </c>
      <c r="H5">
        <f>178.66+178.43+178.43+178.43</f>
        <v>713.95</v>
      </c>
      <c r="I5">
        <f t="shared" si="0"/>
        <v>915.88999999999987</v>
      </c>
    </row>
    <row r="6" spans="1:9">
      <c r="A6">
        <v>5</v>
      </c>
      <c r="B6" t="s">
        <v>5544</v>
      </c>
      <c r="C6">
        <v>1822.98</v>
      </c>
      <c r="D6">
        <v>68</v>
      </c>
      <c r="H6">
        <f>135.15+135.15+134.96+134.96+134.81+134.81</f>
        <v>809.83999999999992</v>
      </c>
      <c r="I6">
        <f t="shared" si="0"/>
        <v>1013.1400000000001</v>
      </c>
    </row>
    <row r="7" spans="1:9">
      <c r="A7">
        <v>6</v>
      </c>
      <c r="B7" s="3232" t="s">
        <v>5545</v>
      </c>
      <c r="C7">
        <v>1219.19</v>
      </c>
      <c r="D7">
        <v>69</v>
      </c>
      <c r="H7">
        <f>135.54+135.54+135.19+135.19</f>
        <v>541.46</v>
      </c>
      <c r="I7">
        <f t="shared" si="0"/>
        <v>677.73</v>
      </c>
    </row>
    <row r="8" spans="1:9">
      <c r="A8">
        <v>7</v>
      </c>
      <c r="B8" t="s">
        <v>5546</v>
      </c>
      <c r="C8">
        <v>2427.8200000000002</v>
      </c>
      <c r="D8">
        <v>64</v>
      </c>
      <c r="H8">
        <f>134.95*2+134.76*4+134.61*2</f>
        <v>1078.1599999999999</v>
      </c>
      <c r="I8">
        <f>C8-H8</f>
        <v>1349.6600000000003</v>
      </c>
    </row>
    <row r="9" spans="1:9">
      <c r="A9">
        <v>8</v>
      </c>
      <c r="B9" t="s">
        <v>5547</v>
      </c>
      <c r="C9">
        <v>1822.98</v>
      </c>
      <c r="D9">
        <v>63</v>
      </c>
      <c r="H9">
        <f>135.15*2+134.96*2+134.81*2</f>
        <v>809.84</v>
      </c>
      <c r="I9">
        <f t="shared" si="0"/>
        <v>1013.14</v>
      </c>
    </row>
    <row r="10" spans="1:9">
      <c r="A10">
        <v>9</v>
      </c>
      <c r="B10" t="s">
        <v>5548</v>
      </c>
      <c r="C10">
        <v>1821.78</v>
      </c>
      <c r="D10">
        <v>27</v>
      </c>
      <c r="H10">
        <f>135.04*2+134.85*2+134.7*2</f>
        <v>809.18</v>
      </c>
      <c r="I10">
        <f t="shared" si="0"/>
        <v>1012.6</v>
      </c>
    </row>
    <row r="11" spans="1:9">
      <c r="A11">
        <v>10</v>
      </c>
      <c r="B11" t="s">
        <v>5549</v>
      </c>
      <c r="C11">
        <v>1822.98</v>
      </c>
      <c r="D11">
        <v>28</v>
      </c>
      <c r="E11" t="s">
        <v>5550</v>
      </c>
      <c r="F11" s="3066" t="s">
        <v>5551</v>
      </c>
      <c r="G11" s="3066" t="s">
        <v>5552</v>
      </c>
      <c r="H11">
        <f>135.15*2+134.96*2+134.81*2</f>
        <v>809.84</v>
      </c>
      <c r="I11">
        <f t="shared" si="0"/>
        <v>1013.14</v>
      </c>
    </row>
    <row r="12" spans="1:9">
      <c r="A12" s="3225"/>
      <c r="B12" s="3225" t="s">
        <v>40</v>
      </c>
      <c r="C12" s="3225">
        <f>SUM(C2:C11)</f>
        <v>17051.240000000002</v>
      </c>
      <c r="D12" s="3225"/>
      <c r="E12" s="3225">
        <v>17051.240000000002</v>
      </c>
      <c r="F12" s="3225">
        <f>'[2]31按大证分抵押物清单（过程）'!G70</f>
        <v>7081.6299999999983</v>
      </c>
      <c r="G12" s="3225">
        <f>E12-F12</f>
        <v>9969.6100000000042</v>
      </c>
      <c r="H12">
        <f>SUM(H2:H11)</f>
        <v>7536.2900000000009</v>
      </c>
      <c r="I12">
        <f>SUM(I2:I11)</f>
        <v>9514.9499999999989</v>
      </c>
    </row>
    <row r="13" spans="1:9">
      <c r="A13">
        <v>11</v>
      </c>
      <c r="B13" t="s">
        <v>5553</v>
      </c>
      <c r="C13">
        <v>1821.78</v>
      </c>
      <c r="D13">
        <v>71</v>
      </c>
      <c r="H13">
        <f>135.04*2+134.85*2+134.7*2</f>
        <v>809.18</v>
      </c>
      <c r="I13">
        <f>C13-H13</f>
        <v>1012.6</v>
      </c>
    </row>
    <row r="14" spans="1:9">
      <c r="A14">
        <v>12</v>
      </c>
      <c r="B14" t="s">
        <v>5554</v>
      </c>
      <c r="C14">
        <v>1219.18</v>
      </c>
      <c r="D14">
        <v>70</v>
      </c>
      <c r="H14">
        <f>135.54*2+135.19*2</f>
        <v>541.46</v>
      </c>
      <c r="I14">
        <f t="shared" ref="I14:I36" si="1">C14-H14</f>
        <v>677.72</v>
      </c>
    </row>
    <row r="15" spans="1:9">
      <c r="A15">
        <v>13</v>
      </c>
      <c r="B15" t="s">
        <v>5555</v>
      </c>
      <c r="C15">
        <v>1245.99</v>
      </c>
      <c r="D15">
        <v>61</v>
      </c>
      <c r="H15">
        <f>139.62+139.41+139.41+139.25</f>
        <v>557.68999999999994</v>
      </c>
      <c r="I15">
        <f t="shared" si="1"/>
        <v>688.30000000000007</v>
      </c>
    </row>
    <row r="16" spans="1:9">
      <c r="A16">
        <v>14</v>
      </c>
      <c r="B16" t="s">
        <v>5556</v>
      </c>
      <c r="C16">
        <v>936.3</v>
      </c>
      <c r="D16">
        <v>62</v>
      </c>
      <c r="H16">
        <f>139.96+139.74+139.59</f>
        <v>419.29000000000008</v>
      </c>
      <c r="I16">
        <f t="shared" si="1"/>
        <v>517.00999999999988</v>
      </c>
    </row>
    <row r="17" spans="1:9">
      <c r="A17">
        <v>15</v>
      </c>
      <c r="B17" t="s">
        <v>5557</v>
      </c>
      <c r="C17">
        <v>934.95</v>
      </c>
      <c r="D17">
        <v>30</v>
      </c>
      <c r="H17">
        <f>139.71+139.5+139.34</f>
        <v>418.55000000000007</v>
      </c>
      <c r="I17">
        <f t="shared" si="1"/>
        <v>516.4</v>
      </c>
    </row>
    <row r="18" spans="1:9">
      <c r="A18">
        <v>16</v>
      </c>
      <c r="B18" t="s">
        <v>5558</v>
      </c>
      <c r="C18">
        <v>935.59</v>
      </c>
      <c r="D18">
        <v>29</v>
      </c>
      <c r="H18">
        <f>139.82+139.61+139.45</f>
        <v>418.88</v>
      </c>
      <c r="I18">
        <f t="shared" si="1"/>
        <v>516.71</v>
      </c>
    </row>
    <row r="19" spans="1:9">
      <c r="A19">
        <v>17</v>
      </c>
      <c r="B19" t="s">
        <v>5559</v>
      </c>
      <c r="C19">
        <v>1823.64</v>
      </c>
      <c r="D19">
        <v>72</v>
      </c>
      <c r="H19">
        <f>135.21*2+135.02*2+134.87*2</f>
        <v>810.2</v>
      </c>
      <c r="I19">
        <f t="shared" si="1"/>
        <v>1013.44</v>
      </c>
    </row>
    <row r="20" spans="1:9">
      <c r="A20">
        <v>18</v>
      </c>
      <c r="B20" t="s">
        <v>5560</v>
      </c>
      <c r="C20">
        <v>1220.4000000000001</v>
      </c>
      <c r="D20">
        <v>73</v>
      </c>
      <c r="H20">
        <f>135.7*2+135.36*2</f>
        <v>542.12</v>
      </c>
      <c r="I20">
        <f t="shared" si="1"/>
        <v>678.28000000000009</v>
      </c>
    </row>
    <row r="21" spans="1:9">
      <c r="A21">
        <v>19</v>
      </c>
      <c r="B21" t="s">
        <v>5561</v>
      </c>
      <c r="C21">
        <v>2427.8200000000002</v>
      </c>
      <c r="D21">
        <v>60</v>
      </c>
      <c r="H21">
        <f>134.95*2+134.76*4+134.61*2</f>
        <v>1078.1599999999999</v>
      </c>
      <c r="I21">
        <f t="shared" si="1"/>
        <v>1349.6600000000003</v>
      </c>
    </row>
    <row r="22" spans="1:9">
      <c r="A22">
        <v>20</v>
      </c>
      <c r="B22" t="s">
        <v>5562</v>
      </c>
      <c r="C22">
        <v>1823.16</v>
      </c>
      <c r="D22">
        <v>59</v>
      </c>
      <c r="H22">
        <f>135.17*2+134.97*2+134.82*2</f>
        <v>809.92</v>
      </c>
      <c r="I22">
        <f t="shared" si="1"/>
        <v>1013.2400000000001</v>
      </c>
    </row>
    <row r="23" spans="1:9">
      <c r="A23">
        <v>21</v>
      </c>
      <c r="B23" t="s">
        <v>5563</v>
      </c>
      <c r="C23">
        <v>1822.98</v>
      </c>
      <c r="D23">
        <v>31</v>
      </c>
      <c r="H23">
        <f>135.15*2+134.96*2+134.81*2</f>
        <v>809.84</v>
      </c>
      <c r="I23">
        <f t="shared" si="1"/>
        <v>1013.14</v>
      </c>
    </row>
    <row r="24" spans="1:9">
      <c r="A24">
        <v>22</v>
      </c>
      <c r="B24" t="s">
        <v>5564</v>
      </c>
      <c r="C24">
        <v>1822.44</v>
      </c>
      <c r="D24">
        <v>32</v>
      </c>
      <c r="H24">
        <f>135.1*2+134.91*2+134.76*2</f>
        <v>809.54</v>
      </c>
      <c r="I24">
        <f t="shared" si="1"/>
        <v>1012.9000000000001</v>
      </c>
    </row>
    <row r="25" spans="1:9">
      <c r="A25">
        <v>23</v>
      </c>
      <c r="B25" t="s">
        <v>5565</v>
      </c>
      <c r="C25">
        <v>1220.58</v>
      </c>
      <c r="D25">
        <v>75</v>
      </c>
      <c r="H25">
        <f>135.73*2+135.38*2</f>
        <v>542.22</v>
      </c>
      <c r="I25">
        <f t="shared" si="1"/>
        <v>678.3599999999999</v>
      </c>
    </row>
    <row r="26" spans="1:9">
      <c r="A26">
        <v>24</v>
      </c>
      <c r="B26" t="s">
        <v>5566</v>
      </c>
      <c r="C26">
        <v>1822.08</v>
      </c>
      <c r="D26">
        <v>74</v>
      </c>
      <c r="H26">
        <f>135.07*2+134.87*2+134.72*2</f>
        <v>809.31999999999994</v>
      </c>
      <c r="I26">
        <f t="shared" si="1"/>
        <v>1012.76</v>
      </c>
    </row>
    <row r="27" spans="1:9">
      <c r="A27">
        <v>25</v>
      </c>
      <c r="B27" t="s">
        <v>5567</v>
      </c>
      <c r="C27">
        <v>2426.6799999999998</v>
      </c>
      <c r="D27">
        <v>57</v>
      </c>
      <c r="H27">
        <f>134.88*2+134.67*4+134.52*2</f>
        <v>1077.48</v>
      </c>
      <c r="I27">
        <f t="shared" si="1"/>
        <v>1349.1999999999998</v>
      </c>
    </row>
    <row r="28" spans="1:9">
      <c r="A28">
        <v>26</v>
      </c>
      <c r="B28" t="s">
        <v>5568</v>
      </c>
      <c r="C28">
        <v>1823.64</v>
      </c>
      <c r="D28">
        <v>58</v>
      </c>
      <c r="H28">
        <f>135.21*2+135.02*2+134.87*2</f>
        <v>810.2</v>
      </c>
      <c r="I28">
        <f t="shared" si="1"/>
        <v>1013.44</v>
      </c>
    </row>
    <row r="29" spans="1:9">
      <c r="A29">
        <v>27</v>
      </c>
      <c r="B29" t="s">
        <v>5569</v>
      </c>
      <c r="C29">
        <v>1530.62</v>
      </c>
      <c r="D29">
        <v>34</v>
      </c>
      <c r="H29">
        <f>136.06*2+135.87*2+137.34</f>
        <v>681.2</v>
      </c>
      <c r="I29">
        <f t="shared" si="1"/>
        <v>849.41999999999985</v>
      </c>
    </row>
    <row r="30" spans="1:9">
      <c r="A30">
        <v>28</v>
      </c>
      <c r="B30" t="s">
        <v>5570</v>
      </c>
      <c r="C30">
        <v>1822.08</v>
      </c>
      <c r="D30">
        <v>33</v>
      </c>
      <c r="H30">
        <f>135.07*2+134.87*2+134.72*2</f>
        <v>809.31999999999994</v>
      </c>
      <c r="I30">
        <f t="shared" si="1"/>
        <v>1012.76</v>
      </c>
    </row>
    <row r="31" spans="1:9">
      <c r="A31">
        <v>29</v>
      </c>
      <c r="B31" t="s">
        <v>5571</v>
      </c>
      <c r="C31">
        <v>1221</v>
      </c>
      <c r="D31">
        <v>76</v>
      </c>
      <c r="H31">
        <f>135.79*2+135.43*2</f>
        <v>542.44000000000005</v>
      </c>
      <c r="I31">
        <f t="shared" si="1"/>
        <v>678.56</v>
      </c>
    </row>
    <row r="32" spans="1:9">
      <c r="A32">
        <v>30</v>
      </c>
      <c r="B32" t="s">
        <v>5572</v>
      </c>
      <c r="C32">
        <v>1822.98</v>
      </c>
      <c r="D32">
        <v>77</v>
      </c>
      <c r="H32">
        <f>135.15*2+134.96*2+134.81*2</f>
        <v>809.84</v>
      </c>
      <c r="I32">
        <f t="shared" si="1"/>
        <v>1013.14</v>
      </c>
    </row>
    <row r="33" spans="1:9">
      <c r="A33">
        <v>31</v>
      </c>
      <c r="B33" t="s">
        <v>5573</v>
      </c>
      <c r="C33">
        <v>2426.6799999999998</v>
      </c>
      <c r="D33">
        <v>56</v>
      </c>
      <c r="H33">
        <f>134.88*2+134.67*4+134.52*2</f>
        <v>1077.48</v>
      </c>
      <c r="I33">
        <f t="shared" si="1"/>
        <v>1349.1999999999998</v>
      </c>
    </row>
    <row r="34" spans="1:9">
      <c r="A34">
        <v>32</v>
      </c>
      <c r="B34" t="s">
        <v>5574</v>
      </c>
      <c r="C34">
        <v>1171.33</v>
      </c>
      <c r="D34">
        <v>55</v>
      </c>
      <c r="H34">
        <f>223.08+223.42</f>
        <v>446.5</v>
      </c>
      <c r="I34">
        <f t="shared" si="1"/>
        <v>724.82999999999993</v>
      </c>
    </row>
    <row r="35" spans="1:9">
      <c r="A35">
        <v>33</v>
      </c>
      <c r="B35" t="s">
        <v>5575</v>
      </c>
      <c r="C35">
        <v>1528.79</v>
      </c>
      <c r="D35">
        <v>35</v>
      </c>
      <c r="H35">
        <f>137.58+135.94+135.75+135.59*2</f>
        <v>680.45</v>
      </c>
      <c r="I35">
        <f t="shared" si="1"/>
        <v>848.33999999999992</v>
      </c>
    </row>
    <row r="36" spans="1:9">
      <c r="A36">
        <v>34</v>
      </c>
      <c r="B36" t="s">
        <v>5576</v>
      </c>
      <c r="C36">
        <v>1821.78</v>
      </c>
      <c r="D36">
        <v>36</v>
      </c>
      <c r="E36" t="s">
        <v>5550</v>
      </c>
      <c r="F36" s="3066" t="s">
        <v>5551</v>
      </c>
      <c r="G36" s="3066" t="s">
        <v>5552</v>
      </c>
      <c r="H36">
        <f>135.04*2+134.85*2+134.7*2</f>
        <v>809.18</v>
      </c>
      <c r="I36">
        <f t="shared" si="1"/>
        <v>1012.6</v>
      </c>
    </row>
    <row r="37" spans="1:9">
      <c r="A37" s="3225"/>
      <c r="B37" s="3225" t="s">
        <v>40</v>
      </c>
      <c r="C37" s="3225">
        <f>SUM(C13:C36)</f>
        <v>38672.469999999994</v>
      </c>
      <c r="D37" s="3225"/>
      <c r="E37" s="3225">
        <v>38672.47</v>
      </c>
      <c r="F37" s="3225">
        <f>'[2]31按大证分抵押物清单（过程）'!G164</f>
        <v>9442.630000000001</v>
      </c>
      <c r="G37" s="3225">
        <f>E37-F37</f>
        <v>29229.84</v>
      </c>
      <c r="H37">
        <f>SUM(H13:H36)</f>
        <v>17120.46</v>
      </c>
      <c r="I37">
        <f>SUM(I13:I36)</f>
        <v>21552.01</v>
      </c>
    </row>
    <row r="38" spans="1:9">
      <c r="A38" s="3226">
        <v>35</v>
      </c>
      <c r="B38" s="3226" t="s">
        <v>5577</v>
      </c>
      <c r="C38" s="3226">
        <v>1822.98</v>
      </c>
      <c r="D38" s="3226">
        <v>79</v>
      </c>
      <c r="E38" s="3226"/>
      <c r="F38" s="3226"/>
      <c r="G38" s="3226"/>
      <c r="H38">
        <f>135.15*2+134.96*2+134.81*2</f>
        <v>809.84</v>
      </c>
      <c r="I38">
        <f>C38-H38</f>
        <v>1013.14</v>
      </c>
    </row>
    <row r="39" spans="1:9">
      <c r="A39" s="3226">
        <v>36</v>
      </c>
      <c r="B39" s="3226" t="s">
        <v>5578</v>
      </c>
      <c r="C39" s="3226">
        <v>1221.06</v>
      </c>
      <c r="D39" s="3226">
        <v>78</v>
      </c>
      <c r="E39" s="3226"/>
      <c r="F39" s="3226"/>
      <c r="G39" s="3226"/>
      <c r="H39">
        <f>135.79*2+135.45*2</f>
        <v>542.48</v>
      </c>
      <c r="I39">
        <f t="shared" ref="I39:I60" si="2">C39-H39</f>
        <v>678.57999999999993</v>
      </c>
    </row>
    <row r="40" spans="1:9">
      <c r="A40" s="3226">
        <v>37</v>
      </c>
      <c r="B40" s="3226" t="s">
        <v>5579</v>
      </c>
      <c r="C40" s="3226">
        <v>2426.6799999999998</v>
      </c>
      <c r="D40" s="3226">
        <v>53</v>
      </c>
      <c r="E40" s="3226"/>
      <c r="F40" s="3226"/>
      <c r="G40" s="3226"/>
      <c r="H40">
        <f>134.88*2+134.67*4+134.52*2</f>
        <v>1077.48</v>
      </c>
      <c r="I40">
        <f t="shared" si="2"/>
        <v>1349.1999999999998</v>
      </c>
    </row>
    <row r="41" spans="1:9">
      <c r="A41" s="3226">
        <v>38</v>
      </c>
      <c r="B41" s="3226" t="s">
        <v>5580</v>
      </c>
      <c r="C41" s="3227">
        <v>1171.33</v>
      </c>
      <c r="D41" s="3228">
        <v>54</v>
      </c>
      <c r="E41" s="3226"/>
      <c r="F41" s="3226"/>
      <c r="G41" s="3226"/>
      <c r="H41">
        <f>223.08+223.43</f>
        <v>446.51</v>
      </c>
      <c r="I41">
        <f t="shared" si="2"/>
        <v>724.81999999999994</v>
      </c>
    </row>
    <row r="42" spans="1:9">
      <c r="A42" s="3226">
        <v>39</v>
      </c>
      <c r="B42" s="3226" t="s">
        <v>5581</v>
      </c>
      <c r="C42" s="3227">
        <v>1823.64</v>
      </c>
      <c r="D42" s="3228">
        <v>38</v>
      </c>
      <c r="E42" s="3226"/>
      <c r="F42" s="3226"/>
      <c r="G42" s="3226"/>
      <c r="H42">
        <f>135.21*2+135.02*2+134.87*2</f>
        <v>810.2</v>
      </c>
      <c r="I42">
        <f t="shared" si="2"/>
        <v>1013.44</v>
      </c>
    </row>
    <row r="43" spans="1:9">
      <c r="A43" s="3226">
        <v>40</v>
      </c>
      <c r="B43" s="3226" t="s">
        <v>5582</v>
      </c>
      <c r="C43" s="3226">
        <v>1821.78</v>
      </c>
      <c r="D43" s="3226">
        <v>37</v>
      </c>
      <c r="E43" s="3226"/>
      <c r="F43" s="3226"/>
      <c r="G43" s="3226"/>
      <c r="H43">
        <f>135.04*2+134.85*2+134.7*2</f>
        <v>809.18</v>
      </c>
      <c r="I43">
        <f t="shared" si="2"/>
        <v>1012.6</v>
      </c>
    </row>
    <row r="44" spans="1:9">
      <c r="A44" s="3226">
        <v>41</v>
      </c>
      <c r="B44" s="3226" t="s">
        <v>5583</v>
      </c>
      <c r="C44" s="3226">
        <v>1822.98</v>
      </c>
      <c r="D44" s="3226">
        <v>80</v>
      </c>
      <c r="E44" s="3226"/>
      <c r="F44" s="3226"/>
      <c r="G44" s="3226"/>
      <c r="H44">
        <f>135.15*2+134.96*2+134.81*2</f>
        <v>809.84</v>
      </c>
      <c r="I44">
        <f t="shared" si="2"/>
        <v>1013.14</v>
      </c>
    </row>
    <row r="45" spans="1:9">
      <c r="A45" s="3226">
        <v>42</v>
      </c>
      <c r="B45" s="3226" t="s">
        <v>5584</v>
      </c>
      <c r="C45" s="3226">
        <v>1220.42</v>
      </c>
      <c r="D45" s="3226">
        <v>81</v>
      </c>
      <c r="E45" s="3226"/>
      <c r="F45" s="3226"/>
      <c r="G45" s="3226"/>
      <c r="H45">
        <f>135.7*2+135.36*2</f>
        <v>542.12</v>
      </c>
      <c r="I45">
        <f t="shared" si="2"/>
        <v>678.30000000000007</v>
      </c>
    </row>
    <row r="46" spans="1:9">
      <c r="A46" s="3226">
        <v>43</v>
      </c>
      <c r="B46" s="3226" t="s">
        <v>5585</v>
      </c>
      <c r="C46" s="3226">
        <v>2427.2199999999998</v>
      </c>
      <c r="D46" s="3226">
        <v>52</v>
      </c>
      <c r="E46" s="3226"/>
      <c r="F46" s="3226"/>
      <c r="G46" s="3226"/>
      <c r="H46">
        <f>134.92*2+134.72*4+134.57*2</f>
        <v>1077.8600000000001</v>
      </c>
      <c r="I46">
        <f t="shared" si="2"/>
        <v>1349.3599999999997</v>
      </c>
    </row>
    <row r="47" spans="1:9">
      <c r="A47" s="3226">
        <v>44</v>
      </c>
      <c r="B47" s="3226" t="s">
        <v>5586</v>
      </c>
      <c r="C47" s="3226">
        <v>1821.78</v>
      </c>
      <c r="D47" s="3226">
        <v>51</v>
      </c>
      <c r="E47" s="3226"/>
      <c r="F47" s="3226"/>
      <c r="G47" s="3226"/>
      <c r="H47">
        <f>135.04*2+134.85*2+134.7*2</f>
        <v>809.18</v>
      </c>
      <c r="I47">
        <f t="shared" si="2"/>
        <v>1012.6</v>
      </c>
    </row>
    <row r="48" spans="1:9">
      <c r="A48" s="3226">
        <v>45</v>
      </c>
      <c r="B48" s="3226" t="s">
        <v>5587</v>
      </c>
      <c r="C48" s="3226">
        <v>1529.97</v>
      </c>
      <c r="D48" s="3226">
        <v>39</v>
      </c>
      <c r="E48" s="3226"/>
      <c r="F48" s="3226"/>
      <c r="G48" s="3226"/>
      <c r="H48">
        <f>135.99*2+135.79*2+137.27</f>
        <v>680.82999999999993</v>
      </c>
      <c r="I48">
        <f t="shared" si="2"/>
        <v>849.1400000000001</v>
      </c>
    </row>
    <row r="49" spans="1:9">
      <c r="A49" s="3226">
        <v>46</v>
      </c>
      <c r="B49" s="3226" t="s">
        <v>5588</v>
      </c>
      <c r="C49" s="3226">
        <v>1822.44</v>
      </c>
      <c r="D49" s="3226">
        <v>40</v>
      </c>
      <c r="E49" s="3226"/>
      <c r="F49" s="3226"/>
      <c r="G49" s="3226"/>
      <c r="H49">
        <f>135.1*2+134.91*2+134.76*2</f>
        <v>809.54</v>
      </c>
      <c r="I49">
        <f t="shared" si="2"/>
        <v>1012.9000000000001</v>
      </c>
    </row>
    <row r="50" spans="1:9">
      <c r="A50" s="3226">
        <v>47</v>
      </c>
      <c r="B50" s="3226" t="s">
        <v>5589</v>
      </c>
      <c r="C50" s="3226">
        <v>1822.44</v>
      </c>
      <c r="D50" s="3226">
        <v>83</v>
      </c>
      <c r="E50" s="3226"/>
      <c r="F50" s="3226"/>
      <c r="G50" s="3226"/>
      <c r="H50">
        <f>135.1*2+134.91*2+134.76*2</f>
        <v>809.54</v>
      </c>
      <c r="I50">
        <f t="shared" si="2"/>
        <v>1012.9000000000001</v>
      </c>
    </row>
    <row r="51" spans="1:9">
      <c r="A51" s="3226">
        <v>48</v>
      </c>
      <c r="B51" s="3226" t="s">
        <v>5590</v>
      </c>
      <c r="C51" s="3226">
        <v>1220.23</v>
      </c>
      <c r="D51" s="3226">
        <v>82</v>
      </c>
      <c r="E51" s="3226"/>
      <c r="F51" s="3226"/>
      <c r="G51" s="3226"/>
      <c r="H51">
        <f>135.68*2+135.33+135.35</f>
        <v>542.04000000000008</v>
      </c>
      <c r="I51">
        <f t="shared" si="2"/>
        <v>678.18999999999994</v>
      </c>
    </row>
    <row r="52" spans="1:9">
      <c r="A52" s="3226">
        <v>49</v>
      </c>
      <c r="B52" s="3226" t="s">
        <v>5591</v>
      </c>
      <c r="C52" s="3226">
        <v>2426.6799999999998</v>
      </c>
      <c r="D52" s="3226">
        <v>49</v>
      </c>
      <c r="E52" s="3226"/>
      <c r="F52" s="3226"/>
      <c r="G52" s="3226"/>
      <c r="H52">
        <f>134.88*2+134.67*4+134.52*2</f>
        <v>1077.48</v>
      </c>
      <c r="I52">
        <f t="shared" si="2"/>
        <v>1349.1999999999998</v>
      </c>
    </row>
    <row r="53" spans="1:9">
      <c r="A53" s="3226">
        <v>50</v>
      </c>
      <c r="B53" s="3226" t="s">
        <v>5592</v>
      </c>
      <c r="C53" s="3226">
        <v>1821.78</v>
      </c>
      <c r="D53" s="3226">
        <v>50</v>
      </c>
      <c r="E53" s="3226"/>
      <c r="F53" s="3226"/>
      <c r="G53" s="3226"/>
      <c r="H53">
        <f>135.04*2+134.85*2+134.7*2</f>
        <v>809.18</v>
      </c>
      <c r="I53">
        <f t="shared" si="2"/>
        <v>1012.6</v>
      </c>
    </row>
    <row r="54" spans="1:9">
      <c r="A54" s="3226">
        <v>51</v>
      </c>
      <c r="B54" s="3226" t="s">
        <v>5593</v>
      </c>
      <c r="C54" s="3226">
        <v>1822.98</v>
      </c>
      <c r="D54" s="3226">
        <v>42</v>
      </c>
      <c r="E54" s="3226"/>
      <c r="F54" s="3226"/>
      <c r="G54" s="3226"/>
      <c r="H54">
        <f>135.15*2+134.96*2+134.81*2</f>
        <v>809.84</v>
      </c>
      <c r="I54">
        <f t="shared" si="2"/>
        <v>1013.14</v>
      </c>
    </row>
    <row r="55" spans="1:9">
      <c r="A55" s="3226">
        <v>52</v>
      </c>
      <c r="B55" s="3226" t="s">
        <v>5594</v>
      </c>
      <c r="C55" s="3226">
        <v>1822.44</v>
      </c>
      <c r="D55" s="3226">
        <v>41</v>
      </c>
      <c r="E55" s="3226"/>
      <c r="F55" s="3226"/>
      <c r="G55" s="3226"/>
      <c r="H55">
        <f>135.1*2+134.91*2+134.76*2</f>
        <v>809.54</v>
      </c>
      <c r="I55">
        <f t="shared" si="2"/>
        <v>1012.9000000000001</v>
      </c>
    </row>
    <row r="56" spans="1:9">
      <c r="A56" s="3226">
        <v>53</v>
      </c>
      <c r="B56" s="3226" t="s">
        <v>5595</v>
      </c>
      <c r="C56" s="3226">
        <v>1246.6099999999999</v>
      </c>
      <c r="D56" s="3226">
        <v>48</v>
      </c>
      <c r="E56" s="3226"/>
      <c r="F56" s="3226"/>
      <c r="G56" s="3226"/>
      <c r="H56">
        <f>139.5+139.29*2+139.14</f>
        <v>557.22</v>
      </c>
      <c r="I56">
        <f t="shared" si="2"/>
        <v>689.38999999999987</v>
      </c>
    </row>
    <row r="57" spans="1:9">
      <c r="A57" s="3226">
        <v>54</v>
      </c>
      <c r="B57" s="3226" t="s">
        <v>5596</v>
      </c>
      <c r="C57" s="3226">
        <v>1822.44</v>
      </c>
      <c r="D57" s="3226">
        <v>47</v>
      </c>
      <c r="E57" s="3226"/>
      <c r="F57" s="3226"/>
      <c r="G57" s="3226"/>
      <c r="H57">
        <f>135.1*2+134.91*2+134.76*2</f>
        <v>809.54</v>
      </c>
      <c r="I57">
        <f t="shared" si="2"/>
        <v>1012.9000000000001</v>
      </c>
    </row>
    <row r="58" spans="1:9">
      <c r="A58" s="3226">
        <v>55</v>
      </c>
      <c r="B58" s="3226" t="s">
        <v>5597</v>
      </c>
      <c r="C58" s="3226">
        <v>1822.98</v>
      </c>
      <c r="D58" s="3226">
        <v>43</v>
      </c>
      <c r="E58" s="3226"/>
      <c r="F58" s="3226"/>
      <c r="G58" s="3226"/>
      <c r="H58">
        <f>135.15*2+134.96*2+134.81*2</f>
        <v>809.84</v>
      </c>
      <c r="I58">
        <f t="shared" si="2"/>
        <v>1013.14</v>
      </c>
    </row>
    <row r="59" spans="1:9">
      <c r="A59" s="3226">
        <v>56</v>
      </c>
      <c r="B59" s="3226" t="s">
        <v>5598</v>
      </c>
      <c r="C59" s="3226">
        <v>1821.78</v>
      </c>
      <c r="D59" s="3226">
        <v>44</v>
      </c>
      <c r="E59" s="3226"/>
      <c r="F59" s="3226"/>
      <c r="G59" s="3229">
        <f>C41-G60</f>
        <v>585.82999999999993</v>
      </c>
      <c r="H59">
        <f>135.04*2+134.85*2+134.7*2</f>
        <v>809.18</v>
      </c>
      <c r="I59">
        <f t="shared" si="2"/>
        <v>1012.6</v>
      </c>
    </row>
    <row r="60" spans="1:9">
      <c r="A60" s="3226">
        <v>57</v>
      </c>
      <c r="B60" s="3226" t="s">
        <v>5599</v>
      </c>
      <c r="C60" s="3226">
        <v>1246.51</v>
      </c>
      <c r="D60" s="3226">
        <v>46</v>
      </c>
      <c r="E60" s="3226"/>
      <c r="F60" s="3226"/>
      <c r="G60" s="3230">
        <v>585.5</v>
      </c>
      <c r="H60">
        <f>139.6+139.38+139.39+139.23</f>
        <v>557.6</v>
      </c>
      <c r="I60">
        <f t="shared" si="2"/>
        <v>688.91</v>
      </c>
    </row>
    <row r="61" spans="1:9">
      <c r="A61" s="3226">
        <v>58</v>
      </c>
      <c r="B61" s="3226" t="s">
        <v>5600</v>
      </c>
      <c r="C61" s="3226">
        <v>1219.8599999999999</v>
      </c>
      <c r="D61" s="3226">
        <v>45</v>
      </c>
      <c r="E61" s="3226" t="s">
        <v>5550</v>
      </c>
      <c r="F61" s="3226" t="s">
        <v>5601</v>
      </c>
      <c r="G61" s="3226" t="s">
        <v>5552</v>
      </c>
      <c r="H61">
        <f>135.63*2+135.28*2</f>
        <v>541.81999999999994</v>
      </c>
      <c r="I61">
        <f>C61-H61</f>
        <v>678.04</v>
      </c>
    </row>
    <row r="62" spans="1:9">
      <c r="A62" s="3225"/>
      <c r="B62" s="3225" t="s">
        <v>40</v>
      </c>
      <c r="C62" s="3225">
        <f>SUM(C38:C61)</f>
        <v>41049.01</v>
      </c>
      <c r="D62" s="3225"/>
      <c r="E62" s="3225">
        <v>38054.04</v>
      </c>
      <c r="F62" s="3225">
        <f>'[2]31按大证分抵押物清单（过程）'!G295</f>
        <v>13200.780000000004</v>
      </c>
      <c r="G62" s="3231">
        <f>E62-F62+C42+G59</f>
        <v>27262.729999999996</v>
      </c>
      <c r="H62">
        <f>SUM(H38:H61)</f>
        <v>18167.88</v>
      </c>
      <c r="I62">
        <f>SUM(I38:I61)</f>
        <v>22881.130000000005</v>
      </c>
    </row>
    <row r="63" spans="1:9">
      <c r="A63">
        <v>59</v>
      </c>
      <c r="B63" t="s">
        <v>5602</v>
      </c>
      <c r="C63">
        <v>305.11</v>
      </c>
      <c r="H63">
        <v>0</v>
      </c>
      <c r="I63">
        <v>0</v>
      </c>
    </row>
    <row r="64" spans="1:9">
      <c r="A64">
        <v>60</v>
      </c>
      <c r="B64" t="s">
        <v>5603</v>
      </c>
      <c r="C64">
        <v>817.82</v>
      </c>
      <c r="D64">
        <v>25</v>
      </c>
      <c r="H64">
        <f>179.32+179.09</f>
        <v>358.40999999999997</v>
      </c>
      <c r="I64">
        <f>C64-H64</f>
        <v>459.41000000000008</v>
      </c>
    </row>
    <row r="65" spans="1:9">
      <c r="A65">
        <v>61</v>
      </c>
      <c r="B65" t="s">
        <v>5604</v>
      </c>
      <c r="C65">
        <v>1220.4100000000001</v>
      </c>
      <c r="D65">
        <v>24</v>
      </c>
      <c r="H65">
        <f>135.7*2+135.36*2</f>
        <v>542.12</v>
      </c>
      <c r="I65">
        <f>C65-H65</f>
        <v>678.29000000000008</v>
      </c>
    </row>
    <row r="66" spans="1:9">
      <c r="A66">
        <v>62</v>
      </c>
      <c r="B66" t="s">
        <v>5605</v>
      </c>
      <c r="C66">
        <v>1827.42</v>
      </c>
      <c r="D66">
        <v>23</v>
      </c>
      <c r="H66">
        <f>135.37*2+135.18*2+135.03*2</f>
        <v>811.16000000000008</v>
      </c>
      <c r="I66">
        <f>C66-H66</f>
        <v>1016.26</v>
      </c>
    </row>
    <row r="67" spans="1:9">
      <c r="A67">
        <v>63</v>
      </c>
      <c r="B67" t="s">
        <v>5606</v>
      </c>
      <c r="C67">
        <v>1220.4000000000001</v>
      </c>
      <c r="D67">
        <v>21</v>
      </c>
      <c r="H67">
        <f>135.7*2+135.36*2</f>
        <v>542.12</v>
      </c>
      <c r="I67">
        <f t="shared" ref="I67:I88" si="3">C67-H67</f>
        <v>678.28000000000009</v>
      </c>
    </row>
    <row r="68" spans="1:9">
      <c r="A68">
        <v>64</v>
      </c>
      <c r="B68" t="s">
        <v>5607</v>
      </c>
      <c r="C68">
        <v>1827.22</v>
      </c>
      <c r="D68">
        <v>22</v>
      </c>
      <c r="H68">
        <f>135.36*2+135.16*2+135.01*2</f>
        <v>811.06</v>
      </c>
      <c r="I68">
        <f t="shared" si="3"/>
        <v>1016.1600000000001</v>
      </c>
    </row>
    <row r="69" spans="1:9">
      <c r="A69">
        <v>65</v>
      </c>
      <c r="B69" t="s">
        <v>5608</v>
      </c>
      <c r="C69">
        <v>1219.8699999999999</v>
      </c>
      <c r="D69">
        <v>20</v>
      </c>
      <c r="H69">
        <f>135.63*2+135.3+135.28</f>
        <v>541.84</v>
      </c>
      <c r="I69">
        <f t="shared" si="3"/>
        <v>678.02999999999986</v>
      </c>
    </row>
    <row r="70" spans="1:9">
      <c r="A70">
        <v>66</v>
      </c>
      <c r="B70" t="s">
        <v>5609</v>
      </c>
      <c r="C70">
        <v>1827.22</v>
      </c>
      <c r="D70">
        <v>19</v>
      </c>
      <c r="H70">
        <f>135.36*2+135.16*2+135.01*2</f>
        <v>811.06</v>
      </c>
      <c r="I70">
        <f t="shared" si="3"/>
        <v>1016.1600000000001</v>
      </c>
    </row>
    <row r="71" spans="1:9">
      <c r="A71">
        <v>67</v>
      </c>
      <c r="B71" t="s">
        <v>5610</v>
      </c>
      <c r="C71">
        <v>1822.98</v>
      </c>
      <c r="D71">
        <v>17</v>
      </c>
      <c r="H71">
        <f>135.15*2+134.96*2+134.81*2</f>
        <v>809.84</v>
      </c>
      <c r="I71">
        <f t="shared" si="3"/>
        <v>1013.14</v>
      </c>
    </row>
    <row r="72" spans="1:9">
      <c r="A72">
        <v>68</v>
      </c>
      <c r="B72" t="s">
        <v>5611</v>
      </c>
      <c r="C72">
        <v>1223.01</v>
      </c>
      <c r="D72">
        <v>18</v>
      </c>
      <c r="H72">
        <f>135.92*2+135.58*2</f>
        <v>543</v>
      </c>
      <c r="I72">
        <f t="shared" si="3"/>
        <v>680.01</v>
      </c>
    </row>
    <row r="73" spans="1:9">
      <c r="A73">
        <v>69</v>
      </c>
      <c r="B73" t="s">
        <v>5612</v>
      </c>
      <c r="C73">
        <v>946.8</v>
      </c>
      <c r="D73">
        <v>16</v>
      </c>
      <c r="H73">
        <f>139.93+139.72+139.57</f>
        <v>419.21999999999997</v>
      </c>
      <c r="I73">
        <f t="shared" si="3"/>
        <v>527.57999999999993</v>
      </c>
    </row>
    <row r="74" spans="1:9">
      <c r="A74">
        <v>70</v>
      </c>
      <c r="B74" t="s">
        <v>5613</v>
      </c>
      <c r="C74">
        <v>630.34</v>
      </c>
      <c r="D74">
        <v>15</v>
      </c>
      <c r="H74">
        <f>142.36+141.27</f>
        <v>283.63</v>
      </c>
      <c r="I74">
        <f t="shared" si="3"/>
        <v>346.71000000000004</v>
      </c>
    </row>
    <row r="75" spans="1:9">
      <c r="A75">
        <v>71</v>
      </c>
      <c r="B75" t="s">
        <v>5614</v>
      </c>
      <c r="C75">
        <v>1822.98</v>
      </c>
      <c r="D75">
        <v>13</v>
      </c>
      <c r="H75">
        <f>135.15*2+134.96*2+134.81*2</f>
        <v>809.84</v>
      </c>
      <c r="I75">
        <f t="shared" si="3"/>
        <v>1013.14</v>
      </c>
    </row>
    <row r="76" spans="1:9">
      <c r="A76">
        <v>72</v>
      </c>
      <c r="B76" t="s">
        <v>5615</v>
      </c>
      <c r="C76">
        <v>1223</v>
      </c>
      <c r="D76">
        <v>14</v>
      </c>
      <c r="H76">
        <f>135.94*2+135.59*2</f>
        <v>543.05999999999995</v>
      </c>
      <c r="I76">
        <f t="shared" si="3"/>
        <v>679.94</v>
      </c>
    </row>
    <row r="77" spans="1:9">
      <c r="A77">
        <v>73</v>
      </c>
      <c r="B77" t="s">
        <v>5616</v>
      </c>
      <c r="C77">
        <v>1220.42</v>
      </c>
      <c r="D77">
        <v>12</v>
      </c>
      <c r="H77">
        <f>135.71*2+135.36*2</f>
        <v>542.1400000000001</v>
      </c>
      <c r="I77">
        <f t="shared" si="3"/>
        <v>678.28</v>
      </c>
    </row>
    <row r="78" spans="1:9">
      <c r="A78">
        <v>74</v>
      </c>
      <c r="B78" t="s">
        <v>5617</v>
      </c>
      <c r="C78">
        <v>1827.9</v>
      </c>
      <c r="D78">
        <v>11</v>
      </c>
      <c r="H78">
        <f>135.41*2+135.22*2+135.07*2</f>
        <v>811.4</v>
      </c>
      <c r="I78">
        <f t="shared" si="3"/>
        <v>1016.5000000000001</v>
      </c>
    </row>
    <row r="79" spans="1:9">
      <c r="A79">
        <v>75</v>
      </c>
      <c r="B79" t="s">
        <v>5618</v>
      </c>
      <c r="C79">
        <v>1220.42</v>
      </c>
      <c r="D79">
        <v>9</v>
      </c>
      <c r="H79">
        <f>135.7*2+135.36*2</f>
        <v>542.12</v>
      </c>
      <c r="I79">
        <f t="shared" si="3"/>
        <v>678.30000000000007</v>
      </c>
    </row>
    <row r="80" spans="1:9">
      <c r="A80">
        <v>76</v>
      </c>
      <c r="B80" t="s">
        <v>5619</v>
      </c>
      <c r="C80">
        <v>1827.22</v>
      </c>
      <c r="D80">
        <v>10</v>
      </c>
      <c r="H80">
        <f>135.36*2+135.16*2+135.01*2</f>
        <v>811.06</v>
      </c>
      <c r="I80">
        <f t="shared" si="3"/>
        <v>1016.1600000000001</v>
      </c>
    </row>
    <row r="81" spans="1:11">
      <c r="A81">
        <v>77</v>
      </c>
      <c r="B81" t="s">
        <v>5620</v>
      </c>
      <c r="C81">
        <v>1220.42</v>
      </c>
      <c r="D81">
        <v>8</v>
      </c>
      <c r="H81">
        <f>135.7*2+135.36*2</f>
        <v>542.12</v>
      </c>
      <c r="I81">
        <f t="shared" si="3"/>
        <v>678.30000000000007</v>
      </c>
    </row>
    <row r="82" spans="1:11">
      <c r="A82">
        <v>78</v>
      </c>
      <c r="B82" t="s">
        <v>5621</v>
      </c>
      <c r="C82">
        <v>1827.22</v>
      </c>
      <c r="D82">
        <v>7</v>
      </c>
      <c r="H82">
        <f>135.36*2+135.16*2+135.01*2</f>
        <v>811.06</v>
      </c>
      <c r="I82">
        <f t="shared" si="3"/>
        <v>1016.1600000000001</v>
      </c>
    </row>
    <row r="83" spans="1:11">
      <c r="A83">
        <v>79</v>
      </c>
      <c r="B83" t="s">
        <v>5622</v>
      </c>
      <c r="C83">
        <v>1822.36</v>
      </c>
      <c r="D83">
        <v>5</v>
      </c>
      <c r="H83">
        <f>135.09*2+134.9*2+134.75*2</f>
        <v>809.48</v>
      </c>
      <c r="I83">
        <f t="shared" si="3"/>
        <v>1012.8799999999999</v>
      </c>
    </row>
    <row r="84" spans="1:11">
      <c r="A84">
        <v>80</v>
      </c>
      <c r="B84" t="s">
        <v>5623</v>
      </c>
      <c r="C84">
        <v>1222.1500000000001</v>
      </c>
      <c r="D84">
        <v>6</v>
      </c>
      <c r="H84">
        <f>135.8*2+135.45*2</f>
        <v>542.5</v>
      </c>
      <c r="I84">
        <f t="shared" si="3"/>
        <v>679.65000000000009</v>
      </c>
    </row>
    <row r="85" spans="1:11">
      <c r="A85">
        <v>81</v>
      </c>
      <c r="B85" t="s">
        <v>5624</v>
      </c>
      <c r="C85">
        <v>1821.78</v>
      </c>
      <c r="D85">
        <v>4</v>
      </c>
      <c r="H85">
        <f>135.04*2+134.85*2+134.7*2</f>
        <v>809.18</v>
      </c>
      <c r="I85">
        <f t="shared" si="3"/>
        <v>1012.6</v>
      </c>
    </row>
    <row r="86" spans="1:11">
      <c r="A86">
        <v>82</v>
      </c>
      <c r="B86" t="s">
        <v>5625</v>
      </c>
      <c r="C86">
        <v>1222.3599999999999</v>
      </c>
      <c r="D86">
        <v>3</v>
      </c>
      <c r="H86">
        <f>135.85*2+135.5*2</f>
        <v>542.70000000000005</v>
      </c>
      <c r="I86">
        <f t="shared" si="3"/>
        <v>679.65999999999985</v>
      </c>
    </row>
    <row r="87" spans="1:11">
      <c r="A87">
        <v>83</v>
      </c>
      <c r="B87" t="s">
        <v>5626</v>
      </c>
      <c r="C87">
        <v>818.01</v>
      </c>
      <c r="D87">
        <v>1</v>
      </c>
      <c r="H87">
        <f>179.38+179.15</f>
        <v>358.53</v>
      </c>
      <c r="I87">
        <f t="shared" si="3"/>
        <v>459.48</v>
      </c>
    </row>
    <row r="88" spans="1:11">
      <c r="A88">
        <v>84</v>
      </c>
      <c r="B88" t="s">
        <v>5627</v>
      </c>
      <c r="C88">
        <v>817.82</v>
      </c>
      <c r="D88">
        <v>2</v>
      </c>
      <c r="E88" t="s">
        <v>5550</v>
      </c>
      <c r="F88" s="3226" t="s">
        <v>5601</v>
      </c>
      <c r="G88" s="3226" t="s">
        <v>5552</v>
      </c>
      <c r="H88">
        <f>179.32+179.09</f>
        <v>358.40999999999997</v>
      </c>
      <c r="I88">
        <f t="shared" si="3"/>
        <v>459.41000000000008</v>
      </c>
    </row>
    <row r="89" spans="1:11">
      <c r="A89" s="3225"/>
      <c r="B89" s="3225" t="s">
        <v>40</v>
      </c>
      <c r="C89" s="3225">
        <f>SUM(C63:C88)</f>
        <v>34802.660000000003</v>
      </c>
      <c r="D89" s="3225"/>
      <c r="E89" s="3225">
        <v>34802.660000000003</v>
      </c>
      <c r="F89" s="3225">
        <v>5810.3</v>
      </c>
      <c r="G89" s="3225">
        <f>E89-F89</f>
        <v>28992.360000000004</v>
      </c>
      <c r="H89">
        <f>SUM(H63:H88)</f>
        <v>15307.060000000001</v>
      </c>
      <c r="I89">
        <f>SUM(I63:I88)</f>
        <v>19190.489999999998</v>
      </c>
    </row>
    <row r="90" spans="1:11">
      <c r="C90">
        <f>C12+C37+C62+C89</f>
        <v>131575.38</v>
      </c>
      <c r="F90">
        <f>F89+F62+F37+F12</f>
        <v>35535.340000000004</v>
      </c>
      <c r="G90">
        <f>G89+G62+G37+G12</f>
        <v>95454.54</v>
      </c>
      <c r="H90">
        <f>H12+H37+H62+H89</f>
        <v>58131.69</v>
      </c>
      <c r="I90">
        <f>I12+I37+I62+I89</f>
        <v>73138.58</v>
      </c>
      <c r="J90">
        <f>C63</f>
        <v>305.11</v>
      </c>
      <c r="K90">
        <f>SUM(H90:J90)</f>
        <v>131575.38</v>
      </c>
    </row>
    <row r="95" spans="1:11">
      <c r="F95" s="3252" t="s">
        <v>5681</v>
      </c>
      <c r="G95" s="3252" t="s">
        <v>5680</v>
      </c>
      <c r="H95" s="3252" t="s">
        <v>5679</v>
      </c>
    </row>
    <row r="96" spans="1:11">
      <c r="F96" s="3252" t="s">
        <v>5676</v>
      </c>
      <c r="G96" s="3075">
        <f>C90</f>
        <v>131575.38</v>
      </c>
      <c r="H96" s="3075">
        <v>0</v>
      </c>
    </row>
    <row r="97" spans="6:8">
      <c r="F97" s="3252" t="s">
        <v>5677</v>
      </c>
      <c r="G97" s="3075">
        <f>'84-91号楼'!N144</f>
        <v>57113.2</v>
      </c>
      <c r="H97" s="3075">
        <v>0.6</v>
      </c>
    </row>
    <row r="98" spans="6:8">
      <c r="F98" s="3252" t="s">
        <v>5678</v>
      </c>
      <c r="G98" s="3252">
        <f>'84-91号楼'!E147</f>
        <v>38337.599999999999</v>
      </c>
      <c r="H98" s="3075">
        <v>0</v>
      </c>
    </row>
    <row r="99" spans="6:8">
      <c r="F99" s="3075"/>
      <c r="G99" s="3075">
        <f>SUM(G96:G98)</f>
        <v>227026.18000000002</v>
      </c>
      <c r="H99" s="3252">
        <f>(H96*G96+H97*G97+H98*G98)/G99</f>
        <v>0.15094259173105057</v>
      </c>
    </row>
  </sheetData>
  <phoneticPr fontId="141" type="noConversion"/>
  <conditionalFormatting sqref="D1:D89">
    <cfRule type="duplicateValues" dxfId="224" priority="1"/>
  </conditionalFormatting>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64BF-2E2E-4E15-B5B4-0471021FB298}">
  <dimension ref="A1:R151"/>
  <sheetViews>
    <sheetView topLeftCell="A118" workbookViewId="0">
      <selection activeCell="M151" sqref="M151"/>
    </sheetView>
  </sheetViews>
  <sheetFormatPr defaultRowHeight="13.5"/>
  <cols>
    <col min="4" max="4" width="9" style="3243"/>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3233" t="s">
        <v>5429</v>
      </c>
      <c r="B1" s="3233" t="s">
        <v>5630</v>
      </c>
      <c r="C1" s="3233" t="s">
        <v>5631</v>
      </c>
      <c r="D1" s="3234" t="s">
        <v>5632</v>
      </c>
      <c r="E1" s="3233" t="s">
        <v>5633</v>
      </c>
      <c r="F1" s="3233" t="s">
        <v>5434</v>
      </c>
      <c r="G1" s="3233" t="s">
        <v>5634</v>
      </c>
      <c r="H1" s="3233" t="s">
        <v>5497</v>
      </c>
      <c r="I1" s="3233" t="s">
        <v>5635</v>
      </c>
      <c r="J1" s="3233" t="s">
        <v>5636</v>
      </c>
      <c r="K1" s="3233" t="s">
        <v>5637</v>
      </c>
      <c r="L1" s="3233" t="s">
        <v>5638</v>
      </c>
      <c r="M1" s="3233" t="s">
        <v>5639</v>
      </c>
      <c r="N1" s="3233" t="s">
        <v>5640</v>
      </c>
    </row>
    <row r="2" spans="1:15" ht="81">
      <c r="A2" s="3235" t="s">
        <v>5641</v>
      </c>
      <c r="B2" s="3236">
        <v>86</v>
      </c>
      <c r="C2" s="3235" t="s">
        <v>5642</v>
      </c>
      <c r="D2" s="3237">
        <v>101</v>
      </c>
      <c r="E2" s="3236">
        <v>191.84</v>
      </c>
      <c r="F2" s="3236"/>
      <c r="G2" s="3236">
        <v>115.81</v>
      </c>
      <c r="H2" s="3236"/>
      <c r="I2" s="3236"/>
      <c r="J2" s="3236"/>
      <c r="K2" s="3236"/>
      <c r="L2" s="3236"/>
      <c r="M2" s="3236"/>
      <c r="N2" s="3236">
        <f>SUM(E2:M2)</f>
        <v>307.64999999999998</v>
      </c>
      <c r="O2" s="3238" t="s">
        <v>5643</v>
      </c>
    </row>
    <row r="3" spans="1:15" hidden="1">
      <c r="A3" s="3236"/>
      <c r="B3" s="3236">
        <f>86-4</f>
        <v>82</v>
      </c>
      <c r="C3" s="3235" t="s">
        <v>5642</v>
      </c>
      <c r="D3" s="3237">
        <v>102</v>
      </c>
      <c r="E3" s="3236">
        <v>167.58</v>
      </c>
      <c r="F3" s="3236"/>
      <c r="G3" s="3236">
        <v>95.3</v>
      </c>
      <c r="H3" s="3236"/>
      <c r="I3" s="3236"/>
      <c r="J3" s="3236"/>
      <c r="K3" s="3236"/>
      <c r="L3" s="3236"/>
      <c r="M3" s="3236"/>
      <c r="N3" s="3236">
        <f t="shared" ref="N3:N66" si="0">SUM(E3:M3)</f>
        <v>262.88</v>
      </c>
    </row>
    <row r="4" spans="1:15" hidden="1">
      <c r="A4" s="3236"/>
      <c r="B4" s="3236"/>
      <c r="C4" s="3235" t="s">
        <v>5644</v>
      </c>
      <c r="D4" s="3239">
        <v>201</v>
      </c>
      <c r="E4" s="3236"/>
      <c r="F4" s="3236">
        <v>159.53</v>
      </c>
      <c r="G4" s="3236"/>
      <c r="H4" s="3236"/>
      <c r="I4" s="3236"/>
      <c r="J4" s="3236"/>
      <c r="K4" s="3236"/>
      <c r="L4" s="3236"/>
      <c r="M4" s="3236"/>
      <c r="N4" s="3236">
        <f t="shared" si="0"/>
        <v>159.53</v>
      </c>
    </row>
    <row r="5" spans="1:15" hidden="1">
      <c r="A5" s="3236"/>
      <c r="B5" s="3236"/>
      <c r="C5" s="3235" t="s">
        <v>5644</v>
      </c>
      <c r="D5" s="3239">
        <v>202</v>
      </c>
      <c r="E5" s="3236"/>
      <c r="F5" s="3236">
        <v>136.83000000000001</v>
      </c>
      <c r="G5" s="3236"/>
      <c r="H5" s="3236"/>
      <c r="I5" s="3236"/>
      <c r="J5" s="3236"/>
      <c r="K5" s="3236"/>
      <c r="L5" s="3236"/>
      <c r="M5" s="3236"/>
      <c r="N5" s="3236">
        <f t="shared" si="0"/>
        <v>136.83000000000001</v>
      </c>
    </row>
    <row r="6" spans="1:15" hidden="1">
      <c r="A6" s="3236"/>
      <c r="B6" s="3236"/>
      <c r="C6" s="3235" t="s">
        <v>5644</v>
      </c>
      <c r="D6" s="3239">
        <v>301</v>
      </c>
      <c r="E6" s="3236"/>
      <c r="F6" s="3236">
        <v>165.3</v>
      </c>
      <c r="G6" s="3236"/>
      <c r="H6" s="3236"/>
      <c r="I6" s="3236"/>
      <c r="J6" s="3236"/>
      <c r="K6" s="3236"/>
      <c r="L6" s="3236"/>
      <c r="M6" s="3236"/>
      <c r="N6" s="3236">
        <f t="shared" si="0"/>
        <v>165.3</v>
      </c>
    </row>
    <row r="7" spans="1:15" hidden="1">
      <c r="A7" s="3236"/>
      <c r="B7" s="3236"/>
      <c r="C7" s="3235" t="s">
        <v>5644</v>
      </c>
      <c r="D7" s="3239">
        <v>302</v>
      </c>
      <c r="E7" s="3236"/>
      <c r="F7" s="3236">
        <v>142.6</v>
      </c>
      <c r="G7" s="3236"/>
      <c r="H7" s="3236"/>
      <c r="I7" s="3236"/>
      <c r="J7" s="3236"/>
      <c r="K7" s="3236"/>
      <c r="L7" s="3236"/>
      <c r="M7" s="3236"/>
      <c r="N7" s="3236">
        <f t="shared" si="0"/>
        <v>142.6</v>
      </c>
    </row>
    <row r="8" spans="1:15" hidden="1">
      <c r="A8" s="3236"/>
      <c r="B8" s="3236"/>
      <c r="C8" s="3235" t="s">
        <v>5644</v>
      </c>
      <c r="D8" s="3239">
        <v>401</v>
      </c>
      <c r="E8" s="3236"/>
      <c r="F8" s="3236">
        <v>165.3</v>
      </c>
      <c r="G8" s="3236"/>
      <c r="H8" s="3236"/>
      <c r="I8" s="3236"/>
      <c r="J8" s="3236"/>
      <c r="K8" s="3236"/>
      <c r="L8" s="3236"/>
      <c r="M8" s="3236"/>
      <c r="N8" s="3236">
        <f t="shared" si="0"/>
        <v>165.3</v>
      </c>
    </row>
    <row r="9" spans="1:15" hidden="1">
      <c r="A9" s="3236"/>
      <c r="B9" s="3236"/>
      <c r="C9" s="3235" t="s">
        <v>5644</v>
      </c>
      <c r="D9" s="3239">
        <v>402</v>
      </c>
      <c r="E9" s="3236"/>
      <c r="F9" s="3236">
        <v>142.6</v>
      </c>
      <c r="G9" s="3236"/>
      <c r="H9" s="3236"/>
      <c r="I9" s="3236"/>
      <c r="J9" s="3236"/>
      <c r="K9" s="3236"/>
      <c r="L9" s="3236"/>
      <c r="M9" s="3236"/>
      <c r="N9" s="3236">
        <f t="shared" si="0"/>
        <v>142.6</v>
      </c>
    </row>
    <row r="10" spans="1:15" hidden="1">
      <c r="A10" s="3236"/>
      <c r="B10" s="3236"/>
      <c r="C10" s="3235" t="s">
        <v>5644</v>
      </c>
      <c r="D10" s="3239">
        <v>501</v>
      </c>
      <c r="E10" s="3236"/>
      <c r="F10" s="3236">
        <v>165.3</v>
      </c>
      <c r="G10" s="3236"/>
      <c r="H10" s="3236"/>
      <c r="I10" s="3236"/>
      <c r="J10" s="3236"/>
      <c r="K10" s="3236"/>
      <c r="L10" s="3236"/>
      <c r="M10" s="3236"/>
      <c r="N10" s="3236">
        <f t="shared" si="0"/>
        <v>165.3</v>
      </c>
    </row>
    <row r="11" spans="1:15" hidden="1">
      <c r="A11" s="3236"/>
      <c r="B11" s="3236"/>
      <c r="C11" s="3235" t="s">
        <v>5644</v>
      </c>
      <c r="D11" s="3239">
        <v>502</v>
      </c>
      <c r="E11" s="3236"/>
      <c r="F11" s="3236">
        <v>142.6</v>
      </c>
      <c r="G11" s="3236"/>
      <c r="H11" s="3236"/>
      <c r="I11" s="3236"/>
      <c r="J11" s="3236"/>
      <c r="K11" s="3236"/>
      <c r="L11" s="3236"/>
      <c r="M11" s="3236"/>
      <c r="N11" s="3236">
        <f t="shared" si="0"/>
        <v>142.6</v>
      </c>
    </row>
    <row r="12" spans="1:15" hidden="1">
      <c r="A12" s="3236"/>
      <c r="B12" s="3236"/>
      <c r="C12" s="3235" t="s">
        <v>5644</v>
      </c>
      <c r="D12" s="3239">
        <v>601</v>
      </c>
      <c r="E12" s="3236"/>
      <c r="F12" s="3236">
        <v>165.3</v>
      </c>
      <c r="G12" s="3236"/>
      <c r="H12" s="3236"/>
      <c r="I12" s="3236"/>
      <c r="J12" s="3236"/>
      <c r="K12" s="3236"/>
      <c r="L12" s="3236"/>
      <c r="M12" s="3236"/>
      <c r="N12" s="3236">
        <f t="shared" si="0"/>
        <v>165.3</v>
      </c>
    </row>
    <row r="13" spans="1:15" hidden="1">
      <c r="A13" s="3236"/>
      <c r="B13" s="3236"/>
      <c r="C13" s="3235" t="s">
        <v>5644</v>
      </c>
      <c r="D13" s="3239">
        <v>602</v>
      </c>
      <c r="E13" s="3236"/>
      <c r="F13" s="3236">
        <v>142.6</v>
      </c>
      <c r="G13" s="3236"/>
      <c r="H13" s="3236"/>
      <c r="I13" s="3236"/>
      <c r="J13" s="3236"/>
      <c r="K13" s="3236"/>
      <c r="L13" s="3236"/>
      <c r="M13" s="3236"/>
      <c r="N13" s="3236">
        <f t="shared" si="0"/>
        <v>142.6</v>
      </c>
    </row>
    <row r="14" spans="1:15" hidden="1">
      <c r="A14" s="3236"/>
      <c r="B14" s="3236"/>
      <c r="C14" s="3235" t="s">
        <v>5644</v>
      </c>
      <c r="D14" s="3239">
        <v>701</v>
      </c>
      <c r="E14" s="3236"/>
      <c r="F14" s="3236">
        <v>165.3</v>
      </c>
      <c r="G14" s="3236"/>
      <c r="H14" s="3236"/>
      <c r="I14" s="3236"/>
      <c r="J14" s="3236"/>
      <c r="K14" s="3236"/>
      <c r="L14" s="3236"/>
      <c r="M14" s="3236"/>
      <c r="N14" s="3236">
        <f t="shared" si="0"/>
        <v>165.3</v>
      </c>
    </row>
    <row r="15" spans="1:15" hidden="1">
      <c r="A15" s="3236"/>
      <c r="B15" s="3236"/>
      <c r="C15" s="3235" t="s">
        <v>5644</v>
      </c>
      <c r="D15" s="3239">
        <v>702</v>
      </c>
      <c r="E15" s="3236"/>
      <c r="F15" s="3236">
        <v>142.6</v>
      </c>
      <c r="G15" s="3236"/>
      <c r="H15" s="3236"/>
      <c r="I15" s="3236"/>
      <c r="J15" s="3236"/>
      <c r="K15" s="3236"/>
      <c r="L15" s="3236"/>
      <c r="M15" s="3236"/>
      <c r="N15" s="3236">
        <f t="shared" si="0"/>
        <v>142.6</v>
      </c>
    </row>
    <row r="16" spans="1:15" hidden="1">
      <c r="A16" s="3236"/>
      <c r="B16" s="3236"/>
      <c r="C16" s="3235" t="s">
        <v>5644</v>
      </c>
      <c r="D16" s="3239">
        <v>801</v>
      </c>
      <c r="E16" s="3236"/>
      <c r="F16" s="3236">
        <v>167.75</v>
      </c>
      <c r="G16" s="3236"/>
      <c r="H16" s="3236"/>
      <c r="I16" s="3236"/>
      <c r="J16" s="3236"/>
      <c r="K16" s="3236"/>
      <c r="L16" s="3236"/>
      <c r="M16" s="3236"/>
      <c r="N16" s="3236">
        <f t="shared" si="0"/>
        <v>167.75</v>
      </c>
    </row>
    <row r="17" spans="1:14" hidden="1">
      <c r="A17" s="3236"/>
      <c r="B17" s="3236"/>
      <c r="C17" s="3235" t="s">
        <v>5644</v>
      </c>
      <c r="D17" s="3239">
        <v>802</v>
      </c>
      <c r="E17" s="3236"/>
      <c r="F17" s="3236">
        <v>142.6</v>
      </c>
      <c r="G17" s="3236"/>
      <c r="H17" s="3236"/>
      <c r="I17" s="3236"/>
      <c r="J17" s="3236"/>
      <c r="K17" s="3236"/>
      <c r="L17" s="3236"/>
      <c r="M17" s="3236"/>
      <c r="N17" s="3236">
        <f t="shared" si="0"/>
        <v>142.6</v>
      </c>
    </row>
    <row r="18" spans="1:14" hidden="1">
      <c r="A18" s="3236"/>
      <c r="B18" s="3236"/>
      <c r="C18" s="3235" t="s">
        <v>5645</v>
      </c>
      <c r="D18" s="3237">
        <v>101</v>
      </c>
      <c r="E18" s="3236">
        <v>167.58</v>
      </c>
      <c r="F18" s="3236"/>
      <c r="G18" s="3236">
        <v>95.3</v>
      </c>
      <c r="H18" s="3236"/>
      <c r="I18" s="3236"/>
      <c r="J18" s="3236"/>
      <c r="K18" s="3236"/>
      <c r="L18" s="3236"/>
      <c r="M18" s="3236"/>
      <c r="N18" s="3236">
        <f t="shared" si="0"/>
        <v>262.88</v>
      </c>
    </row>
    <row r="19" spans="1:14" hidden="1">
      <c r="A19" s="3236"/>
      <c r="B19" s="3236"/>
      <c r="C19" s="3235" t="s">
        <v>5645</v>
      </c>
      <c r="D19" s="3237">
        <v>102</v>
      </c>
      <c r="E19" s="3236">
        <v>167.8</v>
      </c>
      <c r="F19" s="3236"/>
      <c r="G19" s="3236">
        <v>95.29</v>
      </c>
      <c r="H19" s="3236"/>
      <c r="I19" s="3236"/>
      <c r="J19" s="3236"/>
      <c r="K19" s="3236"/>
      <c r="L19" s="3236"/>
      <c r="M19" s="3236"/>
      <c r="N19" s="3236">
        <f t="shared" si="0"/>
        <v>263.09000000000003</v>
      </c>
    </row>
    <row r="20" spans="1:14" hidden="1">
      <c r="A20" s="3236"/>
      <c r="B20" s="3236"/>
      <c r="C20" s="3235" t="s">
        <v>5646</v>
      </c>
      <c r="D20" s="3239">
        <v>201</v>
      </c>
      <c r="E20" s="3236"/>
      <c r="F20" s="3236">
        <v>136.83000000000001</v>
      </c>
      <c r="G20" s="3236"/>
      <c r="H20" s="3236"/>
      <c r="I20" s="3236"/>
      <c r="J20" s="3236"/>
      <c r="K20" s="3236"/>
      <c r="L20" s="3236"/>
      <c r="M20" s="3236"/>
      <c r="N20" s="3236">
        <f t="shared" si="0"/>
        <v>136.83000000000001</v>
      </c>
    </row>
    <row r="21" spans="1:14" hidden="1">
      <c r="A21" s="3236"/>
      <c r="B21" s="3236"/>
      <c r="C21" s="3235" t="s">
        <v>5646</v>
      </c>
      <c r="D21" s="3239">
        <v>202</v>
      </c>
      <c r="E21" s="3236"/>
      <c r="F21" s="3236">
        <v>136.83000000000001</v>
      </c>
      <c r="G21" s="3236"/>
      <c r="H21" s="3236"/>
      <c r="I21" s="3236"/>
      <c r="J21" s="3236"/>
      <c r="K21" s="3236"/>
      <c r="L21" s="3236"/>
      <c r="M21" s="3236"/>
      <c r="N21" s="3236">
        <f t="shared" si="0"/>
        <v>136.83000000000001</v>
      </c>
    </row>
    <row r="22" spans="1:14" hidden="1">
      <c r="A22" s="3236"/>
      <c r="B22" s="3236"/>
      <c r="C22" s="3235" t="s">
        <v>5646</v>
      </c>
      <c r="D22" s="3239">
        <v>301</v>
      </c>
      <c r="E22" s="3236"/>
      <c r="F22" s="3236">
        <v>142.6</v>
      </c>
      <c r="G22" s="3236"/>
      <c r="H22" s="3236"/>
      <c r="I22" s="3236"/>
      <c r="J22" s="3236"/>
      <c r="K22" s="3236"/>
      <c r="L22" s="3236"/>
      <c r="M22" s="3236"/>
      <c r="N22" s="3236">
        <f t="shared" si="0"/>
        <v>142.6</v>
      </c>
    </row>
    <row r="23" spans="1:14" hidden="1">
      <c r="A23" s="3236"/>
      <c r="B23" s="3236"/>
      <c r="C23" s="3235" t="s">
        <v>5646</v>
      </c>
      <c r="D23" s="3239">
        <v>302</v>
      </c>
      <c r="E23" s="3236"/>
      <c r="F23" s="3236">
        <v>142.6</v>
      </c>
      <c r="G23" s="3236"/>
      <c r="H23" s="3236"/>
      <c r="I23" s="3236"/>
      <c r="J23" s="3236"/>
      <c r="K23" s="3236"/>
      <c r="L23" s="3236"/>
      <c r="M23" s="3236"/>
      <c r="N23" s="3236">
        <f t="shared" si="0"/>
        <v>142.6</v>
      </c>
    </row>
    <row r="24" spans="1:14" hidden="1">
      <c r="A24" s="3236"/>
      <c r="B24" s="3236"/>
      <c r="C24" s="3235" t="s">
        <v>5646</v>
      </c>
      <c r="D24" s="3239">
        <v>401</v>
      </c>
      <c r="E24" s="3236"/>
      <c r="F24" s="3236">
        <v>142.6</v>
      </c>
      <c r="G24" s="3236"/>
      <c r="H24" s="3236"/>
      <c r="I24" s="3236"/>
      <c r="J24" s="3236"/>
      <c r="K24" s="3236"/>
      <c r="L24" s="3236"/>
      <c r="M24" s="3236"/>
      <c r="N24" s="3236">
        <f t="shared" si="0"/>
        <v>142.6</v>
      </c>
    </row>
    <row r="25" spans="1:14" hidden="1">
      <c r="A25" s="3236"/>
      <c r="B25" s="3236"/>
      <c r="C25" s="3235" t="s">
        <v>5646</v>
      </c>
      <c r="D25" s="3239">
        <v>402</v>
      </c>
      <c r="E25" s="3236"/>
      <c r="F25" s="3236">
        <v>142.6</v>
      </c>
      <c r="G25" s="3236"/>
      <c r="H25" s="3236"/>
      <c r="I25" s="3236"/>
      <c r="J25" s="3236"/>
      <c r="K25" s="3236"/>
      <c r="L25" s="3236"/>
      <c r="M25" s="3236"/>
      <c r="N25" s="3236">
        <f t="shared" si="0"/>
        <v>142.6</v>
      </c>
    </row>
    <row r="26" spans="1:14" hidden="1">
      <c r="A26" s="3236"/>
      <c r="B26" s="3236"/>
      <c r="C26" s="3235" t="s">
        <v>5646</v>
      </c>
      <c r="D26" s="3239">
        <v>501</v>
      </c>
      <c r="E26" s="3236"/>
      <c r="F26" s="3236">
        <v>142.6</v>
      </c>
      <c r="G26" s="3236"/>
      <c r="H26" s="3236"/>
      <c r="I26" s="3236"/>
      <c r="J26" s="3236"/>
      <c r="K26" s="3236"/>
      <c r="L26" s="3236"/>
      <c r="M26" s="3236"/>
      <c r="N26" s="3236">
        <f t="shared" si="0"/>
        <v>142.6</v>
      </c>
    </row>
    <row r="27" spans="1:14" hidden="1">
      <c r="A27" s="3236"/>
      <c r="B27" s="3236"/>
      <c r="C27" s="3235" t="s">
        <v>5646</v>
      </c>
      <c r="D27" s="3239">
        <v>502</v>
      </c>
      <c r="E27" s="3236"/>
      <c r="F27" s="3236">
        <v>142.6</v>
      </c>
      <c r="G27" s="3236"/>
      <c r="H27" s="3236"/>
      <c r="I27" s="3236"/>
      <c r="J27" s="3236"/>
      <c r="K27" s="3236"/>
      <c r="L27" s="3236"/>
      <c r="M27" s="3236"/>
      <c r="N27" s="3236">
        <f t="shared" si="0"/>
        <v>142.6</v>
      </c>
    </row>
    <row r="28" spans="1:14" hidden="1">
      <c r="A28" s="3236"/>
      <c r="B28" s="3236"/>
      <c r="C28" s="3235" t="s">
        <v>5646</v>
      </c>
      <c r="D28" s="3239">
        <v>601</v>
      </c>
      <c r="E28" s="3236"/>
      <c r="F28" s="3236">
        <v>142.6</v>
      </c>
      <c r="G28" s="3236"/>
      <c r="H28" s="3236"/>
      <c r="I28" s="3236"/>
      <c r="J28" s="3236"/>
      <c r="K28" s="3236"/>
      <c r="L28" s="3236"/>
      <c r="M28" s="3236"/>
      <c r="N28" s="3236">
        <f t="shared" si="0"/>
        <v>142.6</v>
      </c>
    </row>
    <row r="29" spans="1:14" hidden="1">
      <c r="A29" s="3236"/>
      <c r="B29" s="3236"/>
      <c r="C29" s="3235" t="s">
        <v>5646</v>
      </c>
      <c r="D29" s="3239">
        <v>602</v>
      </c>
      <c r="E29" s="3236"/>
      <c r="F29" s="3236">
        <v>142.6</v>
      </c>
      <c r="G29" s="3236"/>
      <c r="H29" s="3236"/>
      <c r="I29" s="3236"/>
      <c r="J29" s="3236"/>
      <c r="K29" s="3236"/>
      <c r="L29" s="3236"/>
      <c r="M29" s="3236"/>
      <c r="N29" s="3236">
        <f t="shared" si="0"/>
        <v>142.6</v>
      </c>
    </row>
    <row r="30" spans="1:14" hidden="1">
      <c r="A30" s="3236"/>
      <c r="B30" s="3236"/>
      <c r="C30" s="3235" t="s">
        <v>5646</v>
      </c>
      <c r="D30" s="3239">
        <v>701</v>
      </c>
      <c r="E30" s="3236"/>
      <c r="F30" s="3236">
        <v>142.6</v>
      </c>
      <c r="G30" s="3236"/>
      <c r="H30" s="3236"/>
      <c r="I30" s="3236"/>
      <c r="J30" s="3236"/>
      <c r="K30" s="3236"/>
      <c r="L30" s="3236"/>
      <c r="M30" s="3236"/>
      <c r="N30" s="3236">
        <f t="shared" si="0"/>
        <v>142.6</v>
      </c>
    </row>
    <row r="31" spans="1:14" hidden="1">
      <c r="A31" s="3236"/>
      <c r="B31" s="3236"/>
      <c r="C31" s="3235" t="s">
        <v>5646</v>
      </c>
      <c r="D31" s="3239">
        <v>702</v>
      </c>
      <c r="E31" s="3236"/>
      <c r="F31" s="3236">
        <v>142.6</v>
      </c>
      <c r="G31" s="3236"/>
      <c r="H31" s="3236"/>
      <c r="I31" s="3236"/>
      <c r="J31" s="3236"/>
      <c r="K31" s="3236"/>
      <c r="L31" s="3236"/>
      <c r="M31" s="3236"/>
      <c r="N31" s="3236">
        <f t="shared" si="0"/>
        <v>142.6</v>
      </c>
    </row>
    <row r="32" spans="1:14" hidden="1">
      <c r="A32" s="3236"/>
      <c r="B32" s="3236"/>
      <c r="C32" s="3235" t="s">
        <v>5646</v>
      </c>
      <c r="D32" s="3239">
        <v>801</v>
      </c>
      <c r="E32" s="3236"/>
      <c r="F32" s="3236">
        <v>142.6</v>
      </c>
      <c r="G32" s="3236"/>
      <c r="H32" s="3236"/>
      <c r="I32" s="3236"/>
      <c r="J32" s="3236"/>
      <c r="K32" s="3236"/>
      <c r="L32" s="3236"/>
      <c r="M32" s="3236"/>
      <c r="N32" s="3236">
        <f t="shared" si="0"/>
        <v>142.6</v>
      </c>
    </row>
    <row r="33" spans="1:14" hidden="1">
      <c r="A33" s="3236"/>
      <c r="B33" s="3236"/>
      <c r="C33" s="3235" t="s">
        <v>5646</v>
      </c>
      <c r="D33" s="3239">
        <v>802</v>
      </c>
      <c r="E33" s="3236"/>
      <c r="F33" s="3236">
        <v>142.6</v>
      </c>
      <c r="G33" s="3236"/>
      <c r="H33" s="3236"/>
      <c r="I33" s="3236"/>
      <c r="J33" s="3236"/>
      <c r="K33" s="3236"/>
      <c r="L33" s="3236"/>
      <c r="M33" s="3236"/>
      <c r="N33" s="3236">
        <f t="shared" si="0"/>
        <v>142.6</v>
      </c>
    </row>
    <row r="34" spans="1:14" hidden="1">
      <c r="A34" s="3236"/>
      <c r="B34" s="3236"/>
      <c r="C34" s="3235" t="s">
        <v>5647</v>
      </c>
      <c r="D34" s="3237">
        <v>101</v>
      </c>
      <c r="E34" s="3236">
        <v>167.58</v>
      </c>
      <c r="F34" s="3236"/>
      <c r="G34" s="3236">
        <v>95.3</v>
      </c>
      <c r="H34" s="3236"/>
      <c r="I34" s="3236"/>
      <c r="J34" s="3236"/>
      <c r="K34" s="3236"/>
      <c r="L34" s="3236"/>
      <c r="M34" s="3236"/>
      <c r="N34" s="3236">
        <f t="shared" si="0"/>
        <v>262.88</v>
      </c>
    </row>
    <row r="35" spans="1:14" hidden="1">
      <c r="A35" s="3236"/>
      <c r="B35" s="3236"/>
      <c r="C35" s="3235" t="s">
        <v>5647</v>
      </c>
      <c r="D35" s="3237">
        <v>102</v>
      </c>
      <c r="E35" s="3236">
        <v>193.22</v>
      </c>
      <c r="F35" s="3236"/>
      <c r="G35" s="3236">
        <v>113.97</v>
      </c>
      <c r="H35" s="3236"/>
      <c r="I35" s="3236"/>
      <c r="J35" s="3236"/>
      <c r="K35" s="3236"/>
      <c r="L35" s="3236"/>
      <c r="M35" s="3236"/>
      <c r="N35" s="3236">
        <f t="shared" si="0"/>
        <v>307.19</v>
      </c>
    </row>
    <row r="36" spans="1:14" hidden="1">
      <c r="A36" s="3236"/>
      <c r="B36" s="3236"/>
      <c r="C36" s="3235" t="s">
        <v>5648</v>
      </c>
      <c r="D36" s="3239">
        <v>201</v>
      </c>
      <c r="E36" s="3236"/>
      <c r="F36" s="3236">
        <v>136.83000000000001</v>
      </c>
      <c r="G36" s="3236"/>
      <c r="H36" s="3236"/>
      <c r="I36" s="3236"/>
      <c r="J36" s="3236"/>
      <c r="K36" s="3236"/>
      <c r="L36" s="3236"/>
      <c r="M36" s="3236"/>
      <c r="N36" s="3236">
        <f t="shared" si="0"/>
        <v>136.83000000000001</v>
      </c>
    </row>
    <row r="37" spans="1:14" hidden="1">
      <c r="A37" s="3236"/>
      <c r="B37" s="3236"/>
      <c r="C37" s="3235" t="s">
        <v>5648</v>
      </c>
      <c r="D37" s="3239">
        <v>202</v>
      </c>
      <c r="E37" s="3236"/>
      <c r="F37" s="3236">
        <v>159.53</v>
      </c>
      <c r="G37" s="3236"/>
      <c r="H37" s="3236"/>
      <c r="I37" s="3236"/>
      <c r="J37" s="3236"/>
      <c r="K37" s="3236"/>
      <c r="L37" s="3236"/>
      <c r="M37" s="3236"/>
      <c r="N37" s="3236">
        <f t="shared" si="0"/>
        <v>159.53</v>
      </c>
    </row>
    <row r="38" spans="1:14" hidden="1">
      <c r="A38" s="3236"/>
      <c r="B38" s="3236"/>
      <c r="C38" s="3235" t="s">
        <v>5648</v>
      </c>
      <c r="D38" s="3239">
        <v>301</v>
      </c>
      <c r="E38" s="3236"/>
      <c r="F38" s="3236">
        <v>142.6</v>
      </c>
      <c r="G38" s="3236"/>
      <c r="H38" s="3236"/>
      <c r="I38" s="3236"/>
      <c r="J38" s="3236"/>
      <c r="K38" s="3236"/>
      <c r="L38" s="3236"/>
      <c r="M38" s="3236"/>
      <c r="N38" s="3236">
        <f t="shared" si="0"/>
        <v>142.6</v>
      </c>
    </row>
    <row r="39" spans="1:14" hidden="1">
      <c r="A39" s="3236"/>
      <c r="B39" s="3236"/>
      <c r="C39" s="3235" t="s">
        <v>5648</v>
      </c>
      <c r="D39" s="3239">
        <v>302</v>
      </c>
      <c r="E39" s="3236"/>
      <c r="F39" s="3236">
        <v>165.3</v>
      </c>
      <c r="G39" s="3236"/>
      <c r="H39" s="3236"/>
      <c r="I39" s="3236"/>
      <c r="J39" s="3236"/>
      <c r="K39" s="3236"/>
      <c r="L39" s="3236"/>
      <c r="M39" s="3236"/>
      <c r="N39" s="3236">
        <f t="shared" si="0"/>
        <v>165.3</v>
      </c>
    </row>
    <row r="40" spans="1:14" hidden="1">
      <c r="A40" s="3236"/>
      <c r="B40" s="3236"/>
      <c r="C40" s="3235" t="s">
        <v>5648</v>
      </c>
      <c r="D40" s="3239">
        <v>401</v>
      </c>
      <c r="E40" s="3236"/>
      <c r="F40" s="3236">
        <v>142.6</v>
      </c>
      <c r="G40" s="3236"/>
      <c r="H40" s="3236"/>
      <c r="I40" s="3236"/>
      <c r="J40" s="3236"/>
      <c r="K40" s="3236"/>
      <c r="L40" s="3236"/>
      <c r="M40" s="3236"/>
      <c r="N40" s="3236">
        <f t="shared" si="0"/>
        <v>142.6</v>
      </c>
    </row>
    <row r="41" spans="1:14" hidden="1">
      <c r="A41" s="3236"/>
      <c r="B41" s="3236"/>
      <c r="C41" s="3235" t="s">
        <v>5648</v>
      </c>
      <c r="D41" s="3239">
        <v>402</v>
      </c>
      <c r="E41" s="3236"/>
      <c r="F41" s="3236">
        <v>165.3</v>
      </c>
      <c r="G41" s="3236"/>
      <c r="H41" s="3236"/>
      <c r="I41" s="3236"/>
      <c r="J41" s="3236"/>
      <c r="K41" s="3236"/>
      <c r="L41" s="3236"/>
      <c r="M41" s="3236"/>
      <c r="N41" s="3236">
        <f t="shared" si="0"/>
        <v>165.3</v>
      </c>
    </row>
    <row r="42" spans="1:14" hidden="1">
      <c r="A42" s="3236"/>
      <c r="B42" s="3236"/>
      <c r="C42" s="3235" t="s">
        <v>5648</v>
      </c>
      <c r="D42" s="3239">
        <v>501</v>
      </c>
      <c r="E42" s="3236"/>
      <c r="F42" s="3236">
        <v>142.6</v>
      </c>
      <c r="G42" s="3236"/>
      <c r="H42" s="3236"/>
      <c r="I42" s="3236"/>
      <c r="J42" s="3236"/>
      <c r="K42" s="3236"/>
      <c r="L42" s="3236"/>
      <c r="M42" s="3236"/>
      <c r="N42" s="3236">
        <f t="shared" si="0"/>
        <v>142.6</v>
      </c>
    </row>
    <row r="43" spans="1:14" hidden="1">
      <c r="A43" s="3236"/>
      <c r="B43" s="3236"/>
      <c r="C43" s="3235" t="s">
        <v>5648</v>
      </c>
      <c r="D43" s="3239">
        <v>502</v>
      </c>
      <c r="E43" s="3236"/>
      <c r="F43" s="3236">
        <v>165.3</v>
      </c>
      <c r="G43" s="3236"/>
      <c r="H43" s="3236"/>
      <c r="I43" s="3236"/>
      <c r="J43" s="3236"/>
      <c r="K43" s="3236"/>
      <c r="L43" s="3236"/>
      <c r="M43" s="3236"/>
      <c r="N43" s="3236">
        <f t="shared" si="0"/>
        <v>165.3</v>
      </c>
    </row>
    <row r="44" spans="1:14" hidden="1">
      <c r="A44" s="3236"/>
      <c r="B44" s="3236"/>
      <c r="C44" s="3235" t="s">
        <v>5648</v>
      </c>
      <c r="D44" s="3239">
        <v>601</v>
      </c>
      <c r="E44" s="3236"/>
      <c r="F44" s="3236">
        <v>142.6</v>
      </c>
      <c r="G44" s="3236"/>
      <c r="H44" s="3236"/>
      <c r="I44" s="3236"/>
      <c r="J44" s="3236"/>
      <c r="K44" s="3236"/>
      <c r="L44" s="3236"/>
      <c r="M44" s="3236"/>
      <c r="N44" s="3236">
        <f t="shared" si="0"/>
        <v>142.6</v>
      </c>
    </row>
    <row r="45" spans="1:14" hidden="1">
      <c r="A45" s="3236"/>
      <c r="B45" s="3236"/>
      <c r="C45" s="3235" t="s">
        <v>5648</v>
      </c>
      <c r="D45" s="3239">
        <v>602</v>
      </c>
      <c r="E45" s="3236"/>
      <c r="F45" s="3236">
        <v>165.3</v>
      </c>
      <c r="G45" s="3236"/>
      <c r="H45" s="3236"/>
      <c r="I45" s="3236"/>
      <c r="J45" s="3236"/>
      <c r="K45" s="3236"/>
      <c r="L45" s="3236"/>
      <c r="M45" s="3236"/>
      <c r="N45" s="3236">
        <f t="shared" si="0"/>
        <v>165.3</v>
      </c>
    </row>
    <row r="46" spans="1:14" hidden="1">
      <c r="A46" s="3236"/>
      <c r="B46" s="3236"/>
      <c r="C46" s="3235" t="s">
        <v>5648</v>
      </c>
      <c r="D46" s="3239">
        <v>701</v>
      </c>
      <c r="E46" s="3236"/>
      <c r="F46" s="3236">
        <v>142.6</v>
      </c>
      <c r="G46" s="3236"/>
      <c r="H46" s="3236"/>
      <c r="I46" s="3236"/>
      <c r="J46" s="3236"/>
      <c r="K46" s="3236"/>
      <c r="L46" s="3236"/>
      <c r="M46" s="3236"/>
      <c r="N46" s="3236">
        <f t="shared" si="0"/>
        <v>142.6</v>
      </c>
    </row>
    <row r="47" spans="1:14" hidden="1">
      <c r="A47" s="3236"/>
      <c r="B47" s="3236"/>
      <c r="C47" s="3235" t="s">
        <v>5648</v>
      </c>
      <c r="D47" s="3239">
        <v>702</v>
      </c>
      <c r="E47" s="3236"/>
      <c r="F47" s="3236">
        <v>165.3</v>
      </c>
      <c r="G47" s="3236"/>
      <c r="H47" s="3236"/>
      <c r="I47" s="3236"/>
      <c r="J47" s="3236"/>
      <c r="K47" s="3236"/>
      <c r="L47" s="3236"/>
      <c r="M47" s="3236"/>
      <c r="N47" s="3236">
        <f t="shared" si="0"/>
        <v>165.3</v>
      </c>
    </row>
    <row r="48" spans="1:14" hidden="1">
      <c r="A48" s="3236"/>
      <c r="B48" s="3236"/>
      <c r="C48" s="3235" t="s">
        <v>5648</v>
      </c>
      <c r="D48" s="3239">
        <v>801</v>
      </c>
      <c r="E48" s="3236"/>
      <c r="F48" s="3236">
        <v>142.6</v>
      </c>
      <c r="G48" s="3236"/>
      <c r="H48" s="3236"/>
      <c r="I48" s="3236"/>
      <c r="J48" s="3236"/>
      <c r="K48" s="3236"/>
      <c r="L48" s="3236"/>
      <c r="M48" s="3236"/>
      <c r="N48" s="3236">
        <f t="shared" si="0"/>
        <v>142.6</v>
      </c>
    </row>
    <row r="49" spans="1:14" hidden="1">
      <c r="A49" s="3236"/>
      <c r="B49" s="3236"/>
      <c r="C49" s="3235" t="s">
        <v>5648</v>
      </c>
      <c r="D49" s="3239">
        <v>802</v>
      </c>
      <c r="E49" s="3236"/>
      <c r="F49" s="3236">
        <v>165.3</v>
      </c>
      <c r="G49" s="3236"/>
      <c r="H49" s="3236"/>
      <c r="I49" s="3236"/>
      <c r="J49" s="3236"/>
      <c r="K49" s="3236"/>
      <c r="L49" s="3236"/>
      <c r="M49" s="3236"/>
      <c r="N49" s="3236">
        <f t="shared" si="0"/>
        <v>165.3</v>
      </c>
    </row>
    <row r="50" spans="1:14" hidden="1">
      <c r="A50" s="3236"/>
      <c r="B50" s="3236">
        <v>34</v>
      </c>
      <c r="C50" s="3235" t="s">
        <v>5649</v>
      </c>
      <c r="D50" s="3239">
        <v>-301</v>
      </c>
      <c r="E50" s="3236"/>
      <c r="F50" s="3236"/>
      <c r="G50" s="3236"/>
      <c r="H50" s="3236">
        <v>20.149999999999999</v>
      </c>
      <c r="I50" s="3236"/>
      <c r="J50" s="3236"/>
      <c r="K50" s="3236"/>
      <c r="L50" s="3236"/>
      <c r="M50" s="3236"/>
      <c r="N50" s="3236">
        <f t="shared" si="0"/>
        <v>20.149999999999999</v>
      </c>
    </row>
    <row r="51" spans="1:14" hidden="1">
      <c r="A51" s="3236"/>
      <c r="B51" s="3236"/>
      <c r="C51" s="3235" t="s">
        <v>5649</v>
      </c>
      <c r="D51" s="3239">
        <v>-302</v>
      </c>
      <c r="E51" s="3236"/>
      <c r="F51" s="3236"/>
      <c r="G51" s="3236"/>
      <c r="H51" s="3236">
        <v>22.87</v>
      </c>
      <c r="I51" s="3236"/>
      <c r="J51" s="3236"/>
      <c r="K51" s="3236"/>
      <c r="L51" s="3236"/>
      <c r="M51" s="3236"/>
      <c r="N51" s="3236">
        <f t="shared" si="0"/>
        <v>22.87</v>
      </c>
    </row>
    <row r="52" spans="1:14" hidden="1">
      <c r="A52" s="3236"/>
      <c r="B52" s="3236"/>
      <c r="C52" s="3235" t="s">
        <v>5649</v>
      </c>
      <c r="D52" s="3239">
        <v>-303</v>
      </c>
      <c r="E52" s="3236"/>
      <c r="F52" s="3236"/>
      <c r="G52" s="3236"/>
      <c r="H52" s="3236">
        <v>23.1</v>
      </c>
      <c r="I52" s="3236"/>
      <c r="J52" s="3236"/>
      <c r="K52" s="3236"/>
      <c r="L52" s="3236"/>
      <c r="M52" s="3236"/>
      <c r="N52" s="3236">
        <f t="shared" si="0"/>
        <v>23.1</v>
      </c>
    </row>
    <row r="53" spans="1:14" hidden="1">
      <c r="A53" s="3236"/>
      <c r="B53" s="3236"/>
      <c r="C53" s="3235" t="s">
        <v>5649</v>
      </c>
      <c r="D53" s="3239">
        <v>-304</v>
      </c>
      <c r="E53" s="3236"/>
      <c r="F53" s="3236"/>
      <c r="G53" s="3236"/>
      <c r="H53" s="3236">
        <v>28.46</v>
      </c>
      <c r="I53" s="3236"/>
      <c r="J53" s="3236"/>
      <c r="K53" s="3236"/>
      <c r="L53" s="3236"/>
      <c r="M53" s="3236"/>
      <c r="N53" s="3236">
        <f t="shared" si="0"/>
        <v>28.46</v>
      </c>
    </row>
    <row r="54" spans="1:14" hidden="1">
      <c r="A54" s="3236"/>
      <c r="B54" s="3236"/>
      <c r="C54" s="3235" t="s">
        <v>5649</v>
      </c>
      <c r="D54" s="3239">
        <v>-305</v>
      </c>
      <c r="E54" s="3236"/>
      <c r="F54" s="3236"/>
      <c r="G54" s="3236"/>
      <c r="H54" s="3236">
        <v>18.21</v>
      </c>
      <c r="I54" s="3236"/>
      <c r="J54" s="3236"/>
      <c r="K54" s="3236"/>
      <c r="L54" s="3236"/>
      <c r="M54" s="3236"/>
      <c r="N54" s="3236">
        <f t="shared" si="0"/>
        <v>18.21</v>
      </c>
    </row>
    <row r="55" spans="1:14" hidden="1">
      <c r="A55" s="3236"/>
      <c r="B55" s="3236"/>
      <c r="C55" s="3235" t="s">
        <v>5649</v>
      </c>
      <c r="D55" s="3239">
        <v>-306</v>
      </c>
      <c r="E55" s="3236"/>
      <c r="F55" s="3236"/>
      <c r="G55" s="3236"/>
      <c r="H55" s="3236">
        <v>10.61</v>
      </c>
      <c r="I55" s="3236"/>
      <c r="J55" s="3236"/>
      <c r="K55" s="3236"/>
      <c r="L55" s="3236"/>
      <c r="M55" s="3236"/>
      <c r="N55" s="3236">
        <f t="shared" si="0"/>
        <v>10.61</v>
      </c>
    </row>
    <row r="56" spans="1:14" hidden="1">
      <c r="A56" s="3236"/>
      <c r="B56" s="3236"/>
      <c r="C56" s="3235" t="s">
        <v>5649</v>
      </c>
      <c r="D56" s="3239">
        <v>-307</v>
      </c>
      <c r="E56" s="3236"/>
      <c r="F56" s="3236"/>
      <c r="G56" s="3236"/>
      <c r="H56" s="3235">
        <v>17.899999999999999</v>
      </c>
      <c r="I56" s="3236"/>
      <c r="J56" s="3236"/>
      <c r="K56" s="3236"/>
      <c r="L56" s="3236"/>
      <c r="M56" s="3236"/>
      <c r="N56" s="3236">
        <f t="shared" si="0"/>
        <v>17.899999999999999</v>
      </c>
    </row>
    <row r="57" spans="1:14" hidden="1">
      <c r="A57" s="3236"/>
      <c r="B57" s="3236"/>
      <c r="C57" s="3235" t="s">
        <v>5649</v>
      </c>
      <c r="D57" s="3239">
        <v>-308</v>
      </c>
      <c r="E57" s="3236"/>
      <c r="F57" s="3236"/>
      <c r="G57" s="3236"/>
      <c r="H57" s="3235">
        <v>21.99</v>
      </c>
      <c r="I57" s="3236"/>
      <c r="J57" s="3236"/>
      <c r="K57" s="3236"/>
      <c r="L57" s="3236"/>
      <c r="M57" s="3236"/>
      <c r="N57" s="3236">
        <f t="shared" si="0"/>
        <v>21.99</v>
      </c>
    </row>
    <row r="58" spans="1:14" hidden="1">
      <c r="A58" s="3236"/>
      <c r="B58" s="3236"/>
      <c r="C58" s="3235" t="s">
        <v>5649</v>
      </c>
      <c r="D58" s="3239">
        <v>-309</v>
      </c>
      <c r="E58" s="3236"/>
      <c r="F58" s="3236"/>
      <c r="G58" s="3236"/>
      <c r="H58" s="3235">
        <v>21.99</v>
      </c>
      <c r="I58" s="3236"/>
      <c r="J58" s="3236"/>
      <c r="K58" s="3236"/>
      <c r="L58" s="3236"/>
      <c r="M58" s="3236"/>
      <c r="N58" s="3236">
        <f t="shared" si="0"/>
        <v>21.99</v>
      </c>
    </row>
    <row r="59" spans="1:14" hidden="1">
      <c r="A59" s="3236"/>
      <c r="B59" s="3236"/>
      <c r="C59" s="3235" t="s">
        <v>5649</v>
      </c>
      <c r="D59" s="3239">
        <v>-310</v>
      </c>
      <c r="E59" s="3236"/>
      <c r="F59" s="3236"/>
      <c r="G59" s="3236"/>
      <c r="H59" s="3235">
        <v>17.899999999999999</v>
      </c>
      <c r="I59" s="3236"/>
      <c r="J59" s="3236"/>
      <c r="K59" s="3236"/>
      <c r="L59" s="3236"/>
      <c r="M59" s="3236"/>
      <c r="N59" s="3236">
        <f t="shared" si="0"/>
        <v>17.899999999999999</v>
      </c>
    </row>
    <row r="60" spans="1:14" hidden="1">
      <c r="A60" s="3236"/>
      <c r="B60" s="3236"/>
      <c r="C60" s="3235" t="s">
        <v>5649</v>
      </c>
      <c r="D60" s="3239">
        <v>-311</v>
      </c>
      <c r="E60" s="3236"/>
      <c r="F60" s="3236"/>
      <c r="G60" s="3236"/>
      <c r="H60" s="3236">
        <v>10.61</v>
      </c>
      <c r="I60" s="3236"/>
      <c r="J60" s="3236"/>
      <c r="K60" s="3236"/>
      <c r="L60" s="3236"/>
      <c r="M60" s="3236"/>
      <c r="N60" s="3236">
        <f t="shared" si="0"/>
        <v>10.61</v>
      </c>
    </row>
    <row r="61" spans="1:14" hidden="1">
      <c r="A61" s="3236"/>
      <c r="B61" s="3236"/>
      <c r="C61" s="3235" t="s">
        <v>5649</v>
      </c>
      <c r="D61" s="3239">
        <v>-312</v>
      </c>
      <c r="E61" s="3236"/>
      <c r="F61" s="3236"/>
      <c r="G61" s="3236"/>
      <c r="H61" s="3236">
        <v>12.14</v>
      </c>
      <c r="I61" s="3236"/>
      <c r="J61" s="3236"/>
      <c r="K61" s="3236"/>
      <c r="L61" s="3236"/>
      <c r="M61" s="3236"/>
      <c r="N61" s="3236">
        <f t="shared" si="0"/>
        <v>12.14</v>
      </c>
    </row>
    <row r="62" spans="1:14" hidden="1">
      <c r="A62" s="3236"/>
      <c r="B62" s="3236"/>
      <c r="C62" s="3235" t="s">
        <v>5649</v>
      </c>
      <c r="D62" s="3239">
        <v>-313</v>
      </c>
      <c r="E62" s="3236"/>
      <c r="F62" s="3236"/>
      <c r="G62" s="3236"/>
      <c r="H62" s="3236">
        <v>17.149999999999999</v>
      </c>
      <c r="I62" s="3236"/>
      <c r="J62" s="3236"/>
      <c r="K62" s="3236"/>
      <c r="L62" s="3236"/>
      <c r="M62" s="3236"/>
      <c r="N62" s="3236">
        <f t="shared" si="0"/>
        <v>17.149999999999999</v>
      </c>
    </row>
    <row r="63" spans="1:14" hidden="1">
      <c r="A63" s="3236"/>
      <c r="B63" s="3236"/>
      <c r="C63" s="3235" t="s">
        <v>5649</v>
      </c>
      <c r="D63" s="3239">
        <v>-314</v>
      </c>
      <c r="E63" s="3236"/>
      <c r="F63" s="3236"/>
      <c r="G63" s="3236"/>
      <c r="H63" s="3236">
        <v>16.350000000000001</v>
      </c>
      <c r="I63" s="3236"/>
      <c r="J63" s="3236"/>
      <c r="K63" s="3236"/>
      <c r="L63" s="3236"/>
      <c r="M63" s="3236"/>
      <c r="N63" s="3236">
        <f t="shared" si="0"/>
        <v>16.350000000000001</v>
      </c>
    </row>
    <row r="64" spans="1:14" hidden="1">
      <c r="A64" s="3236"/>
      <c r="B64" s="3236"/>
      <c r="C64" s="3235" t="s">
        <v>5649</v>
      </c>
      <c r="D64" s="3239">
        <v>-315</v>
      </c>
      <c r="E64" s="3236"/>
      <c r="F64" s="3236"/>
      <c r="G64" s="3236"/>
      <c r="H64" s="3236">
        <v>24.24</v>
      </c>
      <c r="I64" s="3236"/>
      <c r="J64" s="3236"/>
      <c r="K64" s="3236"/>
      <c r="L64" s="3236"/>
      <c r="M64" s="3236"/>
      <c r="N64" s="3236">
        <f t="shared" si="0"/>
        <v>24.24</v>
      </c>
    </row>
    <row r="65" spans="1:14" hidden="1">
      <c r="A65" s="3236"/>
      <c r="B65" s="3236"/>
      <c r="C65" s="3235" t="s">
        <v>5649</v>
      </c>
      <c r="D65" s="3239">
        <v>-316</v>
      </c>
      <c r="E65" s="3236"/>
      <c r="F65" s="3236"/>
      <c r="G65" s="3236"/>
      <c r="H65" s="3236">
        <v>24.24</v>
      </c>
      <c r="I65" s="3236"/>
      <c r="J65" s="3236"/>
      <c r="K65" s="3236"/>
      <c r="L65" s="3236"/>
      <c r="M65" s="3236"/>
      <c r="N65" s="3236">
        <f t="shared" si="0"/>
        <v>24.24</v>
      </c>
    </row>
    <row r="66" spans="1:14" hidden="1">
      <c r="A66" s="3236"/>
      <c r="B66" s="3236"/>
      <c r="C66" s="3235" t="s">
        <v>5649</v>
      </c>
      <c r="D66" s="3239">
        <v>-317</v>
      </c>
      <c r="E66" s="3236"/>
      <c r="F66" s="3236"/>
      <c r="G66" s="3236"/>
      <c r="H66" s="3236">
        <v>16.350000000000001</v>
      </c>
      <c r="I66" s="3236"/>
      <c r="J66" s="3236"/>
      <c r="K66" s="3236"/>
      <c r="L66" s="3236"/>
      <c r="M66" s="3236"/>
      <c r="N66" s="3236">
        <f t="shared" si="0"/>
        <v>16.350000000000001</v>
      </c>
    </row>
    <row r="67" spans="1:14" hidden="1">
      <c r="A67" s="3236"/>
      <c r="B67" s="3236"/>
      <c r="C67" s="3235" t="s">
        <v>5649</v>
      </c>
      <c r="D67" s="3239">
        <v>-318</v>
      </c>
      <c r="E67" s="3236"/>
      <c r="F67" s="3236"/>
      <c r="G67" s="3236"/>
      <c r="H67" s="3236">
        <v>17.149999999999999</v>
      </c>
      <c r="I67" s="3236"/>
      <c r="J67" s="3236"/>
      <c r="K67" s="3236"/>
      <c r="L67" s="3236"/>
      <c r="M67" s="3236"/>
      <c r="N67" s="3236">
        <f t="shared" ref="N67:N83" si="1">SUM(E67:M67)</f>
        <v>17.149999999999999</v>
      </c>
    </row>
    <row r="68" spans="1:14" hidden="1">
      <c r="A68" s="3236"/>
      <c r="B68" s="3236"/>
      <c r="C68" s="3235" t="s">
        <v>5649</v>
      </c>
      <c r="D68" s="3239">
        <v>-319</v>
      </c>
      <c r="E68" s="3236"/>
      <c r="F68" s="3236"/>
      <c r="G68" s="3236"/>
      <c r="H68" s="3236">
        <v>12.14</v>
      </c>
      <c r="I68" s="3236"/>
      <c r="J68" s="3236"/>
      <c r="K68" s="3236"/>
      <c r="L68" s="3236"/>
      <c r="M68" s="3236"/>
      <c r="N68" s="3236">
        <f t="shared" si="1"/>
        <v>12.14</v>
      </c>
    </row>
    <row r="69" spans="1:14" hidden="1">
      <c r="A69" s="3236"/>
      <c r="B69" s="3236"/>
      <c r="C69" s="3235" t="s">
        <v>5649</v>
      </c>
      <c r="D69" s="3239">
        <v>-320</v>
      </c>
      <c r="E69" s="3236"/>
      <c r="F69" s="3236"/>
      <c r="G69" s="3236"/>
      <c r="H69" s="3236">
        <v>10.61</v>
      </c>
      <c r="I69" s="3236"/>
      <c r="J69" s="3236"/>
      <c r="K69" s="3236"/>
      <c r="L69" s="3236"/>
      <c r="M69" s="3236"/>
      <c r="N69" s="3236">
        <f t="shared" si="1"/>
        <v>10.61</v>
      </c>
    </row>
    <row r="70" spans="1:14" hidden="1">
      <c r="A70" s="3236"/>
      <c r="B70" s="3236"/>
      <c r="C70" s="3235" t="s">
        <v>5649</v>
      </c>
      <c r="D70" s="3239">
        <v>-321</v>
      </c>
      <c r="E70" s="3236"/>
      <c r="F70" s="3236"/>
      <c r="G70" s="3236"/>
      <c r="H70" s="3236">
        <v>17.899999999999999</v>
      </c>
      <c r="I70" s="3236"/>
      <c r="J70" s="3236"/>
      <c r="K70" s="3236"/>
      <c r="L70" s="3236"/>
      <c r="M70" s="3236"/>
      <c r="N70" s="3236">
        <f t="shared" si="1"/>
        <v>17.899999999999999</v>
      </c>
    </row>
    <row r="71" spans="1:14" hidden="1">
      <c r="A71" s="3236"/>
      <c r="B71" s="3236"/>
      <c r="C71" s="3235" t="s">
        <v>5649</v>
      </c>
      <c r="D71" s="3239">
        <v>-322</v>
      </c>
      <c r="E71" s="3236"/>
      <c r="F71" s="3236"/>
      <c r="G71" s="3236"/>
      <c r="H71" s="3236">
        <v>21.99</v>
      </c>
      <c r="I71" s="3236"/>
      <c r="J71" s="3236"/>
      <c r="K71" s="3236"/>
      <c r="L71" s="3236"/>
      <c r="M71" s="3236"/>
      <c r="N71" s="3236">
        <f t="shared" si="1"/>
        <v>21.99</v>
      </c>
    </row>
    <row r="72" spans="1:14" hidden="1">
      <c r="A72" s="3236"/>
      <c r="B72" s="3236"/>
      <c r="C72" s="3235" t="s">
        <v>5649</v>
      </c>
      <c r="D72" s="3239">
        <v>-323</v>
      </c>
      <c r="E72" s="3236"/>
      <c r="F72" s="3236"/>
      <c r="G72" s="3236"/>
      <c r="H72" s="3236">
        <v>21.99</v>
      </c>
      <c r="I72" s="3236"/>
      <c r="J72" s="3236"/>
      <c r="K72" s="3236"/>
      <c r="L72" s="3236"/>
      <c r="M72" s="3236"/>
      <c r="N72" s="3236">
        <f t="shared" si="1"/>
        <v>21.99</v>
      </c>
    </row>
    <row r="73" spans="1:14" hidden="1">
      <c r="A73" s="3236"/>
      <c r="B73" s="3236"/>
      <c r="C73" s="3235" t="s">
        <v>5649</v>
      </c>
      <c r="D73" s="3239">
        <v>-324</v>
      </c>
      <c r="E73" s="3236"/>
      <c r="F73" s="3236"/>
      <c r="G73" s="3236"/>
      <c r="H73" s="3236">
        <v>17.899999999999999</v>
      </c>
      <c r="I73" s="3236"/>
      <c r="J73" s="3236"/>
      <c r="K73" s="3236"/>
      <c r="L73" s="3236"/>
      <c r="M73" s="3236"/>
      <c r="N73" s="3236">
        <f t="shared" si="1"/>
        <v>17.899999999999999</v>
      </c>
    </row>
    <row r="74" spans="1:14" hidden="1">
      <c r="A74" s="3236"/>
      <c r="B74" s="3236"/>
      <c r="C74" s="3235" t="s">
        <v>5649</v>
      </c>
      <c r="D74" s="3239">
        <v>-325</v>
      </c>
      <c r="E74" s="3236"/>
      <c r="F74" s="3236"/>
      <c r="G74" s="3236"/>
      <c r="H74" s="3236">
        <v>10.61</v>
      </c>
      <c r="I74" s="3236"/>
      <c r="J74" s="3236"/>
      <c r="K74" s="3236"/>
      <c r="L74" s="3236"/>
      <c r="M74" s="3236"/>
      <c r="N74" s="3236">
        <f t="shared" si="1"/>
        <v>10.61</v>
      </c>
    </row>
    <row r="75" spans="1:14" hidden="1">
      <c r="A75" s="3236"/>
      <c r="B75" s="3236"/>
      <c r="C75" s="3235" t="s">
        <v>5649</v>
      </c>
      <c r="D75" s="3239">
        <v>-326</v>
      </c>
      <c r="E75" s="3236"/>
      <c r="F75" s="3236"/>
      <c r="G75" s="3236"/>
      <c r="H75" s="3236">
        <v>20.55</v>
      </c>
      <c r="I75" s="3236"/>
      <c r="J75" s="3236"/>
      <c r="K75" s="3236"/>
      <c r="L75" s="3236"/>
      <c r="M75" s="3236"/>
      <c r="N75" s="3236">
        <f t="shared" si="1"/>
        <v>20.55</v>
      </c>
    </row>
    <row r="76" spans="1:14" hidden="1">
      <c r="A76" s="3236"/>
      <c r="B76" s="3236"/>
      <c r="C76" s="3235" t="s">
        <v>5649</v>
      </c>
      <c r="D76" s="3239">
        <v>-327</v>
      </c>
      <c r="E76" s="3236"/>
      <c r="F76" s="3236"/>
      <c r="G76" s="3236"/>
      <c r="H76" s="3236">
        <v>18.71</v>
      </c>
      <c r="I76" s="3236"/>
      <c r="J76" s="3236"/>
      <c r="K76" s="3236"/>
      <c r="L76" s="3236"/>
      <c r="M76" s="3236"/>
      <c r="N76" s="3236">
        <f t="shared" si="1"/>
        <v>18.71</v>
      </c>
    </row>
    <row r="77" spans="1:14" hidden="1">
      <c r="A77" s="3236"/>
      <c r="B77" s="3236"/>
      <c r="C77" s="3235" t="s">
        <v>5649</v>
      </c>
      <c r="D77" s="3239">
        <v>-328</v>
      </c>
      <c r="E77" s="3236"/>
      <c r="F77" s="3236"/>
      <c r="G77" s="3236"/>
      <c r="H77" s="3236">
        <v>17.149999999999999</v>
      </c>
      <c r="I77" s="3236"/>
      <c r="J77" s="3236"/>
      <c r="K77" s="3236"/>
      <c r="L77" s="3236"/>
      <c r="M77" s="3236"/>
      <c r="N77" s="3236">
        <f t="shared" si="1"/>
        <v>17.149999999999999</v>
      </c>
    </row>
    <row r="78" spans="1:14" hidden="1">
      <c r="A78" s="3236"/>
      <c r="B78" s="3236"/>
      <c r="C78" s="3235" t="s">
        <v>5649</v>
      </c>
      <c r="D78" s="3239">
        <v>-329</v>
      </c>
      <c r="E78" s="3236"/>
      <c r="F78" s="3236"/>
      <c r="G78" s="3236"/>
      <c r="H78" s="3236">
        <v>16.350000000000001</v>
      </c>
      <c r="I78" s="3236"/>
      <c r="J78" s="3236"/>
      <c r="K78" s="3236"/>
      <c r="L78" s="3236"/>
      <c r="M78" s="3236"/>
      <c r="N78" s="3236">
        <f t="shared" si="1"/>
        <v>16.350000000000001</v>
      </c>
    </row>
    <row r="79" spans="1:14" hidden="1">
      <c r="A79" s="3236"/>
      <c r="B79" s="3236"/>
      <c r="C79" s="3235" t="s">
        <v>5649</v>
      </c>
      <c r="D79" s="3239">
        <v>-330</v>
      </c>
      <c r="E79" s="3236"/>
      <c r="F79" s="3236"/>
      <c r="G79" s="3236"/>
      <c r="H79" s="3236">
        <v>24.24</v>
      </c>
      <c r="I79" s="3236"/>
      <c r="J79" s="3236"/>
      <c r="K79" s="3236"/>
      <c r="L79" s="3236"/>
      <c r="M79" s="3236"/>
      <c r="N79" s="3236">
        <f t="shared" si="1"/>
        <v>24.24</v>
      </c>
    </row>
    <row r="80" spans="1:14" hidden="1">
      <c r="A80" s="3236"/>
      <c r="B80" s="3236"/>
      <c r="C80" s="3235" t="s">
        <v>5649</v>
      </c>
      <c r="D80" s="3239">
        <v>-331</v>
      </c>
      <c r="E80" s="3236"/>
      <c r="F80" s="3236"/>
      <c r="G80" s="3236"/>
      <c r="H80" s="3236">
        <v>16.350000000000001</v>
      </c>
      <c r="I80" s="3236"/>
      <c r="J80" s="3236"/>
      <c r="K80" s="3236"/>
      <c r="L80" s="3236"/>
      <c r="M80" s="3236"/>
      <c r="N80" s="3236">
        <f t="shared" si="1"/>
        <v>16.350000000000001</v>
      </c>
    </row>
    <row r="81" spans="1:15" hidden="1">
      <c r="A81" s="3236"/>
      <c r="B81" s="3236"/>
      <c r="C81" s="3235" t="s">
        <v>5649</v>
      </c>
      <c r="D81" s="3239">
        <v>-332</v>
      </c>
      <c r="E81" s="3236"/>
      <c r="F81" s="3236"/>
      <c r="G81" s="3236"/>
      <c r="H81" s="3236">
        <v>17.149999999999999</v>
      </c>
      <c r="I81" s="3236"/>
      <c r="J81" s="3236"/>
      <c r="K81" s="3236"/>
      <c r="L81" s="3236"/>
      <c r="M81" s="3236"/>
      <c r="N81" s="3236">
        <f t="shared" si="1"/>
        <v>17.149999999999999</v>
      </c>
    </row>
    <row r="82" spans="1:15" hidden="1">
      <c r="A82" s="3236"/>
      <c r="B82" s="3236"/>
      <c r="C82" s="3235" t="s">
        <v>5649</v>
      </c>
      <c r="D82" s="3239">
        <v>-333</v>
      </c>
      <c r="E82" s="3236"/>
      <c r="F82" s="3236"/>
      <c r="G82" s="3236"/>
      <c r="H82" s="3236">
        <v>10.61</v>
      </c>
      <c r="I82" s="3236"/>
      <c r="J82" s="3236"/>
      <c r="K82" s="3236"/>
      <c r="L82" s="3236"/>
      <c r="M82" s="3236"/>
      <c r="N82" s="3236">
        <f t="shared" si="1"/>
        <v>10.61</v>
      </c>
    </row>
    <row r="83" spans="1:15" hidden="1">
      <c r="A83" s="3236"/>
      <c r="B83" s="3236"/>
      <c r="C83" s="3235" t="s">
        <v>5649</v>
      </c>
      <c r="D83" s="3239">
        <v>-334</v>
      </c>
      <c r="E83" s="3236"/>
      <c r="F83" s="3236"/>
      <c r="G83" s="3236"/>
      <c r="H83" s="3236">
        <v>17.899999999999999</v>
      </c>
      <c r="I83" s="3236"/>
      <c r="J83" s="3236"/>
      <c r="K83" s="3236"/>
      <c r="L83" s="3236"/>
      <c r="M83" s="3236"/>
      <c r="N83" s="3236">
        <f t="shared" si="1"/>
        <v>17.899999999999999</v>
      </c>
    </row>
    <row r="84" spans="1:15" hidden="1">
      <c r="A84" s="3236"/>
      <c r="B84" s="3236"/>
      <c r="C84" s="3235" t="s">
        <v>5650</v>
      </c>
      <c r="D84" s="3239"/>
      <c r="E84" s="3236"/>
      <c r="F84" s="3236"/>
      <c r="G84" s="3236"/>
      <c r="H84" s="3236"/>
      <c r="I84" s="3236"/>
      <c r="J84" s="3236"/>
      <c r="K84" s="3236"/>
      <c r="L84" s="3236">
        <v>75.55</v>
      </c>
      <c r="M84" s="3236">
        <f>86.59+58.62+55.3+854.04</f>
        <v>1054.55</v>
      </c>
      <c r="N84" s="3236">
        <f>SUM(E84:M84)</f>
        <v>1130.0999999999999</v>
      </c>
    </row>
    <row r="85" spans="1:15" s="3242" customFormat="1">
      <c r="A85" s="3441" t="s">
        <v>5651</v>
      </c>
      <c r="B85" s="3441"/>
      <c r="C85" s="3441"/>
      <c r="D85" s="3441"/>
      <c r="E85" s="3240">
        <f>SUM(E2:E84)</f>
        <v>1055.5999999999999</v>
      </c>
      <c r="F85" s="3240">
        <f t="shared" ref="F85:M85" si="2">SUM(F2:F84)</f>
        <v>6274.8300000000017</v>
      </c>
      <c r="G85" s="3240">
        <f t="shared" si="2"/>
        <v>610.97</v>
      </c>
      <c r="H85" s="3240">
        <f>SUM(H2:H84)</f>
        <v>613.55999999999995</v>
      </c>
      <c r="I85" s="3240">
        <f t="shared" si="2"/>
        <v>0</v>
      </c>
      <c r="J85" s="3240"/>
      <c r="K85" s="3240">
        <f>SUM(K2:K84)</f>
        <v>0</v>
      </c>
      <c r="L85" s="3240">
        <f t="shared" si="2"/>
        <v>75.55</v>
      </c>
      <c r="M85" s="3240">
        <f t="shared" si="2"/>
        <v>1054.55</v>
      </c>
      <c r="N85" s="3240">
        <f>SUM(N2:N84)</f>
        <v>9685.0600000000013</v>
      </c>
      <c r="O85" s="3241">
        <f>9684.97-N85</f>
        <v>-9.0000000001964509E-2</v>
      </c>
    </row>
    <row r="86" spans="1:15" ht="81">
      <c r="A86" s="3236">
        <v>86</v>
      </c>
      <c r="B86" s="3236"/>
      <c r="C86" s="3235" t="s">
        <v>5642</v>
      </c>
      <c r="D86" s="3237" t="s">
        <v>5652</v>
      </c>
      <c r="E86" s="3236">
        <v>191.39</v>
      </c>
      <c r="F86" s="3236"/>
      <c r="G86" s="3236">
        <v>115.54</v>
      </c>
      <c r="H86" s="3236"/>
      <c r="I86" s="3236"/>
      <c r="J86" s="3236"/>
      <c r="K86" s="3236"/>
      <c r="L86" s="3236"/>
      <c r="M86" s="3236"/>
      <c r="N86" s="3236">
        <f t="shared" ref="N86:N109" si="3">SUM(E86:M86)</f>
        <v>306.93</v>
      </c>
      <c r="O86" s="3238" t="s">
        <v>5643</v>
      </c>
    </row>
    <row r="87" spans="1:15">
      <c r="A87" s="3236"/>
      <c r="B87" s="3236"/>
      <c r="C87" s="3236"/>
      <c r="D87" s="3237" t="s">
        <v>5653</v>
      </c>
      <c r="E87" s="3236">
        <v>167.34</v>
      </c>
      <c r="F87" s="3236"/>
      <c r="G87" s="3236">
        <v>95.16</v>
      </c>
      <c r="H87" s="3236"/>
      <c r="I87" s="3236"/>
      <c r="J87" s="3236"/>
      <c r="K87" s="3236"/>
      <c r="L87" s="3236"/>
      <c r="M87" s="3236"/>
      <c r="N87" s="3236">
        <f t="shared" si="3"/>
        <v>262.5</v>
      </c>
    </row>
    <row r="88" spans="1:15">
      <c r="A88" s="3236"/>
      <c r="B88" s="3236"/>
      <c r="C88" s="3235" t="s">
        <v>5645</v>
      </c>
      <c r="D88" s="3237" t="s">
        <v>5652</v>
      </c>
      <c r="E88" s="3236">
        <v>167.34</v>
      </c>
      <c r="F88" s="3236"/>
      <c r="G88" s="3236">
        <v>95.16</v>
      </c>
      <c r="H88" s="3236"/>
      <c r="I88" s="3236"/>
      <c r="J88" s="3236"/>
      <c r="K88" s="3236"/>
      <c r="L88" s="3236"/>
      <c r="M88" s="3236"/>
      <c r="N88" s="3236">
        <f t="shared" si="3"/>
        <v>262.5</v>
      </c>
    </row>
    <row r="89" spans="1:15">
      <c r="A89" s="3236"/>
      <c r="B89" s="3236"/>
      <c r="C89" s="3236"/>
      <c r="D89" s="3237" t="s">
        <v>5653</v>
      </c>
      <c r="E89" s="3236">
        <v>167.56</v>
      </c>
      <c r="F89" s="3236"/>
      <c r="G89" s="3236">
        <v>95.15</v>
      </c>
      <c r="H89" s="3236"/>
      <c r="I89" s="3236"/>
      <c r="J89" s="3236"/>
      <c r="K89" s="3236"/>
      <c r="L89" s="3236"/>
      <c r="M89" s="3236"/>
      <c r="N89" s="3236">
        <f t="shared" si="3"/>
        <v>262.71000000000004</v>
      </c>
    </row>
    <row r="90" spans="1:15">
      <c r="A90" s="3236"/>
      <c r="B90" s="3236"/>
      <c r="C90" s="3235" t="s">
        <v>5647</v>
      </c>
      <c r="D90" s="3237" t="s">
        <v>5652</v>
      </c>
      <c r="E90" s="3236">
        <v>167.34</v>
      </c>
      <c r="F90" s="3236"/>
      <c r="G90" s="3236">
        <v>95.16</v>
      </c>
      <c r="H90" s="3236"/>
      <c r="I90" s="3236"/>
      <c r="J90" s="3236"/>
      <c r="K90" s="3236"/>
      <c r="L90" s="3236"/>
      <c r="M90" s="3236"/>
      <c r="N90" s="3236">
        <f t="shared" si="3"/>
        <v>262.5</v>
      </c>
    </row>
    <row r="91" spans="1:15">
      <c r="A91" s="3236"/>
      <c r="B91" s="3236"/>
      <c r="C91" s="3236"/>
      <c r="D91" s="3237" t="s">
        <v>5653</v>
      </c>
      <c r="E91" s="3236">
        <v>193.04</v>
      </c>
      <c r="F91" s="3236"/>
      <c r="G91" s="3236">
        <v>113.54</v>
      </c>
      <c r="H91" s="3236"/>
      <c r="I91" s="3236"/>
      <c r="J91" s="3236"/>
      <c r="K91" s="3236"/>
      <c r="L91" s="3236"/>
      <c r="M91" s="3236"/>
      <c r="N91" s="3236">
        <f t="shared" si="3"/>
        <v>306.58</v>
      </c>
    </row>
    <row r="92" spans="1:15">
      <c r="A92" s="3236"/>
      <c r="B92" s="3236"/>
      <c r="C92" s="3235" t="s">
        <v>5650</v>
      </c>
      <c r="D92" s="3239"/>
      <c r="E92" s="3236"/>
      <c r="F92" s="3236">
        <v>6263.47</v>
      </c>
      <c r="G92" s="3236"/>
      <c r="H92" s="3236">
        <v>753.23</v>
      </c>
      <c r="I92" s="3236"/>
      <c r="J92" s="3236"/>
      <c r="K92" s="3236"/>
      <c r="L92" s="3236">
        <v>75.55</v>
      </c>
      <c r="M92" s="3236"/>
      <c r="N92" s="3236">
        <f t="shared" si="3"/>
        <v>7092.2500000000009</v>
      </c>
    </row>
    <row r="93" spans="1:15" s="3242" customFormat="1">
      <c r="A93" s="3441" t="s">
        <v>5654</v>
      </c>
      <c r="B93" s="3441"/>
      <c r="C93" s="3441"/>
      <c r="D93" s="3441"/>
      <c r="E93" s="3240">
        <f>SUM(E86:E92)</f>
        <v>1054.0100000000002</v>
      </c>
      <c r="F93" s="3240">
        <f t="shared" ref="F93:L93" si="4">SUM(F86:F92)</f>
        <v>6263.47</v>
      </c>
      <c r="G93" s="3240">
        <f t="shared" si="4"/>
        <v>609.70999999999992</v>
      </c>
      <c r="H93" s="3240">
        <f t="shared" si="4"/>
        <v>753.23</v>
      </c>
      <c r="I93" s="3240">
        <f t="shared" si="4"/>
        <v>0</v>
      </c>
      <c r="J93" s="3240"/>
      <c r="K93" s="3240">
        <f t="shared" si="4"/>
        <v>0</v>
      </c>
      <c r="L93" s="3240">
        <f t="shared" si="4"/>
        <v>75.55</v>
      </c>
      <c r="M93" s="3240">
        <f>SUM(M86:M92)</f>
        <v>0</v>
      </c>
      <c r="N93" s="3240">
        <f t="shared" si="3"/>
        <v>8755.9699999999993</v>
      </c>
      <c r="O93" s="3241">
        <f>8756.04-N93</f>
        <v>7.0000000001527951E-2</v>
      </c>
    </row>
    <row r="94" spans="1:15" ht="54">
      <c r="A94" s="3236">
        <v>87</v>
      </c>
      <c r="B94" s="3236"/>
      <c r="C94" s="3235" t="s">
        <v>5642</v>
      </c>
      <c r="D94" s="3237" t="s">
        <v>5652</v>
      </c>
      <c r="E94" s="3236">
        <v>190.69</v>
      </c>
      <c r="F94" s="3236"/>
      <c r="G94" s="3236">
        <v>115.38</v>
      </c>
      <c r="H94" s="3236"/>
      <c r="I94" s="3236"/>
      <c r="J94" s="3236"/>
      <c r="K94" s="3236"/>
      <c r="L94" s="3236"/>
      <c r="M94" s="3236"/>
      <c r="N94" s="3236">
        <f t="shared" si="3"/>
        <v>306.07</v>
      </c>
      <c r="O94" s="3238" t="s">
        <v>5655</v>
      </c>
    </row>
    <row r="95" spans="1:15">
      <c r="A95" s="3236"/>
      <c r="B95" s="3236"/>
      <c r="C95" s="3236"/>
      <c r="D95" s="3237" t="s">
        <v>5653</v>
      </c>
      <c r="E95" s="3236">
        <v>167.1</v>
      </c>
      <c r="F95" s="3236"/>
      <c r="G95" s="3236">
        <v>94.9</v>
      </c>
      <c r="H95" s="3236"/>
      <c r="I95" s="3236"/>
      <c r="J95" s="3236"/>
      <c r="K95" s="3236"/>
      <c r="L95" s="3236"/>
      <c r="M95" s="3236"/>
      <c r="N95" s="3236">
        <f t="shared" si="3"/>
        <v>262</v>
      </c>
    </row>
    <row r="96" spans="1:15">
      <c r="A96" s="3236"/>
      <c r="B96" s="3236"/>
      <c r="C96" s="3235" t="s">
        <v>5650</v>
      </c>
      <c r="D96" s="3239"/>
      <c r="E96" s="3236"/>
      <c r="F96" s="3236">
        <v>4299.51</v>
      </c>
      <c r="G96" s="3236"/>
      <c r="H96" s="3236">
        <v>789.76</v>
      </c>
      <c r="I96" s="3236">
        <f>382.04+210.97+52.95</f>
        <v>645.96</v>
      </c>
      <c r="J96" s="3236">
        <f>467.51+206.12</f>
        <v>673.63</v>
      </c>
      <c r="K96" s="3236"/>
      <c r="L96" s="3236">
        <f>53.59+87.7</f>
        <v>141.29000000000002</v>
      </c>
      <c r="M96" s="3236">
        <f>793.02-L96</f>
        <v>651.73</v>
      </c>
      <c r="N96" s="3236">
        <f t="shared" si="3"/>
        <v>7201.880000000001</v>
      </c>
    </row>
    <row r="97" spans="1:18" s="3242" customFormat="1">
      <c r="A97" s="3441" t="s">
        <v>5656</v>
      </c>
      <c r="B97" s="3441"/>
      <c r="C97" s="3441"/>
      <c r="D97" s="3441"/>
      <c r="E97" s="3240">
        <f>SUM(E94:E96)</f>
        <v>357.78999999999996</v>
      </c>
      <c r="F97" s="3240">
        <f t="shared" ref="F97:L97" si="5">SUM(F94:F96)</f>
        <v>4299.51</v>
      </c>
      <c r="G97" s="3240">
        <f t="shared" si="5"/>
        <v>210.28</v>
      </c>
      <c r="H97" s="3240">
        <f t="shared" si="5"/>
        <v>789.76</v>
      </c>
      <c r="I97" s="3240">
        <f>SUM(I94:I96)</f>
        <v>645.96</v>
      </c>
      <c r="J97" s="3240">
        <f>SUM(J94:J96)</f>
        <v>673.63</v>
      </c>
      <c r="K97" s="3240">
        <f t="shared" si="5"/>
        <v>0</v>
      </c>
      <c r="L97" s="3240">
        <f t="shared" si="5"/>
        <v>141.29000000000002</v>
      </c>
      <c r="M97" s="3240">
        <f>SUM(M94:M96)</f>
        <v>651.73</v>
      </c>
      <c r="N97" s="3240">
        <f t="shared" si="3"/>
        <v>7769.9500000000007</v>
      </c>
      <c r="O97" s="3241">
        <f>7769.94-N97</f>
        <v>-1.0000000001127773E-2</v>
      </c>
    </row>
    <row r="98" spans="1:18" ht="54">
      <c r="A98" s="3236">
        <v>88</v>
      </c>
      <c r="B98" s="3236"/>
      <c r="C98" s="3235" t="s">
        <v>5642</v>
      </c>
      <c r="D98" s="3237" t="s">
        <v>5652</v>
      </c>
      <c r="E98" s="3236">
        <v>191.08</v>
      </c>
      <c r="F98" s="3236"/>
      <c r="G98" s="3236">
        <v>115.66</v>
      </c>
      <c r="H98" s="3236"/>
      <c r="I98" s="3236"/>
      <c r="J98" s="3236"/>
      <c r="K98" s="3236"/>
      <c r="L98" s="3236"/>
      <c r="M98" s="3236"/>
      <c r="N98" s="3236">
        <f t="shared" si="3"/>
        <v>306.74</v>
      </c>
      <c r="O98" s="3238" t="s">
        <v>5655</v>
      </c>
    </row>
    <row r="99" spans="1:18">
      <c r="A99" s="3236"/>
      <c r="B99" s="3236"/>
      <c r="C99" s="3236"/>
      <c r="D99" s="3237" t="s">
        <v>5653</v>
      </c>
      <c r="E99" s="3236">
        <v>167.61</v>
      </c>
      <c r="F99" s="3236"/>
      <c r="G99" s="3236">
        <v>95.19</v>
      </c>
      <c r="H99" s="3236"/>
      <c r="I99" s="3236"/>
      <c r="J99" s="3236"/>
      <c r="K99" s="3236"/>
      <c r="L99" s="3236"/>
      <c r="M99" s="3236"/>
      <c r="N99" s="3236">
        <f t="shared" si="3"/>
        <v>262.8</v>
      </c>
    </row>
    <row r="100" spans="1:18">
      <c r="A100" s="3236"/>
      <c r="B100" s="3236"/>
      <c r="C100" s="3235" t="s">
        <v>5650</v>
      </c>
      <c r="D100" s="3237"/>
      <c r="E100" s="3236"/>
      <c r="F100" s="3236">
        <v>4316.55</v>
      </c>
      <c r="G100" s="3236"/>
      <c r="H100" s="3236">
        <v>607.74</v>
      </c>
      <c r="I100" s="3236"/>
      <c r="J100" s="3236">
        <f>151.92+112.45</f>
        <v>264.37</v>
      </c>
      <c r="K100" s="3236">
        <v>66.7</v>
      </c>
      <c r="L100" s="3236">
        <f>71.73+21.06+54.29</f>
        <v>147.08000000000001</v>
      </c>
      <c r="M100" s="3236">
        <v>105.86</v>
      </c>
      <c r="N100" s="3236">
        <f t="shared" si="3"/>
        <v>5508.2999999999993</v>
      </c>
    </row>
    <row r="101" spans="1:18" s="3242" customFormat="1">
      <c r="A101" s="3441" t="s">
        <v>5657</v>
      </c>
      <c r="B101" s="3441"/>
      <c r="C101" s="3441"/>
      <c r="D101" s="3441"/>
      <c r="E101" s="3240">
        <f>SUM(E98:E100)</f>
        <v>358.69000000000005</v>
      </c>
      <c r="F101" s="3240">
        <f t="shared" ref="F101:L101" si="6">SUM(F98:F100)</f>
        <v>4316.55</v>
      </c>
      <c r="G101" s="3240">
        <f t="shared" si="6"/>
        <v>210.85</v>
      </c>
      <c r="H101" s="3240">
        <f t="shared" si="6"/>
        <v>607.74</v>
      </c>
      <c r="I101" s="3240">
        <f t="shared" si="6"/>
        <v>0</v>
      </c>
      <c r="J101" s="3240">
        <f t="shared" si="6"/>
        <v>264.37</v>
      </c>
      <c r="K101" s="3240">
        <f t="shared" si="6"/>
        <v>66.7</v>
      </c>
      <c r="L101" s="3240">
        <f t="shared" si="6"/>
        <v>147.08000000000001</v>
      </c>
      <c r="M101" s="3240">
        <f>SUM(M98:M100)</f>
        <v>105.86</v>
      </c>
      <c r="N101" s="3240">
        <f t="shared" si="3"/>
        <v>6077.8399999999992</v>
      </c>
      <c r="O101" s="3241">
        <f>6077.79-N101</f>
        <v>-4.9999999999272404E-2</v>
      </c>
    </row>
    <row r="102" spans="1:18" ht="55.5" customHeight="1">
      <c r="A102" s="3236">
        <v>89</v>
      </c>
      <c r="B102" s="3236"/>
      <c r="C102" s="3235" t="s">
        <v>5642</v>
      </c>
      <c r="D102" s="3237" t="s">
        <v>5652</v>
      </c>
      <c r="E102" s="3236">
        <v>192.57</v>
      </c>
      <c r="F102" s="3236"/>
      <c r="G102" s="3236">
        <v>116.47</v>
      </c>
      <c r="H102" s="3236"/>
      <c r="I102" s="3236"/>
      <c r="J102" s="3236"/>
      <c r="K102" s="3236"/>
      <c r="L102" s="3236"/>
      <c r="M102" s="3236"/>
      <c r="N102" s="3236">
        <f t="shared" si="3"/>
        <v>309.03999999999996</v>
      </c>
      <c r="O102" s="3238" t="s">
        <v>5658</v>
      </c>
      <c r="P102" s="3066" t="s">
        <v>5642</v>
      </c>
      <c r="Q102">
        <v>601</v>
      </c>
      <c r="R102">
        <v>166.57</v>
      </c>
    </row>
    <row r="103" spans="1:18">
      <c r="A103" s="3236"/>
      <c r="B103" s="3236"/>
      <c r="C103" s="3236"/>
      <c r="D103" s="3237" t="s">
        <v>5653</v>
      </c>
      <c r="E103" s="3236">
        <v>168.68</v>
      </c>
      <c r="F103" s="3236"/>
      <c r="G103" s="3236">
        <v>95.81</v>
      </c>
      <c r="H103" s="3236"/>
      <c r="I103" s="3235"/>
      <c r="J103" s="3236"/>
      <c r="K103" s="3236"/>
      <c r="L103" s="3236"/>
      <c r="M103" s="3236"/>
      <c r="N103" s="3236">
        <f t="shared" si="3"/>
        <v>264.49</v>
      </c>
      <c r="Q103">
        <v>602</v>
      </c>
      <c r="R103">
        <v>143.72999999999999</v>
      </c>
    </row>
    <row r="104" spans="1:18">
      <c r="A104" s="3236"/>
      <c r="B104" s="3236"/>
      <c r="C104" s="3235" t="s">
        <v>5645</v>
      </c>
      <c r="D104" s="3237" t="s">
        <v>5652</v>
      </c>
      <c r="E104" s="3236">
        <v>168.88</v>
      </c>
      <c r="F104" s="3236"/>
      <c r="G104" s="3236">
        <v>95.93</v>
      </c>
      <c r="H104" s="3236"/>
      <c r="I104" s="3236"/>
      <c r="J104" s="3236"/>
      <c r="K104" s="3236"/>
      <c r="L104" s="3236"/>
      <c r="M104" s="3236"/>
      <c r="N104" s="3236">
        <f t="shared" si="3"/>
        <v>264.81</v>
      </c>
      <c r="Q104">
        <v>701</v>
      </c>
      <c r="R104">
        <v>169.23</v>
      </c>
    </row>
    <row r="105" spans="1:18">
      <c r="A105" s="3236"/>
      <c r="B105" s="3236"/>
      <c r="C105" s="3236"/>
      <c r="D105" s="3237" t="s">
        <v>5653</v>
      </c>
      <c r="E105" s="3236">
        <v>192.65</v>
      </c>
      <c r="F105" s="3236"/>
      <c r="G105" s="3236">
        <v>116.53</v>
      </c>
      <c r="H105" s="3236"/>
      <c r="I105" s="3236"/>
      <c r="J105" s="3236"/>
      <c r="K105" s="3236"/>
      <c r="L105" s="3236"/>
      <c r="M105" s="3236"/>
      <c r="N105" s="3236">
        <f t="shared" si="3"/>
        <v>309.18</v>
      </c>
      <c r="Q105">
        <v>702</v>
      </c>
      <c r="R105">
        <v>143.72999999999999</v>
      </c>
    </row>
    <row r="106" spans="1:18">
      <c r="A106" s="3236"/>
      <c r="B106" s="3236"/>
      <c r="C106" s="3235" t="s">
        <v>5650</v>
      </c>
      <c r="D106" s="3237"/>
      <c r="E106" s="3236">
        <f>3705.56-F106</f>
        <v>2292.4700000000003</v>
      </c>
      <c r="F106" s="3236">
        <f>R111</f>
        <v>1413.09</v>
      </c>
      <c r="G106" s="3236"/>
      <c r="H106" s="3236">
        <v>480.35</v>
      </c>
      <c r="I106" s="3236"/>
      <c r="J106" s="3236"/>
      <c r="K106" s="3236"/>
      <c r="L106" s="3236">
        <v>47.79</v>
      </c>
      <c r="M106" s="3236"/>
      <c r="N106" s="3236">
        <f t="shared" si="3"/>
        <v>4233.7000000000007</v>
      </c>
      <c r="P106" s="3066" t="s">
        <v>5645</v>
      </c>
      <c r="Q106">
        <v>502</v>
      </c>
      <c r="R106">
        <v>166.57</v>
      </c>
    </row>
    <row r="107" spans="1:18" s="3242" customFormat="1">
      <c r="A107" s="3441" t="s">
        <v>5659</v>
      </c>
      <c r="B107" s="3441"/>
      <c r="C107" s="3441"/>
      <c r="D107" s="3441"/>
      <c r="E107" s="3240">
        <f>SUM(E102:E106)</f>
        <v>3015.25</v>
      </c>
      <c r="F107" s="3240">
        <f t="shared" ref="F107:M107" si="7">SUM(F102:F106)</f>
        <v>1413.09</v>
      </c>
      <c r="G107" s="3240">
        <f t="shared" si="7"/>
        <v>424.74</v>
      </c>
      <c r="H107" s="3240">
        <f t="shared" si="7"/>
        <v>480.35</v>
      </c>
      <c r="I107" s="3240">
        <f t="shared" si="7"/>
        <v>0</v>
      </c>
      <c r="J107" s="3240">
        <f t="shared" si="7"/>
        <v>0</v>
      </c>
      <c r="K107" s="3240">
        <f t="shared" si="7"/>
        <v>0</v>
      </c>
      <c r="L107" s="3240">
        <f t="shared" si="7"/>
        <v>47.79</v>
      </c>
      <c r="M107" s="3240">
        <f t="shared" si="7"/>
        <v>0</v>
      </c>
      <c r="N107" s="3240">
        <f t="shared" si="3"/>
        <v>5381.22</v>
      </c>
      <c r="O107" s="3241">
        <f>5381.2-N107</f>
        <v>-2.0000000000436557E-2</v>
      </c>
      <c r="Q107">
        <v>601</v>
      </c>
      <c r="R107">
        <v>143.72999999999999</v>
      </c>
    </row>
    <row r="108" spans="1:18">
      <c r="A108" s="3240">
        <v>90</v>
      </c>
      <c r="B108" s="3240"/>
      <c r="C108" s="3235" t="s">
        <v>5642</v>
      </c>
      <c r="D108" s="3237" t="s">
        <v>5652</v>
      </c>
      <c r="E108" s="3236">
        <v>192.58</v>
      </c>
      <c r="F108" s="3236"/>
      <c r="G108" s="3236">
        <v>116.47</v>
      </c>
      <c r="H108" s="3236"/>
      <c r="I108" s="3236"/>
      <c r="J108" s="3236"/>
      <c r="K108" s="3236"/>
      <c r="L108" s="3236"/>
      <c r="M108" s="3236"/>
      <c r="N108" s="3236">
        <f t="shared" si="3"/>
        <v>309.05</v>
      </c>
      <c r="Q108" s="3066">
        <v>602</v>
      </c>
      <c r="R108">
        <v>166.57</v>
      </c>
    </row>
    <row r="109" spans="1:18">
      <c r="A109" s="3240"/>
      <c r="B109" s="3240"/>
      <c r="C109" s="3236"/>
      <c r="D109" s="3237" t="s">
        <v>5653</v>
      </c>
      <c r="E109" s="3236">
        <v>168.68</v>
      </c>
      <c r="F109" s="3236"/>
      <c r="G109" s="3236">
        <v>95.82</v>
      </c>
      <c r="H109" s="3236"/>
      <c r="I109" s="3236"/>
      <c r="J109" s="3236"/>
      <c r="K109" s="3236"/>
      <c r="L109" s="3236"/>
      <c r="M109" s="3236"/>
      <c r="N109" s="3236">
        <f t="shared" si="3"/>
        <v>264.5</v>
      </c>
      <c r="Q109">
        <v>701</v>
      </c>
      <c r="R109">
        <v>143.72999999999999</v>
      </c>
    </row>
    <row r="110" spans="1:18">
      <c r="A110" s="3236"/>
      <c r="B110" s="3236"/>
      <c r="C110" s="3235" t="s">
        <v>5645</v>
      </c>
      <c r="D110" s="3237" t="s">
        <v>5652</v>
      </c>
      <c r="E110" s="3236">
        <v>168.89</v>
      </c>
      <c r="F110" s="3236"/>
      <c r="G110" s="3236">
        <v>95.93</v>
      </c>
      <c r="H110" s="3236"/>
      <c r="I110" s="3235"/>
      <c r="J110" s="3236"/>
      <c r="K110" s="3236"/>
      <c r="L110" s="3236"/>
      <c r="M110" s="3236"/>
      <c r="N110" s="3236">
        <f t="shared" ref="N110:N130" si="8">SUM(E110:M110)</f>
        <v>264.82</v>
      </c>
      <c r="Q110">
        <v>702</v>
      </c>
      <c r="R110">
        <v>169.23</v>
      </c>
    </row>
    <row r="111" spans="1:18">
      <c r="A111" s="3236"/>
      <c r="B111" s="3236"/>
      <c r="C111" s="3236"/>
      <c r="D111" s="3237" t="s">
        <v>5653</v>
      </c>
      <c r="E111" s="3236">
        <v>192.66</v>
      </c>
      <c r="F111" s="3236"/>
      <c r="G111" s="3236">
        <v>116.53</v>
      </c>
      <c r="H111" s="3236"/>
      <c r="I111" s="3236"/>
      <c r="J111" s="3236"/>
      <c r="K111" s="3236"/>
      <c r="L111" s="3236"/>
      <c r="M111" s="3236"/>
      <c r="N111" s="3236">
        <f t="shared" si="8"/>
        <v>309.19</v>
      </c>
      <c r="R111">
        <f>SUM(R102:R110)</f>
        <v>1413.09</v>
      </c>
    </row>
    <row r="112" spans="1:18">
      <c r="A112" s="3236"/>
      <c r="B112" s="3236"/>
      <c r="C112" s="3235" t="s">
        <v>5650</v>
      </c>
      <c r="D112" s="3239"/>
      <c r="E112" s="3236">
        <v>3705.8</v>
      </c>
      <c r="F112" s="3236"/>
      <c r="G112" s="3236"/>
      <c r="H112" s="3236">
        <v>480.06</v>
      </c>
      <c r="I112" s="3236"/>
      <c r="J112" s="3236"/>
      <c r="K112" s="3236"/>
      <c r="L112" s="3236">
        <v>47.79</v>
      </c>
      <c r="M112" s="3236"/>
      <c r="N112" s="3236">
        <f t="shared" si="8"/>
        <v>4233.6500000000005</v>
      </c>
    </row>
    <row r="113" spans="1:15" s="3242" customFormat="1">
      <c r="A113" s="3441" t="s">
        <v>5660</v>
      </c>
      <c r="B113" s="3441"/>
      <c r="C113" s="3441"/>
      <c r="D113" s="3441"/>
      <c r="E113" s="3240">
        <f>SUM(E108:E112)</f>
        <v>4428.6100000000006</v>
      </c>
      <c r="F113" s="3240">
        <f t="shared" ref="F113:M113" si="9">SUM(F108:F112)</f>
        <v>0</v>
      </c>
      <c r="G113" s="3240">
        <f t="shared" si="9"/>
        <v>424.75</v>
      </c>
      <c r="H113" s="3240">
        <f t="shared" si="9"/>
        <v>480.06</v>
      </c>
      <c r="I113" s="3240">
        <f t="shared" si="9"/>
        <v>0</v>
      </c>
      <c r="J113" s="3240">
        <f t="shared" si="9"/>
        <v>0</v>
      </c>
      <c r="K113" s="3240">
        <f t="shared" si="9"/>
        <v>0</v>
      </c>
      <c r="L113" s="3240">
        <f t="shared" si="9"/>
        <v>47.79</v>
      </c>
      <c r="M113" s="3240">
        <f t="shared" si="9"/>
        <v>0</v>
      </c>
      <c r="N113" s="3240">
        <f t="shared" si="8"/>
        <v>5381.2100000000009</v>
      </c>
      <c r="O113" s="3241">
        <f>5381.2-N113</f>
        <v>-1.0000000001127773E-2</v>
      </c>
    </row>
    <row r="114" spans="1:15" ht="54">
      <c r="A114" s="3236">
        <v>91</v>
      </c>
      <c r="B114" s="3236"/>
      <c r="C114" s="3235" t="s">
        <v>5642</v>
      </c>
      <c r="D114" s="3237" t="s">
        <v>5652</v>
      </c>
      <c r="E114" s="3236">
        <v>192.59</v>
      </c>
      <c r="F114" s="3236"/>
      <c r="G114" s="3236">
        <v>116.47</v>
      </c>
      <c r="H114" s="3236"/>
      <c r="I114" s="3236"/>
      <c r="J114" s="3236"/>
      <c r="K114" s="3236"/>
      <c r="L114" s="3236"/>
      <c r="M114" s="3236"/>
      <c r="N114" s="3236">
        <f t="shared" si="8"/>
        <v>309.06</v>
      </c>
      <c r="O114" s="3238" t="s">
        <v>5661</v>
      </c>
    </row>
    <row r="115" spans="1:15">
      <c r="A115" s="3236"/>
      <c r="B115" s="3236"/>
      <c r="C115" s="3236"/>
      <c r="D115" s="3237" t="s">
        <v>5653</v>
      </c>
      <c r="E115" s="3236">
        <v>168.69</v>
      </c>
      <c r="F115" s="3236"/>
      <c r="G115" s="3236">
        <v>95.83</v>
      </c>
      <c r="H115" s="3236"/>
      <c r="I115" s="3236"/>
      <c r="J115" s="3236"/>
      <c r="K115" s="3236"/>
      <c r="L115" s="3236"/>
      <c r="M115" s="3236"/>
      <c r="N115" s="3236">
        <f t="shared" si="8"/>
        <v>264.52</v>
      </c>
    </row>
    <row r="116" spans="1:15">
      <c r="A116" s="3236"/>
      <c r="B116" s="3236"/>
      <c r="C116" s="3235" t="s">
        <v>5645</v>
      </c>
      <c r="D116" s="3237" t="s">
        <v>5652</v>
      </c>
      <c r="E116" s="3236">
        <v>168.9</v>
      </c>
      <c r="F116" s="3236"/>
      <c r="G116" s="3236">
        <v>95.94</v>
      </c>
      <c r="H116" s="3236"/>
      <c r="I116" s="3236"/>
      <c r="J116" s="3236"/>
      <c r="K116" s="3236"/>
      <c r="L116" s="3236"/>
      <c r="M116" s="3236"/>
      <c r="N116" s="3236">
        <f t="shared" si="8"/>
        <v>264.84000000000003</v>
      </c>
    </row>
    <row r="117" spans="1:15">
      <c r="A117" s="3236"/>
      <c r="B117" s="3236"/>
      <c r="C117" s="3236"/>
      <c r="D117" s="3237" t="s">
        <v>5653</v>
      </c>
      <c r="E117" s="3236">
        <v>192.67</v>
      </c>
      <c r="F117" s="3236"/>
      <c r="G117" s="3236">
        <v>116.53</v>
      </c>
      <c r="H117" s="3236"/>
      <c r="I117" s="3236"/>
      <c r="J117" s="3236"/>
      <c r="K117" s="3236"/>
      <c r="L117" s="3236"/>
      <c r="M117" s="3236"/>
      <c r="N117" s="3236">
        <f t="shared" si="8"/>
        <v>309.2</v>
      </c>
    </row>
    <row r="118" spans="1:15">
      <c r="A118" s="3236"/>
      <c r="B118" s="3236"/>
      <c r="C118" s="3235" t="s">
        <v>5650</v>
      </c>
      <c r="D118" s="3239"/>
      <c r="E118" s="3236"/>
      <c r="F118" s="3236">
        <v>3705.92</v>
      </c>
      <c r="G118" s="3236"/>
      <c r="H118" s="3236">
        <v>479.77</v>
      </c>
      <c r="I118" s="3236"/>
      <c r="J118" s="3236"/>
      <c r="K118" s="3236"/>
      <c r="L118" s="3236">
        <v>47.79</v>
      </c>
      <c r="M118" s="3236"/>
      <c r="N118" s="3236">
        <f t="shared" si="8"/>
        <v>4233.4800000000005</v>
      </c>
    </row>
    <row r="119" spans="1:15" s="3242" customFormat="1">
      <c r="A119" s="3441" t="s">
        <v>5662</v>
      </c>
      <c r="B119" s="3441"/>
      <c r="C119" s="3441"/>
      <c r="D119" s="3441"/>
      <c r="E119" s="3240">
        <f>SUM(E114:E118)</f>
        <v>722.84999999999991</v>
      </c>
      <c r="F119" s="3240">
        <f t="shared" ref="F119:M119" si="10">SUM(F114:F118)</f>
        <v>3705.92</v>
      </c>
      <c r="G119" s="3240">
        <f t="shared" si="10"/>
        <v>424.77</v>
      </c>
      <c r="H119" s="3240">
        <f t="shared" si="10"/>
        <v>479.77</v>
      </c>
      <c r="I119" s="3240">
        <f t="shared" si="10"/>
        <v>0</v>
      </c>
      <c r="J119" s="3240">
        <f t="shared" si="10"/>
        <v>0</v>
      </c>
      <c r="K119" s="3240">
        <f t="shared" si="10"/>
        <v>0</v>
      </c>
      <c r="L119" s="3240">
        <f t="shared" si="10"/>
        <v>47.79</v>
      </c>
      <c r="M119" s="3240">
        <f t="shared" si="10"/>
        <v>0</v>
      </c>
      <c r="N119" s="3240">
        <f t="shared" si="8"/>
        <v>5381.1000000000013</v>
      </c>
      <c r="O119" s="3241">
        <f>5381.2-N119</f>
        <v>9.9999999998544808E-2</v>
      </c>
    </row>
    <row r="120" spans="1:15">
      <c r="A120" s="3442" t="s">
        <v>5533</v>
      </c>
      <c r="B120" s="3443"/>
      <c r="C120" s="3443"/>
      <c r="D120" s="3443"/>
      <c r="E120" s="3236">
        <f>E85+E93+E97+E101+E107+E113+E119</f>
        <v>10992.800000000001</v>
      </c>
      <c r="F120" s="3236">
        <f>F85+F93+F97+F101+F107+F113+F119</f>
        <v>26273.370000000003</v>
      </c>
      <c r="G120" s="3236">
        <f>G85+G93+G97+G101+G107+G113+G119</f>
        <v>2916.0699999999997</v>
      </c>
      <c r="H120" s="3236">
        <f t="shared" ref="H120:K120" si="11">H85+H93+H97+H101+H107+H113+H119</f>
        <v>4204.4699999999993</v>
      </c>
      <c r="I120" s="3236">
        <f>I85+I93+I97+I101+I107+I113+I119</f>
        <v>645.96</v>
      </c>
      <c r="J120" s="3236">
        <f>J85+J93+J97+J101+J107+J113+J119</f>
        <v>938</v>
      </c>
      <c r="K120" s="3236">
        <f t="shared" si="11"/>
        <v>66.7</v>
      </c>
      <c r="L120" s="3236">
        <f>L85+L93+L97+L101+L107+L113+L119</f>
        <v>582.84</v>
      </c>
      <c r="M120" s="3236">
        <f>M85+M93+M97+M101+M107+M113+M119</f>
        <v>1812.1399999999999</v>
      </c>
      <c r="N120" s="3236">
        <f>SUM(E120:M120)</f>
        <v>48432.35</v>
      </c>
    </row>
    <row r="121" spans="1:15">
      <c r="H121">
        <f>34+39+37+28+24+24+23</f>
        <v>209</v>
      </c>
      <c r="N121">
        <f>SUM(E121:M121)</f>
        <v>209</v>
      </c>
    </row>
    <row r="122" spans="1:15">
      <c r="N122">
        <f t="shared" si="8"/>
        <v>0</v>
      </c>
    </row>
    <row r="123" spans="1:15">
      <c r="N123">
        <f t="shared" si="8"/>
        <v>0</v>
      </c>
    </row>
    <row r="124" spans="1:15">
      <c r="J124">
        <f>3399.68+[3]规证!I110+[3]规证!F117</f>
        <v>4627.92</v>
      </c>
      <c r="N124">
        <f t="shared" si="8"/>
        <v>4627.92</v>
      </c>
    </row>
    <row r="125" spans="1:15">
      <c r="N125">
        <f t="shared" si="8"/>
        <v>0</v>
      </c>
    </row>
    <row r="126" spans="1:15" ht="18.75">
      <c r="A126" s="3233" t="s">
        <v>5429</v>
      </c>
      <c r="B126" s="3233" t="s">
        <v>5630</v>
      </c>
      <c r="C126" s="3233" t="s">
        <v>5631</v>
      </c>
      <c r="D126" s="3234" t="s">
        <v>5632</v>
      </c>
      <c r="E126" s="3233" t="s">
        <v>5633</v>
      </c>
      <c r="F126" s="3233" t="s">
        <v>5434</v>
      </c>
      <c r="G126" s="3233" t="s">
        <v>5634</v>
      </c>
      <c r="H126" s="3233" t="s">
        <v>5497</v>
      </c>
      <c r="I126" s="3233" t="s">
        <v>5635</v>
      </c>
      <c r="J126" s="3233" t="s">
        <v>5636</v>
      </c>
      <c r="K126" s="3233" t="s">
        <v>5637</v>
      </c>
      <c r="L126" s="3233" t="s">
        <v>5638</v>
      </c>
      <c r="M126" s="3233" t="s">
        <v>5639</v>
      </c>
      <c r="N126" s="3233" t="s">
        <v>5640</v>
      </c>
    </row>
    <row r="127" spans="1:15">
      <c r="A127">
        <v>85</v>
      </c>
      <c r="E127">
        <v>1282.48</v>
      </c>
      <c r="F127">
        <v>6264.4499999999989</v>
      </c>
      <c r="G127">
        <v>380.67</v>
      </c>
      <c r="H127">
        <v>753.25000000000011</v>
      </c>
      <c r="N127">
        <f>SUM(E127:M127)</f>
        <v>8680.8499999999985</v>
      </c>
    </row>
    <row r="128" spans="1:15" hidden="1">
      <c r="N128">
        <f t="shared" si="8"/>
        <v>0</v>
      </c>
    </row>
    <row r="129" spans="2:14" hidden="1">
      <c r="N129">
        <f t="shared" si="8"/>
        <v>0</v>
      </c>
    </row>
    <row r="130" spans="2:14" hidden="1">
      <c r="B130" s="3244"/>
      <c r="C130" s="3444" t="s">
        <v>5663</v>
      </c>
      <c r="D130" s="3444" t="s">
        <v>5664</v>
      </c>
      <c r="E130" s="3444"/>
      <c r="F130" s="3444"/>
      <c r="G130" s="3444" t="s">
        <v>5665</v>
      </c>
      <c r="H130" s="3444"/>
      <c r="I130" s="3444"/>
      <c r="J130" s="3444"/>
      <c r="N130">
        <f t="shared" si="8"/>
        <v>0</v>
      </c>
    </row>
    <row r="131" spans="2:14" hidden="1">
      <c r="B131" s="3244"/>
      <c r="C131" s="3444"/>
      <c r="D131" s="3245" t="s">
        <v>3058</v>
      </c>
      <c r="E131" s="3245" t="s">
        <v>1343</v>
      </c>
      <c r="F131" s="3246" t="s">
        <v>5666</v>
      </c>
      <c r="G131" s="3245" t="s">
        <v>5667</v>
      </c>
      <c r="H131" s="3246" t="s">
        <v>5668</v>
      </c>
      <c r="I131" s="3246" t="s">
        <v>5669</v>
      </c>
      <c r="J131" s="3246" t="s">
        <v>5670</v>
      </c>
      <c r="N131">
        <f t="shared" ref="N131:N134" si="12">SUM(E131:M131)</f>
        <v>0</v>
      </c>
    </row>
    <row r="132" spans="2:14" hidden="1">
      <c r="B132" s="3247" t="s">
        <v>3151</v>
      </c>
      <c r="C132" s="3244">
        <f>SUM(D132:J132)</f>
        <v>9685.0600000000013</v>
      </c>
      <c r="D132" s="3248">
        <f>E85+F85</f>
        <v>7330.4300000000021</v>
      </c>
      <c r="E132" s="3244">
        <v>0</v>
      </c>
      <c r="F132" s="3244">
        <f>L85</f>
        <v>75.55</v>
      </c>
      <c r="G132" s="3244">
        <f>G85+H85</f>
        <v>1224.53</v>
      </c>
      <c r="H132" s="3244">
        <v>0</v>
      </c>
      <c r="I132" s="3244">
        <v>0</v>
      </c>
      <c r="J132" s="3244">
        <f>M85</f>
        <v>1054.55</v>
      </c>
      <c r="N132">
        <f t="shared" si="12"/>
        <v>2354.63</v>
      </c>
    </row>
    <row r="133" spans="2:14" hidden="1">
      <c r="B133" s="3247" t="s">
        <v>3152</v>
      </c>
      <c r="C133" s="3244">
        <f t="shared" ref="C133:C139" si="13">SUM(D133:J133)</f>
        <v>8835.02</v>
      </c>
      <c r="D133" s="3244">
        <f>[3]规证!D110</f>
        <v>6984.06</v>
      </c>
      <c r="E133" s="3244">
        <v>0</v>
      </c>
      <c r="F133" s="3244">
        <v>0</v>
      </c>
      <c r="G133" s="3244">
        <f>[3]规证!H110</f>
        <v>1622.72</v>
      </c>
      <c r="H133" s="3244">
        <v>0</v>
      </c>
      <c r="I133" s="3244">
        <v>0</v>
      </c>
      <c r="J133" s="3244">
        <f>[3]规证!I110</f>
        <v>228.24</v>
      </c>
      <c r="N133">
        <f t="shared" si="12"/>
        <v>1850.96</v>
      </c>
    </row>
    <row r="134" spans="2:14" hidden="1">
      <c r="B134" s="3247" t="s">
        <v>3153</v>
      </c>
      <c r="C134" s="3244">
        <f t="shared" si="13"/>
        <v>8755.9700000000012</v>
      </c>
      <c r="D134" s="3244">
        <f>E93+F93</f>
        <v>7317.4800000000005</v>
      </c>
      <c r="E134" s="3244">
        <v>0</v>
      </c>
      <c r="F134" s="3244">
        <f>L93</f>
        <v>75.55</v>
      </c>
      <c r="G134" s="3244">
        <f>G93+H93</f>
        <v>1362.94</v>
      </c>
      <c r="H134" s="3244">
        <v>0</v>
      </c>
      <c r="I134" s="3244">
        <v>0</v>
      </c>
      <c r="J134" s="3244">
        <v>0</v>
      </c>
      <c r="N134">
        <f t="shared" si="12"/>
        <v>1438.49</v>
      </c>
    </row>
    <row r="135" spans="2:14" hidden="1">
      <c r="B135" s="3247" t="s">
        <v>3154</v>
      </c>
      <c r="C135" s="3244">
        <f>SUM(D135:J135)</f>
        <v>7769.9500000000007</v>
      </c>
      <c r="D135" s="3244">
        <f>E97+F97</f>
        <v>4657.3</v>
      </c>
      <c r="E135" s="3244">
        <f>I96-I135</f>
        <v>263.92</v>
      </c>
      <c r="F135" s="3244">
        <f>L97+J97</f>
        <v>814.92000000000007</v>
      </c>
      <c r="G135" s="3244">
        <f>G97+H97</f>
        <v>1000.04</v>
      </c>
      <c r="H135" s="3244">
        <v>0</v>
      </c>
      <c r="I135" s="3244">
        <v>382.04</v>
      </c>
      <c r="J135" s="3244">
        <f>M97</f>
        <v>651.73</v>
      </c>
    </row>
    <row r="136" spans="2:14" hidden="1">
      <c r="B136" s="3247" t="s">
        <v>3155</v>
      </c>
      <c r="C136" s="3244">
        <f t="shared" si="13"/>
        <v>6077.84</v>
      </c>
      <c r="D136" s="3244">
        <f>E101+F101</f>
        <v>4675.24</v>
      </c>
      <c r="E136" s="3244">
        <v>0</v>
      </c>
      <c r="F136" s="3244">
        <f>J101+L101</f>
        <v>411.45000000000005</v>
      </c>
      <c r="G136" s="3244">
        <f>G101+H101</f>
        <v>818.59</v>
      </c>
      <c r="H136" s="3244">
        <v>0</v>
      </c>
      <c r="I136" s="3244">
        <v>0</v>
      </c>
      <c r="J136" s="3244">
        <f>M101+K101</f>
        <v>172.56</v>
      </c>
    </row>
    <row r="137" spans="2:14" hidden="1">
      <c r="B137" s="3247" t="s">
        <v>3156</v>
      </c>
      <c r="C137" s="3244">
        <f t="shared" si="13"/>
        <v>5381.22</v>
      </c>
      <c r="D137" s="3244">
        <f>E107+F107</f>
        <v>4428.34</v>
      </c>
      <c r="E137" s="3244">
        <v>0</v>
      </c>
      <c r="F137" s="3244">
        <f>L107</f>
        <v>47.79</v>
      </c>
      <c r="G137" s="3244">
        <f>H107+G107</f>
        <v>905.09</v>
      </c>
      <c r="H137" s="3244">
        <v>0</v>
      </c>
      <c r="I137" s="3244">
        <v>0</v>
      </c>
      <c r="J137" s="3244">
        <v>0</v>
      </c>
    </row>
    <row r="138" spans="2:14" hidden="1">
      <c r="B138" s="3247" t="s">
        <v>3157</v>
      </c>
      <c r="C138" s="3244">
        <f t="shared" si="13"/>
        <v>5381.2100000000009</v>
      </c>
      <c r="D138" s="3244">
        <f>E113</f>
        <v>4428.6100000000006</v>
      </c>
      <c r="E138" s="3244">
        <v>0</v>
      </c>
      <c r="F138" s="3244">
        <f>L113</f>
        <v>47.79</v>
      </c>
      <c r="G138" s="3244">
        <f>G113+H113</f>
        <v>904.81</v>
      </c>
      <c r="H138" s="3244">
        <v>0</v>
      </c>
      <c r="I138" s="3244">
        <v>0</v>
      </c>
      <c r="J138" s="3244">
        <v>0</v>
      </c>
    </row>
    <row r="139" spans="2:14" hidden="1">
      <c r="B139" s="3247" t="s">
        <v>3158</v>
      </c>
      <c r="C139" s="3249">
        <f t="shared" si="13"/>
        <v>5381.1</v>
      </c>
      <c r="D139" s="3244">
        <f>E119+F119</f>
        <v>4428.7700000000004</v>
      </c>
      <c r="E139" s="3244">
        <v>0</v>
      </c>
      <c r="F139" s="3244">
        <f>L119</f>
        <v>47.79</v>
      </c>
      <c r="G139" s="3244">
        <f>G119+H119</f>
        <v>904.54</v>
      </c>
      <c r="H139" s="3244">
        <v>0</v>
      </c>
      <c r="I139" s="3244">
        <v>0</v>
      </c>
      <c r="J139" s="3244">
        <v>0</v>
      </c>
    </row>
    <row r="140" spans="2:14" hidden="1">
      <c r="B140" s="3244"/>
      <c r="C140" s="3244"/>
      <c r="D140" s="3250"/>
      <c r="E140" s="3244"/>
      <c r="F140" s="3244"/>
      <c r="G140" s="3244"/>
      <c r="H140" s="3244"/>
      <c r="I140" s="3244"/>
      <c r="J140" s="3244"/>
    </row>
    <row r="144" spans="2:14">
      <c r="E144">
        <f>E120+E127</f>
        <v>12275.28</v>
      </c>
      <c r="F144">
        <f>F120+F127</f>
        <v>32537.82</v>
      </c>
      <c r="G144">
        <f>G120+G127</f>
        <v>3296.74</v>
      </c>
      <c r="H144">
        <f>H120+H127</f>
        <v>4957.7199999999993</v>
      </c>
      <c r="I144">
        <f>I120+I127</f>
        <v>645.96</v>
      </c>
      <c r="J144">
        <f t="shared" ref="J144:L144" si="14">J120+J127</f>
        <v>938</v>
      </c>
      <c r="K144">
        <f t="shared" si="14"/>
        <v>66.7</v>
      </c>
      <c r="L144">
        <f t="shared" si="14"/>
        <v>582.84</v>
      </c>
      <c r="M144">
        <f>M120+M127</f>
        <v>1812.1399999999999</v>
      </c>
      <c r="N144">
        <f>N120+N127</f>
        <v>57113.2</v>
      </c>
    </row>
    <row r="146" spans="3:7">
      <c r="C146" s="3066" t="s">
        <v>5673</v>
      </c>
      <c r="D146" s="3251" t="s">
        <v>5672</v>
      </c>
    </row>
    <row r="147" spans="3:7">
      <c r="C147">
        <v>45.64</v>
      </c>
      <c r="D147" s="3251" t="s">
        <v>5671</v>
      </c>
      <c r="E147" s="3251">
        <f>C147*D147</f>
        <v>38337.599999999999</v>
      </c>
    </row>
    <row r="151" spans="3:7">
      <c r="G151" s="3251">
        <f>E147+N144+'1-83号楼面积'!C90</f>
        <v>227026.18</v>
      </c>
    </row>
  </sheetData>
  <mergeCells count="11">
    <mergeCell ref="A119:D119"/>
    <mergeCell ref="A120:D120"/>
    <mergeCell ref="C130:C131"/>
    <mergeCell ref="D130:F130"/>
    <mergeCell ref="G130:J130"/>
    <mergeCell ref="A113:D113"/>
    <mergeCell ref="A85:D85"/>
    <mergeCell ref="A93:D93"/>
    <mergeCell ref="A97:D97"/>
    <mergeCell ref="A101:D101"/>
    <mergeCell ref="A107:D107"/>
  </mergeCells>
  <phoneticPr fontId="141"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G288"/>
  <sheetViews>
    <sheetView topLeftCell="A217" workbookViewId="0">
      <selection activeCell="D72" sqref="D72"/>
    </sheetView>
  </sheetViews>
  <sheetFormatPr defaultRowHeight="13.5"/>
  <cols>
    <col min="1" max="4" width="9" style="3169"/>
    <col min="5" max="5" width="9.5" style="3169" bestFit="1" customWidth="1"/>
    <col min="6" max="7" width="9" style="3169"/>
  </cols>
  <sheetData>
    <row r="2" spans="1:7" ht="36">
      <c r="A2" s="3153" t="s">
        <v>5428</v>
      </c>
      <c r="B2" s="3153" t="s">
        <v>5429</v>
      </c>
      <c r="C2" s="3153" t="s">
        <v>5430</v>
      </c>
      <c r="D2" s="3154" t="s">
        <v>1341</v>
      </c>
      <c r="E2" s="3155" t="s">
        <v>5431</v>
      </c>
      <c r="F2" s="3156" t="s">
        <v>5432</v>
      </c>
      <c r="G2" s="3156" t="s">
        <v>5433</v>
      </c>
    </row>
    <row r="3" spans="1:7">
      <c r="A3" s="3171">
        <v>1</v>
      </c>
      <c r="B3" s="3171">
        <v>59</v>
      </c>
      <c r="C3" s="3171" t="s">
        <v>5435</v>
      </c>
      <c r="D3" s="3153" t="s">
        <v>5434</v>
      </c>
      <c r="E3" s="3171">
        <v>138.65</v>
      </c>
      <c r="F3" s="3171"/>
      <c r="G3" s="3171"/>
    </row>
    <row r="4" spans="1:7">
      <c r="A4" s="3171">
        <v>2</v>
      </c>
      <c r="B4" s="3171">
        <v>59</v>
      </c>
      <c r="C4" s="3171" t="s">
        <v>5436</v>
      </c>
      <c r="D4" s="3153" t="s">
        <v>5434</v>
      </c>
      <c r="E4" s="3171">
        <v>138.12</v>
      </c>
      <c r="F4" s="3171"/>
      <c r="G4" s="3171"/>
    </row>
    <row r="5" spans="1:7">
      <c r="A5" s="3171">
        <v>3</v>
      </c>
      <c r="B5" s="3171">
        <v>59</v>
      </c>
      <c r="C5" s="3171" t="s">
        <v>5437</v>
      </c>
      <c r="D5" s="3153" t="s">
        <v>5434</v>
      </c>
      <c r="E5" s="3171">
        <v>144.16</v>
      </c>
      <c r="F5" s="3171"/>
      <c r="G5" s="3171"/>
    </row>
    <row r="6" spans="1:7">
      <c r="A6" s="3171">
        <v>4</v>
      </c>
      <c r="B6" s="3171">
        <v>59</v>
      </c>
      <c r="C6" s="3171" t="s">
        <v>5438</v>
      </c>
      <c r="D6" s="3153" t="s">
        <v>5434</v>
      </c>
      <c r="E6" s="3171">
        <v>143.61000000000001</v>
      </c>
      <c r="F6" s="3171"/>
      <c r="G6" s="3171"/>
    </row>
    <row r="7" spans="1:7">
      <c r="A7" s="3171">
        <v>5</v>
      </c>
      <c r="B7" s="3171">
        <v>59</v>
      </c>
      <c r="C7" s="3171" t="s">
        <v>5439</v>
      </c>
      <c r="D7" s="3153" t="s">
        <v>5434</v>
      </c>
      <c r="E7" s="3171">
        <v>144.16</v>
      </c>
      <c r="F7" s="3171"/>
      <c r="G7" s="3171"/>
    </row>
    <row r="8" spans="1:7">
      <c r="A8" s="3171">
        <v>6</v>
      </c>
      <c r="B8" s="3171">
        <v>59</v>
      </c>
      <c r="C8" s="3171" t="s">
        <v>5440</v>
      </c>
      <c r="D8" s="3153" t="s">
        <v>5434</v>
      </c>
      <c r="E8" s="3171">
        <v>143.61000000000001</v>
      </c>
      <c r="F8" s="3171"/>
      <c r="G8" s="3171"/>
    </row>
    <row r="9" spans="1:7">
      <c r="A9" s="3171">
        <v>7</v>
      </c>
      <c r="B9" s="3171">
        <v>59</v>
      </c>
      <c r="C9" s="3171" t="s">
        <v>5441</v>
      </c>
      <c r="D9" s="3153" t="s">
        <v>5434</v>
      </c>
      <c r="E9" s="3171">
        <v>144.16</v>
      </c>
      <c r="F9" s="3171"/>
      <c r="G9" s="3171"/>
    </row>
    <row r="10" spans="1:7">
      <c r="A10" s="3171">
        <v>8</v>
      </c>
      <c r="B10" s="3171">
        <v>59</v>
      </c>
      <c r="C10" s="3171" t="s">
        <v>5442</v>
      </c>
      <c r="D10" s="3153" t="s">
        <v>5434</v>
      </c>
      <c r="E10" s="3171">
        <v>143.61000000000001</v>
      </c>
      <c r="F10" s="3171"/>
      <c r="G10" s="3171"/>
    </row>
    <row r="11" spans="1:7">
      <c r="A11" s="3171">
        <v>9</v>
      </c>
      <c r="B11" s="3171">
        <v>59</v>
      </c>
      <c r="C11" s="3171" t="s">
        <v>5443</v>
      </c>
      <c r="D11" s="3153" t="s">
        <v>5434</v>
      </c>
      <c r="E11" s="3171">
        <v>144.16</v>
      </c>
      <c r="F11" s="3171"/>
      <c r="G11" s="3171"/>
    </row>
    <row r="12" spans="1:7">
      <c r="A12" s="3171">
        <v>10</v>
      </c>
      <c r="B12" s="3171">
        <v>59</v>
      </c>
      <c r="C12" s="3171" t="s">
        <v>5444</v>
      </c>
      <c r="D12" s="3153" t="s">
        <v>5434</v>
      </c>
      <c r="E12" s="3171">
        <v>143.61000000000001</v>
      </c>
      <c r="F12" s="3171"/>
      <c r="G12" s="3171"/>
    </row>
    <row r="13" spans="1:7">
      <c r="A13" s="3171">
        <v>11</v>
      </c>
      <c r="B13" s="3171">
        <v>59</v>
      </c>
      <c r="C13" s="3171" t="s">
        <v>5445</v>
      </c>
      <c r="D13" s="3153" t="s">
        <v>5434</v>
      </c>
      <c r="E13" s="3171">
        <v>144.16</v>
      </c>
      <c r="F13" s="3171"/>
      <c r="G13" s="3171"/>
    </row>
    <row r="14" spans="1:7">
      <c r="A14" s="3171">
        <v>12</v>
      </c>
      <c r="B14" s="3171">
        <v>59</v>
      </c>
      <c r="C14" s="3171" t="s">
        <v>5446</v>
      </c>
      <c r="D14" s="3153" t="s">
        <v>5434</v>
      </c>
      <c r="E14" s="3171">
        <v>143.61000000000001</v>
      </c>
      <c r="F14" s="3171"/>
      <c r="G14" s="3171"/>
    </row>
    <row r="15" spans="1:7">
      <c r="A15" s="3171">
        <v>13</v>
      </c>
      <c r="B15" s="3171">
        <v>59</v>
      </c>
      <c r="C15" s="3171" t="s">
        <v>5447</v>
      </c>
      <c r="D15" s="3153" t="s">
        <v>5434</v>
      </c>
      <c r="E15" s="3171">
        <v>144.16</v>
      </c>
      <c r="F15" s="3171"/>
      <c r="G15" s="3171"/>
    </row>
    <row r="16" spans="1:7">
      <c r="A16" s="3171">
        <v>14</v>
      </c>
      <c r="B16" s="3171">
        <v>59</v>
      </c>
      <c r="C16" s="3171" t="s">
        <v>5448</v>
      </c>
      <c r="D16" s="3153" t="s">
        <v>5434</v>
      </c>
      <c r="E16" s="3171">
        <v>143.61000000000001</v>
      </c>
      <c r="F16" s="3171"/>
      <c r="G16" s="3171"/>
    </row>
    <row r="17" spans="1:7">
      <c r="A17" s="3171">
        <v>15</v>
      </c>
      <c r="B17" s="3171">
        <v>59</v>
      </c>
      <c r="C17" s="3171" t="s">
        <v>5449</v>
      </c>
      <c r="D17" s="3153" t="s">
        <v>5434</v>
      </c>
      <c r="E17" s="3171">
        <v>138.12</v>
      </c>
      <c r="F17" s="3171"/>
      <c r="G17" s="3171"/>
    </row>
    <row r="18" spans="1:7">
      <c r="A18" s="3171">
        <v>16</v>
      </c>
      <c r="B18" s="3171">
        <v>59</v>
      </c>
      <c r="C18" s="3171" t="s">
        <v>5450</v>
      </c>
      <c r="D18" s="3153" t="s">
        <v>5434</v>
      </c>
      <c r="E18" s="3171">
        <v>138.12</v>
      </c>
      <c r="F18" s="3171"/>
      <c r="G18" s="3171"/>
    </row>
    <row r="19" spans="1:7">
      <c r="A19" s="3171">
        <v>17</v>
      </c>
      <c r="B19" s="3171">
        <v>59</v>
      </c>
      <c r="C19" s="3171" t="s">
        <v>5451</v>
      </c>
      <c r="D19" s="3153" t="s">
        <v>5434</v>
      </c>
      <c r="E19" s="3171">
        <v>143.61000000000001</v>
      </c>
      <c r="F19" s="3171"/>
      <c r="G19" s="3171"/>
    </row>
    <row r="20" spans="1:7">
      <c r="A20" s="3171">
        <v>18</v>
      </c>
      <c r="B20" s="3171">
        <v>59</v>
      </c>
      <c r="C20" s="3171" t="s">
        <v>5452</v>
      </c>
      <c r="D20" s="3153" t="s">
        <v>5434</v>
      </c>
      <c r="E20" s="3171">
        <v>143.61000000000001</v>
      </c>
      <c r="F20" s="3171"/>
      <c r="G20" s="3171"/>
    </row>
    <row r="21" spans="1:7">
      <c r="A21" s="3171">
        <v>19</v>
      </c>
      <c r="B21" s="3171">
        <v>59</v>
      </c>
      <c r="C21" s="3171" t="s">
        <v>5453</v>
      </c>
      <c r="D21" s="3153" t="s">
        <v>5434</v>
      </c>
      <c r="E21" s="3171">
        <v>143.61000000000001</v>
      </c>
      <c r="F21" s="3171"/>
      <c r="G21" s="3171"/>
    </row>
    <row r="22" spans="1:7">
      <c r="A22" s="3171">
        <v>20</v>
      </c>
      <c r="B22" s="3171">
        <v>59</v>
      </c>
      <c r="C22" s="3171" t="s">
        <v>5454</v>
      </c>
      <c r="D22" s="3153" t="s">
        <v>5434</v>
      </c>
      <c r="E22" s="3171">
        <v>143.61000000000001</v>
      </c>
      <c r="F22" s="3171"/>
      <c r="G22" s="3171"/>
    </row>
    <row r="23" spans="1:7">
      <c r="A23" s="3171">
        <v>21</v>
      </c>
      <c r="B23" s="3171">
        <v>59</v>
      </c>
      <c r="C23" s="3171" t="s">
        <v>5455</v>
      </c>
      <c r="D23" s="3153" t="s">
        <v>5434</v>
      </c>
      <c r="E23" s="3171">
        <v>143.61000000000001</v>
      </c>
      <c r="F23" s="3171"/>
      <c r="G23" s="3171"/>
    </row>
    <row r="24" spans="1:7">
      <c r="A24" s="3171">
        <v>22</v>
      </c>
      <c r="B24" s="3171">
        <v>59</v>
      </c>
      <c r="C24" s="3171" t="s">
        <v>5456</v>
      </c>
      <c r="D24" s="3153" t="s">
        <v>5434</v>
      </c>
      <c r="E24" s="3171">
        <v>143.61000000000001</v>
      </c>
      <c r="F24" s="3171"/>
      <c r="G24" s="3171"/>
    </row>
    <row r="25" spans="1:7">
      <c r="A25" s="3171">
        <v>23</v>
      </c>
      <c r="B25" s="3171">
        <v>59</v>
      </c>
      <c r="C25" s="3171" t="s">
        <v>5457</v>
      </c>
      <c r="D25" s="3153" t="s">
        <v>5434</v>
      </c>
      <c r="E25" s="3171">
        <v>143.61000000000001</v>
      </c>
      <c r="F25" s="3171"/>
      <c r="G25" s="3171"/>
    </row>
    <row r="26" spans="1:7">
      <c r="A26" s="3171">
        <v>24</v>
      </c>
      <c r="B26" s="3171">
        <v>59</v>
      </c>
      <c r="C26" s="3171" t="s">
        <v>5458</v>
      </c>
      <c r="D26" s="3153" t="s">
        <v>5434</v>
      </c>
      <c r="E26" s="3171">
        <v>143.61000000000001</v>
      </c>
      <c r="F26" s="3171"/>
      <c r="G26" s="3171"/>
    </row>
    <row r="27" spans="1:7">
      <c r="A27" s="3171">
        <v>25</v>
      </c>
      <c r="B27" s="3171">
        <v>59</v>
      </c>
      <c r="C27" s="3171" t="s">
        <v>5459</v>
      </c>
      <c r="D27" s="3153" t="s">
        <v>5434</v>
      </c>
      <c r="E27" s="3171">
        <v>143.61000000000001</v>
      </c>
      <c r="F27" s="3171"/>
      <c r="G27" s="3171"/>
    </row>
    <row r="28" spans="1:7">
      <c r="A28" s="3171">
        <v>26</v>
      </c>
      <c r="B28" s="3171">
        <v>59</v>
      </c>
      <c r="C28" s="3171" t="s">
        <v>5460</v>
      </c>
      <c r="D28" s="3153" t="s">
        <v>5434</v>
      </c>
      <c r="E28" s="3171">
        <v>143.61000000000001</v>
      </c>
      <c r="F28" s="3171"/>
      <c r="G28" s="3171"/>
    </row>
    <row r="29" spans="1:7">
      <c r="A29" s="3171">
        <v>27</v>
      </c>
      <c r="B29" s="3171">
        <v>59</v>
      </c>
      <c r="C29" s="3171" t="s">
        <v>5461</v>
      </c>
      <c r="D29" s="3153" t="s">
        <v>5434</v>
      </c>
      <c r="E29" s="3171">
        <v>143.61000000000001</v>
      </c>
      <c r="F29" s="3171"/>
      <c r="G29" s="3171"/>
    </row>
    <row r="30" spans="1:7">
      <c r="A30" s="3171">
        <v>28</v>
      </c>
      <c r="B30" s="3171">
        <v>59</v>
      </c>
      <c r="C30" s="3171" t="s">
        <v>5462</v>
      </c>
      <c r="D30" s="3153" t="s">
        <v>5434</v>
      </c>
      <c r="E30" s="3171">
        <v>143.61000000000001</v>
      </c>
      <c r="F30" s="3171"/>
      <c r="G30" s="3171"/>
    </row>
    <row r="31" spans="1:7">
      <c r="A31" s="3171">
        <v>29</v>
      </c>
      <c r="B31" s="3171">
        <v>59</v>
      </c>
      <c r="C31" s="3171" t="s">
        <v>5463</v>
      </c>
      <c r="D31" s="3153" t="s">
        <v>5434</v>
      </c>
      <c r="E31" s="3171">
        <v>138.12</v>
      </c>
      <c r="F31" s="3171"/>
      <c r="G31" s="3171"/>
    </row>
    <row r="32" spans="1:7">
      <c r="A32" s="3171">
        <v>30</v>
      </c>
      <c r="B32" s="3171">
        <v>59</v>
      </c>
      <c r="C32" s="3171" t="s">
        <v>5464</v>
      </c>
      <c r="D32" s="3153" t="s">
        <v>5434</v>
      </c>
      <c r="E32" s="3171">
        <v>138.12</v>
      </c>
      <c r="F32" s="3171"/>
      <c r="G32" s="3171"/>
    </row>
    <row r="33" spans="1:7">
      <c r="A33" s="3171">
        <v>31</v>
      </c>
      <c r="B33" s="3171">
        <v>59</v>
      </c>
      <c r="C33" s="3171" t="s">
        <v>5465</v>
      </c>
      <c r="D33" s="3153" t="s">
        <v>5434</v>
      </c>
      <c r="E33" s="3171">
        <v>143.61000000000001</v>
      </c>
      <c r="F33" s="3171"/>
      <c r="G33" s="3171"/>
    </row>
    <row r="34" spans="1:7">
      <c r="A34" s="3171">
        <v>32</v>
      </c>
      <c r="B34" s="3171">
        <v>59</v>
      </c>
      <c r="C34" s="3171" t="s">
        <v>5466</v>
      </c>
      <c r="D34" s="3153" t="s">
        <v>5434</v>
      </c>
      <c r="E34" s="3171">
        <v>143.61000000000001</v>
      </c>
      <c r="F34" s="3171"/>
      <c r="G34" s="3171"/>
    </row>
    <row r="35" spans="1:7">
      <c r="A35" s="3171">
        <v>33</v>
      </c>
      <c r="B35" s="3171">
        <v>59</v>
      </c>
      <c r="C35" s="3171" t="s">
        <v>5467</v>
      </c>
      <c r="D35" s="3153" t="s">
        <v>5434</v>
      </c>
      <c r="E35" s="3171">
        <v>143.61000000000001</v>
      </c>
      <c r="F35" s="3171"/>
      <c r="G35" s="3171"/>
    </row>
    <row r="36" spans="1:7">
      <c r="A36" s="3171">
        <v>34</v>
      </c>
      <c r="B36" s="3171">
        <v>59</v>
      </c>
      <c r="C36" s="3171" t="s">
        <v>5468</v>
      </c>
      <c r="D36" s="3153" t="s">
        <v>5434</v>
      </c>
      <c r="E36" s="3171">
        <v>143.61000000000001</v>
      </c>
      <c r="F36" s="3171"/>
      <c r="G36" s="3171"/>
    </row>
    <row r="37" spans="1:7">
      <c r="A37" s="3171">
        <v>35</v>
      </c>
      <c r="B37" s="3171">
        <v>59</v>
      </c>
      <c r="C37" s="3171" t="s">
        <v>5469</v>
      </c>
      <c r="D37" s="3153" t="s">
        <v>5434</v>
      </c>
      <c r="E37" s="3171">
        <v>143.61000000000001</v>
      </c>
      <c r="F37" s="3171"/>
      <c r="G37" s="3171"/>
    </row>
    <row r="38" spans="1:7">
      <c r="A38" s="3171">
        <v>36</v>
      </c>
      <c r="B38" s="3171">
        <v>59</v>
      </c>
      <c r="C38" s="3171" t="s">
        <v>5470</v>
      </c>
      <c r="D38" s="3153" t="s">
        <v>5434</v>
      </c>
      <c r="E38" s="3171">
        <v>143.61000000000001</v>
      </c>
      <c r="F38" s="3171"/>
      <c r="G38" s="3171"/>
    </row>
    <row r="39" spans="1:7">
      <c r="A39" s="3171">
        <v>37</v>
      </c>
      <c r="B39" s="3171">
        <v>59</v>
      </c>
      <c r="C39" s="3171" t="s">
        <v>5471</v>
      </c>
      <c r="D39" s="3153" t="s">
        <v>5434</v>
      </c>
      <c r="E39" s="3171">
        <v>143.61000000000001</v>
      </c>
      <c r="F39" s="3171"/>
      <c r="G39" s="3171"/>
    </row>
    <row r="40" spans="1:7">
      <c r="A40" s="3171">
        <v>38</v>
      </c>
      <c r="B40" s="3171">
        <v>59</v>
      </c>
      <c r="C40" s="3171" t="s">
        <v>5472</v>
      </c>
      <c r="D40" s="3153" t="s">
        <v>5434</v>
      </c>
      <c r="E40" s="3171">
        <v>143.61000000000001</v>
      </c>
      <c r="F40" s="3171"/>
      <c r="G40" s="3171"/>
    </row>
    <row r="41" spans="1:7">
      <c r="A41" s="3171">
        <v>39</v>
      </c>
      <c r="B41" s="3171">
        <v>59</v>
      </c>
      <c r="C41" s="3171" t="s">
        <v>5473</v>
      </c>
      <c r="D41" s="3153" t="s">
        <v>5434</v>
      </c>
      <c r="E41" s="3171">
        <v>143.61000000000001</v>
      </c>
      <c r="F41" s="3171"/>
      <c r="G41" s="3171"/>
    </row>
    <row r="42" spans="1:7">
      <c r="A42" s="3171">
        <v>40</v>
      </c>
      <c r="B42" s="3171">
        <v>59</v>
      </c>
      <c r="C42" s="3171" t="s">
        <v>5474</v>
      </c>
      <c r="D42" s="3153" t="s">
        <v>5434</v>
      </c>
      <c r="E42" s="3171">
        <v>143.61000000000001</v>
      </c>
      <c r="F42" s="3171"/>
      <c r="G42" s="3171"/>
    </row>
    <row r="43" spans="1:7">
      <c r="A43" s="3171">
        <v>41</v>
      </c>
      <c r="B43" s="3171">
        <v>59</v>
      </c>
      <c r="C43" s="3171" t="s">
        <v>5475</v>
      </c>
      <c r="D43" s="3153" t="s">
        <v>5434</v>
      </c>
      <c r="E43" s="3171">
        <v>143.61000000000001</v>
      </c>
      <c r="F43" s="3171"/>
      <c r="G43" s="3171"/>
    </row>
    <row r="44" spans="1:7">
      <c r="A44" s="3171">
        <v>42</v>
      </c>
      <c r="B44" s="3171">
        <v>59</v>
      </c>
      <c r="C44" s="3171" t="s">
        <v>5476</v>
      </c>
      <c r="D44" s="3153" t="s">
        <v>5434</v>
      </c>
      <c r="E44" s="3171">
        <v>143.61000000000001</v>
      </c>
      <c r="F44" s="3171"/>
      <c r="G44" s="3171"/>
    </row>
    <row r="45" spans="1:7">
      <c r="A45" s="3171">
        <v>43</v>
      </c>
      <c r="B45" s="3171">
        <v>59</v>
      </c>
      <c r="C45" s="3171" t="s">
        <v>5477</v>
      </c>
      <c r="D45" s="3153" t="s">
        <v>5434</v>
      </c>
      <c r="E45" s="3171">
        <v>138.12</v>
      </c>
      <c r="F45" s="3171"/>
      <c r="G45" s="3171"/>
    </row>
    <row r="46" spans="1:7">
      <c r="A46" s="3171">
        <v>44</v>
      </c>
      <c r="B46" s="3171">
        <v>59</v>
      </c>
      <c r="C46" s="3171" t="s">
        <v>5478</v>
      </c>
      <c r="D46" s="3153" t="s">
        <v>5434</v>
      </c>
      <c r="E46" s="3171">
        <v>161.06</v>
      </c>
      <c r="F46" s="3171"/>
      <c r="G46" s="3171"/>
    </row>
    <row r="47" spans="1:7">
      <c r="A47" s="3171">
        <v>45</v>
      </c>
      <c r="B47" s="3171">
        <v>59</v>
      </c>
      <c r="C47" s="3171" t="s">
        <v>5479</v>
      </c>
      <c r="D47" s="3153" t="s">
        <v>5434</v>
      </c>
      <c r="E47" s="3171">
        <v>143.61000000000001</v>
      </c>
      <c r="F47" s="3171"/>
      <c r="G47" s="3171"/>
    </row>
    <row r="48" spans="1:7">
      <c r="A48" s="3171">
        <v>46</v>
      </c>
      <c r="B48" s="3171">
        <v>59</v>
      </c>
      <c r="C48" s="3171" t="s">
        <v>5480</v>
      </c>
      <c r="D48" s="3153" t="s">
        <v>5434</v>
      </c>
      <c r="E48" s="3171">
        <v>166.56</v>
      </c>
      <c r="F48" s="3171"/>
      <c r="G48" s="3171"/>
    </row>
    <row r="49" spans="1:7">
      <c r="A49" s="3171">
        <v>47</v>
      </c>
      <c r="B49" s="3171">
        <v>59</v>
      </c>
      <c r="C49" s="3171" t="s">
        <v>5481</v>
      </c>
      <c r="D49" s="3153" t="s">
        <v>5434</v>
      </c>
      <c r="E49" s="3171">
        <v>143.61000000000001</v>
      </c>
      <c r="F49" s="3171"/>
      <c r="G49" s="3171"/>
    </row>
    <row r="50" spans="1:7">
      <c r="A50" s="3171">
        <v>48</v>
      </c>
      <c r="B50" s="3171">
        <v>59</v>
      </c>
      <c r="C50" s="3171" t="s">
        <v>5482</v>
      </c>
      <c r="D50" s="3153" t="s">
        <v>5434</v>
      </c>
      <c r="E50" s="3171">
        <v>166.56</v>
      </c>
      <c r="F50" s="3171"/>
      <c r="G50" s="3171"/>
    </row>
    <row r="51" spans="1:7">
      <c r="A51" s="3171">
        <v>49</v>
      </c>
      <c r="B51" s="3171">
        <v>59</v>
      </c>
      <c r="C51" s="3171" t="s">
        <v>5483</v>
      </c>
      <c r="D51" s="3153" t="s">
        <v>5434</v>
      </c>
      <c r="E51" s="3171">
        <v>143.61000000000001</v>
      </c>
      <c r="F51" s="3171"/>
      <c r="G51" s="3171"/>
    </row>
    <row r="52" spans="1:7">
      <c r="A52" s="3171">
        <v>50</v>
      </c>
      <c r="B52" s="3171">
        <v>59</v>
      </c>
      <c r="C52" s="3171" t="s">
        <v>5484</v>
      </c>
      <c r="D52" s="3153" t="s">
        <v>5434</v>
      </c>
      <c r="E52" s="3171">
        <v>166.56</v>
      </c>
      <c r="F52" s="3171"/>
      <c r="G52" s="3171"/>
    </row>
    <row r="53" spans="1:7">
      <c r="A53" s="3171">
        <v>51</v>
      </c>
      <c r="B53" s="3171">
        <v>59</v>
      </c>
      <c r="C53" s="3171" t="s">
        <v>5485</v>
      </c>
      <c r="D53" s="3153" t="s">
        <v>5434</v>
      </c>
      <c r="E53" s="3171">
        <v>143.61000000000001</v>
      </c>
      <c r="F53" s="3171"/>
      <c r="G53" s="3171"/>
    </row>
    <row r="54" spans="1:7">
      <c r="A54" s="3171">
        <v>52</v>
      </c>
      <c r="B54" s="3171">
        <v>59</v>
      </c>
      <c r="C54" s="3171" t="s">
        <v>5486</v>
      </c>
      <c r="D54" s="3153" t="s">
        <v>5434</v>
      </c>
      <c r="E54" s="3171">
        <v>166.56</v>
      </c>
      <c r="F54" s="3171"/>
      <c r="G54" s="3171"/>
    </row>
    <row r="55" spans="1:7">
      <c r="A55" s="3171">
        <v>53</v>
      </c>
      <c r="B55" s="3171">
        <v>59</v>
      </c>
      <c r="C55" s="3171" t="s">
        <v>5487</v>
      </c>
      <c r="D55" s="3153" t="s">
        <v>5434</v>
      </c>
      <c r="E55" s="3171">
        <v>143.61000000000001</v>
      </c>
      <c r="F55" s="3171"/>
      <c r="G55" s="3171"/>
    </row>
    <row r="56" spans="1:7">
      <c r="A56" s="3171">
        <v>54</v>
      </c>
      <c r="B56" s="3171">
        <v>59</v>
      </c>
      <c r="C56" s="3171" t="s">
        <v>5488</v>
      </c>
      <c r="D56" s="3153" t="s">
        <v>5434</v>
      </c>
      <c r="E56" s="3171">
        <v>166.56</v>
      </c>
      <c r="F56" s="3171"/>
      <c r="G56" s="3171"/>
    </row>
    <row r="57" spans="1:7">
      <c r="A57" s="3171">
        <v>55</v>
      </c>
      <c r="B57" s="3171">
        <v>59</v>
      </c>
      <c r="C57" s="3171" t="s">
        <v>5489</v>
      </c>
      <c r="D57" s="3153" t="s">
        <v>5434</v>
      </c>
      <c r="E57" s="3171">
        <v>143.61000000000001</v>
      </c>
      <c r="F57" s="3171"/>
      <c r="G57" s="3171"/>
    </row>
    <row r="58" spans="1:7">
      <c r="A58" s="3171">
        <v>56</v>
      </c>
      <c r="B58" s="3171">
        <v>59</v>
      </c>
      <c r="C58" s="3171" t="s">
        <v>5490</v>
      </c>
      <c r="D58" s="3153" t="s">
        <v>5434</v>
      </c>
      <c r="E58" s="3171">
        <v>169.49</v>
      </c>
      <c r="F58" s="3171"/>
      <c r="G58" s="3171"/>
    </row>
    <row r="59" spans="1:7">
      <c r="A59" s="3171">
        <v>57</v>
      </c>
      <c r="B59" s="3171">
        <v>59</v>
      </c>
      <c r="C59" s="3171">
        <v>-201</v>
      </c>
      <c r="D59" s="3153" t="s">
        <v>5497</v>
      </c>
      <c r="E59" s="3171">
        <v>14.08</v>
      </c>
      <c r="F59" s="3171"/>
      <c r="G59" s="3171"/>
    </row>
    <row r="60" spans="1:7">
      <c r="A60" s="3171">
        <v>58</v>
      </c>
      <c r="B60" s="3171">
        <v>59</v>
      </c>
      <c r="C60" s="3171">
        <v>-202</v>
      </c>
      <c r="D60" s="3153" t="s">
        <v>5497</v>
      </c>
      <c r="E60" s="3171">
        <v>10.76</v>
      </c>
      <c r="F60" s="3171"/>
      <c r="G60" s="3171"/>
    </row>
    <row r="61" spans="1:7">
      <c r="A61" s="3171">
        <v>59</v>
      </c>
      <c r="B61" s="3171">
        <v>59</v>
      </c>
      <c r="C61" s="3171">
        <v>-203</v>
      </c>
      <c r="D61" s="3153" t="s">
        <v>5497</v>
      </c>
      <c r="E61" s="3171">
        <v>10.76</v>
      </c>
      <c r="F61" s="3171"/>
      <c r="G61" s="3171"/>
    </row>
    <row r="62" spans="1:7">
      <c r="A62" s="3171">
        <v>60</v>
      </c>
      <c r="B62" s="3171">
        <v>59</v>
      </c>
      <c r="C62" s="3171">
        <v>-204</v>
      </c>
      <c r="D62" s="3153" t="s">
        <v>5497</v>
      </c>
      <c r="E62" s="3171">
        <v>17.39</v>
      </c>
      <c r="F62" s="3171"/>
      <c r="G62" s="3171"/>
    </row>
    <row r="63" spans="1:7">
      <c r="A63" s="3171">
        <v>61</v>
      </c>
      <c r="B63" s="3171">
        <v>59</v>
      </c>
      <c r="C63" s="3171">
        <v>-205</v>
      </c>
      <c r="D63" s="3153" t="s">
        <v>5497</v>
      </c>
      <c r="E63" s="3171">
        <v>17.25</v>
      </c>
      <c r="F63" s="3171"/>
      <c r="G63" s="3171"/>
    </row>
    <row r="64" spans="1:7">
      <c r="A64" s="3171">
        <v>62</v>
      </c>
      <c r="B64" s="3171">
        <v>59</v>
      </c>
      <c r="C64" s="3171">
        <v>-206</v>
      </c>
      <c r="D64" s="3153" t="s">
        <v>5497</v>
      </c>
      <c r="E64" s="3171">
        <v>16.579999999999998</v>
      </c>
      <c r="F64" s="3171"/>
      <c r="G64" s="3171"/>
    </row>
    <row r="65" spans="1:7">
      <c r="A65" s="3171">
        <v>63</v>
      </c>
      <c r="B65" s="3171">
        <v>59</v>
      </c>
      <c r="C65" s="3171">
        <v>-207</v>
      </c>
      <c r="D65" s="3153" t="s">
        <v>5497</v>
      </c>
      <c r="E65" s="3171">
        <v>18.14</v>
      </c>
      <c r="F65" s="3171"/>
      <c r="G65" s="3171"/>
    </row>
    <row r="66" spans="1:7">
      <c r="A66" s="3171">
        <v>64</v>
      </c>
      <c r="B66" s="3171">
        <v>59</v>
      </c>
      <c r="C66" s="3171">
        <v>-208</v>
      </c>
      <c r="D66" s="3153" t="s">
        <v>5497</v>
      </c>
      <c r="E66" s="3171">
        <v>23.5</v>
      </c>
      <c r="F66" s="3171"/>
      <c r="G66" s="3171"/>
    </row>
    <row r="67" spans="1:7">
      <c r="A67" s="3171">
        <v>65</v>
      </c>
      <c r="B67" s="3171">
        <v>59</v>
      </c>
      <c r="C67" s="3171">
        <v>-209</v>
      </c>
      <c r="D67" s="3153" t="s">
        <v>5497</v>
      </c>
      <c r="E67" s="3171">
        <v>24.75</v>
      </c>
      <c r="F67" s="3171"/>
      <c r="G67" s="3171"/>
    </row>
    <row r="68" spans="1:7">
      <c r="A68" s="3171">
        <v>66</v>
      </c>
      <c r="B68" s="3171">
        <v>59</v>
      </c>
      <c r="C68" s="3171">
        <v>-210</v>
      </c>
      <c r="D68" s="3153" t="s">
        <v>5497</v>
      </c>
      <c r="E68" s="3153">
        <v>22.45</v>
      </c>
      <c r="F68" s="3171"/>
      <c r="G68" s="3171"/>
    </row>
    <row r="69" spans="1:7">
      <c r="A69" s="3171">
        <v>67</v>
      </c>
      <c r="B69" s="3171">
        <v>59</v>
      </c>
      <c r="C69" s="3171">
        <v>-211</v>
      </c>
      <c r="D69" s="3153" t="s">
        <v>5497</v>
      </c>
      <c r="E69" s="3153">
        <v>22.45</v>
      </c>
      <c r="F69" s="3171"/>
      <c r="G69" s="3171"/>
    </row>
    <row r="70" spans="1:7">
      <c r="A70" s="3171">
        <v>68</v>
      </c>
      <c r="B70" s="3171">
        <v>59</v>
      </c>
      <c r="C70" s="3171">
        <v>-212</v>
      </c>
      <c r="D70" s="3153" t="s">
        <v>5497</v>
      </c>
      <c r="E70" s="3153">
        <v>24.61</v>
      </c>
      <c r="F70" s="3171"/>
      <c r="G70" s="3171"/>
    </row>
    <row r="71" spans="1:7">
      <c r="A71" s="3171">
        <v>69</v>
      </c>
      <c r="B71" s="3171">
        <v>60</v>
      </c>
      <c r="C71" s="3171" t="s">
        <v>5435</v>
      </c>
      <c r="D71" s="3153" t="s">
        <v>5434</v>
      </c>
      <c r="E71" s="3153">
        <v>161.74</v>
      </c>
      <c r="F71" s="3171"/>
      <c r="G71" s="3171"/>
    </row>
    <row r="72" spans="1:7">
      <c r="A72" s="3171">
        <v>70</v>
      </c>
      <c r="B72" s="3171">
        <v>60</v>
      </c>
      <c r="C72" s="3171" t="s">
        <v>5436</v>
      </c>
      <c r="D72" s="3153" t="s">
        <v>5434</v>
      </c>
      <c r="E72" s="3172">
        <v>138.69999999999999</v>
      </c>
      <c r="F72" s="3171"/>
      <c r="G72" s="3171"/>
    </row>
    <row r="73" spans="1:7">
      <c r="A73" s="3171">
        <v>71</v>
      </c>
      <c r="B73" s="3171">
        <v>60</v>
      </c>
      <c r="C73" s="3171" t="s">
        <v>5437</v>
      </c>
      <c r="D73" s="3153" t="s">
        <v>5434</v>
      </c>
      <c r="E73" s="3153">
        <v>167.27</v>
      </c>
      <c r="F73" s="3171"/>
      <c r="G73" s="3171"/>
    </row>
    <row r="74" spans="1:7">
      <c r="A74" s="3171">
        <v>72</v>
      </c>
      <c r="B74" s="3171">
        <v>60</v>
      </c>
      <c r="C74" s="3171" t="s">
        <v>5438</v>
      </c>
      <c r="D74" s="3153" t="s">
        <v>5434</v>
      </c>
      <c r="E74" s="3153">
        <v>144.22</v>
      </c>
      <c r="F74" s="3171"/>
      <c r="G74" s="3171"/>
    </row>
    <row r="75" spans="1:7">
      <c r="A75" s="3171">
        <v>73</v>
      </c>
      <c r="B75" s="3171">
        <v>60</v>
      </c>
      <c r="C75" s="3171" t="s">
        <v>5439</v>
      </c>
      <c r="D75" s="3153" t="s">
        <v>5434</v>
      </c>
      <c r="E75" s="3153">
        <v>167.27</v>
      </c>
      <c r="F75" s="3171"/>
      <c r="G75" s="3171"/>
    </row>
    <row r="76" spans="1:7">
      <c r="A76" s="3171">
        <v>74</v>
      </c>
      <c r="B76" s="3171">
        <v>60</v>
      </c>
      <c r="C76" s="3171" t="s">
        <v>5440</v>
      </c>
      <c r="D76" s="3153" t="s">
        <v>5434</v>
      </c>
      <c r="E76" s="3153">
        <v>144.22</v>
      </c>
      <c r="F76" s="3171"/>
      <c r="G76" s="3171"/>
    </row>
    <row r="77" spans="1:7">
      <c r="A77" s="3171">
        <v>75</v>
      </c>
      <c r="B77" s="3171">
        <v>60</v>
      </c>
      <c r="C77" s="3171" t="s">
        <v>5441</v>
      </c>
      <c r="D77" s="3153" t="s">
        <v>5434</v>
      </c>
      <c r="E77" s="3153">
        <v>167.27</v>
      </c>
      <c r="F77" s="3171"/>
      <c r="G77" s="3171"/>
    </row>
    <row r="78" spans="1:7">
      <c r="A78" s="3171">
        <v>76</v>
      </c>
      <c r="B78" s="3171">
        <v>60</v>
      </c>
      <c r="C78" s="3171" t="s">
        <v>5442</v>
      </c>
      <c r="D78" s="3153" t="s">
        <v>5434</v>
      </c>
      <c r="E78" s="3153">
        <v>144.22</v>
      </c>
      <c r="F78" s="3171"/>
      <c r="G78" s="3171"/>
    </row>
    <row r="79" spans="1:7">
      <c r="A79" s="3171">
        <v>77</v>
      </c>
      <c r="B79" s="3171">
        <v>60</v>
      </c>
      <c r="C79" s="3171" t="s">
        <v>5443</v>
      </c>
      <c r="D79" s="3153" t="s">
        <v>5434</v>
      </c>
      <c r="E79" s="3153">
        <v>167.27</v>
      </c>
      <c r="F79" s="3171"/>
      <c r="G79" s="3171"/>
    </row>
    <row r="80" spans="1:7">
      <c r="A80" s="3171">
        <v>78</v>
      </c>
      <c r="B80" s="3171">
        <v>60</v>
      </c>
      <c r="C80" s="3171" t="s">
        <v>5444</v>
      </c>
      <c r="D80" s="3153" t="s">
        <v>5434</v>
      </c>
      <c r="E80" s="3153">
        <v>144.22</v>
      </c>
      <c r="F80" s="3171"/>
      <c r="G80" s="3171"/>
    </row>
    <row r="81" spans="1:7">
      <c r="A81" s="3171">
        <v>79</v>
      </c>
      <c r="B81" s="3171">
        <v>60</v>
      </c>
      <c r="C81" s="3171" t="s">
        <v>5445</v>
      </c>
      <c r="D81" s="3153" t="s">
        <v>5434</v>
      </c>
      <c r="E81" s="3153">
        <v>167.27</v>
      </c>
      <c r="F81" s="3171"/>
      <c r="G81" s="3171"/>
    </row>
    <row r="82" spans="1:7">
      <c r="A82" s="3171">
        <v>80</v>
      </c>
      <c r="B82" s="3171">
        <v>60</v>
      </c>
      <c r="C82" s="3171" t="s">
        <v>5446</v>
      </c>
      <c r="D82" s="3153" t="s">
        <v>5434</v>
      </c>
      <c r="E82" s="3153">
        <v>144.22</v>
      </c>
      <c r="F82" s="3171"/>
      <c r="G82" s="3171"/>
    </row>
    <row r="83" spans="1:7">
      <c r="A83" s="3171">
        <v>81</v>
      </c>
      <c r="B83" s="3171">
        <v>60</v>
      </c>
      <c r="C83" s="3171" t="s">
        <v>5447</v>
      </c>
      <c r="D83" s="3153" t="s">
        <v>5434</v>
      </c>
      <c r="E83" s="3153">
        <v>170.21</v>
      </c>
      <c r="F83" s="3171"/>
      <c r="G83" s="3171"/>
    </row>
    <row r="84" spans="1:7">
      <c r="A84" s="3171">
        <v>82</v>
      </c>
      <c r="B84" s="3171">
        <v>60</v>
      </c>
      <c r="C84" s="3171" t="s">
        <v>5448</v>
      </c>
      <c r="D84" s="3153" t="s">
        <v>5434</v>
      </c>
      <c r="E84" s="3153">
        <v>144.22</v>
      </c>
      <c r="F84" s="3171"/>
      <c r="G84" s="3171"/>
    </row>
    <row r="85" spans="1:7">
      <c r="A85" s="3171">
        <v>83</v>
      </c>
      <c r="B85" s="3171">
        <v>60</v>
      </c>
      <c r="C85" s="3171" t="s">
        <v>5449</v>
      </c>
      <c r="D85" s="3153" t="s">
        <v>5434</v>
      </c>
      <c r="E85" s="3172">
        <v>138.69999999999999</v>
      </c>
      <c r="F85" s="3171"/>
      <c r="G85" s="3171"/>
    </row>
    <row r="86" spans="1:7">
      <c r="A86" s="3171">
        <v>84</v>
      </c>
      <c r="B86" s="3171">
        <v>60</v>
      </c>
      <c r="C86" s="3171" t="s">
        <v>5450</v>
      </c>
      <c r="D86" s="3153" t="s">
        <v>5434</v>
      </c>
      <c r="E86" s="3172">
        <v>138.69999999999999</v>
      </c>
      <c r="F86" s="3171"/>
      <c r="G86" s="3171"/>
    </row>
    <row r="87" spans="1:7">
      <c r="A87" s="3171">
        <v>85</v>
      </c>
      <c r="B87" s="3171">
        <v>60</v>
      </c>
      <c r="C87" s="3171" t="s">
        <v>5451</v>
      </c>
      <c r="D87" s="3153" t="s">
        <v>5434</v>
      </c>
      <c r="E87" s="3153">
        <v>144.22</v>
      </c>
      <c r="F87" s="3171"/>
      <c r="G87" s="3171"/>
    </row>
    <row r="88" spans="1:7">
      <c r="A88" s="3171">
        <v>86</v>
      </c>
      <c r="B88" s="3171">
        <v>60</v>
      </c>
      <c r="C88" s="3171" t="s">
        <v>5452</v>
      </c>
      <c r="D88" s="3153" t="s">
        <v>5434</v>
      </c>
      <c r="E88" s="3153">
        <v>144.22</v>
      </c>
      <c r="F88" s="3171"/>
      <c r="G88" s="3171"/>
    </row>
    <row r="89" spans="1:7">
      <c r="A89" s="3171">
        <v>87</v>
      </c>
      <c r="B89" s="3171">
        <v>60</v>
      </c>
      <c r="C89" s="3171" t="s">
        <v>5453</v>
      </c>
      <c r="D89" s="3153" t="s">
        <v>5434</v>
      </c>
      <c r="E89" s="3153">
        <v>144.22</v>
      </c>
      <c r="F89" s="3171"/>
      <c r="G89" s="3171"/>
    </row>
    <row r="90" spans="1:7">
      <c r="A90" s="3171">
        <v>88</v>
      </c>
      <c r="B90" s="3171">
        <v>60</v>
      </c>
      <c r="C90" s="3171" t="s">
        <v>5454</v>
      </c>
      <c r="D90" s="3153" t="s">
        <v>5434</v>
      </c>
      <c r="E90" s="3153">
        <v>144.22</v>
      </c>
      <c r="F90" s="3171"/>
      <c r="G90" s="3171"/>
    </row>
    <row r="91" spans="1:7">
      <c r="A91" s="3171">
        <v>89</v>
      </c>
      <c r="B91" s="3171">
        <v>60</v>
      </c>
      <c r="C91" s="3171" t="s">
        <v>5455</v>
      </c>
      <c r="D91" s="3153" t="s">
        <v>5434</v>
      </c>
      <c r="E91" s="3153">
        <v>144.22</v>
      </c>
      <c r="F91" s="3171"/>
      <c r="G91" s="3171"/>
    </row>
    <row r="92" spans="1:7">
      <c r="A92" s="3171">
        <v>90</v>
      </c>
      <c r="B92" s="3171">
        <v>60</v>
      </c>
      <c r="C92" s="3171" t="s">
        <v>5456</v>
      </c>
      <c r="D92" s="3153" t="s">
        <v>5434</v>
      </c>
      <c r="E92" s="3153">
        <v>144.22</v>
      </c>
      <c r="F92" s="3171"/>
      <c r="G92" s="3171"/>
    </row>
    <row r="93" spans="1:7">
      <c r="A93" s="3171">
        <v>91</v>
      </c>
      <c r="B93" s="3171">
        <v>60</v>
      </c>
      <c r="C93" s="3171" t="s">
        <v>5457</v>
      </c>
      <c r="D93" s="3153" t="s">
        <v>5434</v>
      </c>
      <c r="E93" s="3153">
        <v>144.22</v>
      </c>
      <c r="F93" s="3171"/>
      <c r="G93" s="3171"/>
    </row>
    <row r="94" spans="1:7">
      <c r="A94" s="3171">
        <v>92</v>
      </c>
      <c r="B94" s="3171">
        <v>60</v>
      </c>
      <c r="C94" s="3171" t="s">
        <v>5458</v>
      </c>
      <c r="D94" s="3153" t="s">
        <v>5434</v>
      </c>
      <c r="E94" s="3153">
        <v>144.22</v>
      </c>
      <c r="F94" s="3171"/>
      <c r="G94" s="3171"/>
    </row>
    <row r="95" spans="1:7">
      <c r="A95" s="3171">
        <v>93</v>
      </c>
      <c r="B95" s="3171">
        <v>60</v>
      </c>
      <c r="C95" s="3171" t="s">
        <v>5459</v>
      </c>
      <c r="D95" s="3153" t="s">
        <v>5434</v>
      </c>
      <c r="E95" s="3153">
        <v>144.22</v>
      </c>
      <c r="F95" s="3171"/>
      <c r="G95" s="3171"/>
    </row>
    <row r="96" spans="1:7">
      <c r="A96" s="3171">
        <v>94</v>
      </c>
      <c r="B96" s="3171">
        <v>60</v>
      </c>
      <c r="C96" s="3171" t="s">
        <v>5460</v>
      </c>
      <c r="D96" s="3153" t="s">
        <v>5434</v>
      </c>
      <c r="E96" s="3153">
        <v>144.22</v>
      </c>
      <c r="F96" s="3171"/>
      <c r="G96" s="3171"/>
    </row>
    <row r="97" spans="1:7">
      <c r="A97" s="3171">
        <v>95</v>
      </c>
      <c r="B97" s="3171">
        <v>60</v>
      </c>
      <c r="C97" s="3171" t="s">
        <v>5461</v>
      </c>
      <c r="D97" s="3153" t="s">
        <v>5434</v>
      </c>
      <c r="E97" s="3153">
        <v>144.22</v>
      </c>
      <c r="F97" s="3171"/>
      <c r="G97" s="3171"/>
    </row>
    <row r="98" spans="1:7">
      <c r="A98" s="3171">
        <v>96</v>
      </c>
      <c r="B98" s="3171">
        <v>60</v>
      </c>
      <c r="C98" s="3171" t="s">
        <v>5462</v>
      </c>
      <c r="D98" s="3153" t="s">
        <v>5434</v>
      </c>
      <c r="E98" s="3153">
        <v>144.22</v>
      </c>
      <c r="F98" s="3171"/>
      <c r="G98" s="3171"/>
    </row>
    <row r="99" spans="1:7">
      <c r="A99" s="3171">
        <v>97</v>
      </c>
      <c r="B99" s="3171">
        <v>60</v>
      </c>
      <c r="C99" s="3171" t="s">
        <v>5463</v>
      </c>
      <c r="D99" s="3153" t="s">
        <v>5434</v>
      </c>
      <c r="E99" s="3172">
        <v>138.69999999999999</v>
      </c>
      <c r="F99" s="3171"/>
      <c r="G99" s="3171"/>
    </row>
    <row r="100" spans="1:7">
      <c r="A100" s="3171">
        <v>98</v>
      </c>
      <c r="B100" s="3171">
        <v>60</v>
      </c>
      <c r="C100" s="3171" t="s">
        <v>5464</v>
      </c>
      <c r="D100" s="3153" t="s">
        <v>5434</v>
      </c>
      <c r="E100" s="3172">
        <v>138.69999999999999</v>
      </c>
      <c r="F100" s="3171"/>
      <c r="G100" s="3171"/>
    </row>
    <row r="101" spans="1:7">
      <c r="A101" s="3171">
        <v>99</v>
      </c>
      <c r="B101" s="3171">
        <v>60</v>
      </c>
      <c r="C101" s="3171" t="s">
        <v>5465</v>
      </c>
      <c r="D101" s="3153" t="s">
        <v>5434</v>
      </c>
      <c r="E101" s="3153">
        <v>144.22</v>
      </c>
      <c r="F101" s="3171"/>
      <c r="G101" s="3171"/>
    </row>
    <row r="102" spans="1:7">
      <c r="A102" s="3171">
        <v>100</v>
      </c>
      <c r="B102" s="3171">
        <v>60</v>
      </c>
      <c r="C102" s="3171" t="s">
        <v>5466</v>
      </c>
      <c r="D102" s="3153" t="s">
        <v>5434</v>
      </c>
      <c r="E102" s="3153">
        <v>144.22</v>
      </c>
      <c r="F102" s="3171"/>
      <c r="G102" s="3171"/>
    </row>
    <row r="103" spans="1:7">
      <c r="A103" s="3171">
        <v>101</v>
      </c>
      <c r="B103" s="3171">
        <v>60</v>
      </c>
      <c r="C103" s="3171" t="s">
        <v>5467</v>
      </c>
      <c r="D103" s="3153" t="s">
        <v>5434</v>
      </c>
      <c r="E103" s="3153">
        <v>144.22</v>
      </c>
      <c r="F103" s="3171"/>
      <c r="G103" s="3171"/>
    </row>
    <row r="104" spans="1:7">
      <c r="A104" s="3171">
        <v>102</v>
      </c>
      <c r="B104" s="3171">
        <v>60</v>
      </c>
      <c r="C104" s="3171" t="s">
        <v>5468</v>
      </c>
      <c r="D104" s="3153" t="s">
        <v>5434</v>
      </c>
      <c r="E104" s="3153">
        <v>144.22</v>
      </c>
      <c r="F104" s="3171"/>
      <c r="G104" s="3171"/>
    </row>
    <row r="105" spans="1:7">
      <c r="A105" s="3171">
        <v>103</v>
      </c>
      <c r="B105" s="3171">
        <v>60</v>
      </c>
      <c r="C105" s="3171" t="s">
        <v>5469</v>
      </c>
      <c r="D105" s="3153" t="s">
        <v>5434</v>
      </c>
      <c r="E105" s="3153">
        <v>144.22</v>
      </c>
      <c r="F105" s="3171"/>
      <c r="G105" s="3171"/>
    </row>
    <row r="106" spans="1:7">
      <c r="A106" s="3171">
        <v>104</v>
      </c>
      <c r="B106" s="3171">
        <v>60</v>
      </c>
      <c r="C106" s="3171" t="s">
        <v>5470</v>
      </c>
      <c r="D106" s="3153" t="s">
        <v>5434</v>
      </c>
      <c r="E106" s="3153">
        <v>144.22</v>
      </c>
      <c r="F106" s="3171"/>
      <c r="G106" s="3171"/>
    </row>
    <row r="107" spans="1:7">
      <c r="A107" s="3171">
        <v>105</v>
      </c>
      <c r="B107" s="3171">
        <v>60</v>
      </c>
      <c r="C107" s="3171" t="s">
        <v>5471</v>
      </c>
      <c r="D107" s="3153" t="s">
        <v>5434</v>
      </c>
      <c r="E107" s="3153">
        <v>144.22</v>
      </c>
      <c r="F107" s="3171"/>
      <c r="G107" s="3171"/>
    </row>
    <row r="108" spans="1:7">
      <c r="A108" s="3171">
        <v>106</v>
      </c>
      <c r="B108" s="3171">
        <v>60</v>
      </c>
      <c r="C108" s="3171" t="s">
        <v>5472</v>
      </c>
      <c r="D108" s="3153" t="s">
        <v>5434</v>
      </c>
      <c r="E108" s="3153">
        <v>144.22</v>
      </c>
      <c r="F108" s="3171"/>
      <c r="G108" s="3171"/>
    </row>
    <row r="109" spans="1:7">
      <c r="A109" s="3171">
        <v>107</v>
      </c>
      <c r="B109" s="3171">
        <v>60</v>
      </c>
      <c r="C109" s="3171" t="s">
        <v>5473</v>
      </c>
      <c r="D109" s="3153" t="s">
        <v>5434</v>
      </c>
      <c r="E109" s="3153">
        <v>144.22</v>
      </c>
      <c r="F109" s="3171"/>
      <c r="G109" s="3171"/>
    </row>
    <row r="110" spans="1:7">
      <c r="A110" s="3171">
        <v>108</v>
      </c>
      <c r="B110" s="3171">
        <v>60</v>
      </c>
      <c r="C110" s="3171" t="s">
        <v>5474</v>
      </c>
      <c r="D110" s="3153" t="s">
        <v>5434</v>
      </c>
      <c r="E110" s="3153">
        <v>144.22</v>
      </c>
      <c r="F110" s="3171"/>
      <c r="G110" s="3171"/>
    </row>
    <row r="111" spans="1:7">
      <c r="A111" s="3171">
        <v>109</v>
      </c>
      <c r="B111" s="3171">
        <v>60</v>
      </c>
      <c r="C111" s="3171" t="s">
        <v>5475</v>
      </c>
      <c r="D111" s="3153" t="s">
        <v>5434</v>
      </c>
      <c r="E111" s="3153">
        <v>144.22</v>
      </c>
      <c r="F111" s="3171"/>
      <c r="G111" s="3171"/>
    </row>
    <row r="112" spans="1:7">
      <c r="A112" s="3171">
        <v>110</v>
      </c>
      <c r="B112" s="3171">
        <v>60</v>
      </c>
      <c r="C112" s="3171" t="s">
        <v>5476</v>
      </c>
      <c r="D112" s="3153" t="s">
        <v>5434</v>
      </c>
      <c r="E112" s="3153">
        <v>144.22</v>
      </c>
      <c r="F112" s="3171"/>
      <c r="G112" s="3171"/>
    </row>
    <row r="113" spans="1:7">
      <c r="A113" s="3171">
        <v>111</v>
      </c>
      <c r="B113" s="3171">
        <v>60</v>
      </c>
      <c r="C113" s="3171" t="s">
        <v>5477</v>
      </c>
      <c r="D113" s="3153" t="s">
        <v>5434</v>
      </c>
      <c r="E113" s="3172">
        <v>138.69999999999999</v>
      </c>
      <c r="F113" s="3171"/>
      <c r="G113" s="3171"/>
    </row>
    <row r="114" spans="1:7">
      <c r="A114" s="3171">
        <v>112</v>
      </c>
      <c r="B114" s="3171">
        <v>60</v>
      </c>
      <c r="C114" s="3171" t="s">
        <v>5478</v>
      </c>
      <c r="D114" s="3153" t="s">
        <v>5434</v>
      </c>
      <c r="E114" s="3153">
        <v>161.74</v>
      </c>
      <c r="F114" s="3171"/>
      <c r="G114" s="3171"/>
    </row>
    <row r="115" spans="1:7">
      <c r="A115" s="3171">
        <v>113</v>
      </c>
      <c r="B115" s="3171">
        <v>60</v>
      </c>
      <c r="C115" s="3171" t="s">
        <v>5479</v>
      </c>
      <c r="D115" s="3153" t="s">
        <v>5434</v>
      </c>
      <c r="E115" s="3153">
        <v>144.22</v>
      </c>
      <c r="F115" s="3171"/>
      <c r="G115" s="3171"/>
    </row>
    <row r="116" spans="1:7">
      <c r="A116" s="3171">
        <v>114</v>
      </c>
      <c r="B116" s="3171">
        <v>60</v>
      </c>
      <c r="C116" s="3171" t="s">
        <v>5480</v>
      </c>
      <c r="D116" s="3153" t="s">
        <v>5434</v>
      </c>
      <c r="E116" s="3153">
        <v>167.27</v>
      </c>
      <c r="F116" s="3171"/>
      <c r="G116" s="3171"/>
    </row>
    <row r="117" spans="1:7">
      <c r="A117" s="3171">
        <v>115</v>
      </c>
      <c r="B117" s="3171">
        <v>60</v>
      </c>
      <c r="C117" s="3171" t="s">
        <v>5481</v>
      </c>
      <c r="D117" s="3153" t="s">
        <v>5434</v>
      </c>
      <c r="E117" s="3153">
        <v>144.22</v>
      </c>
      <c r="F117" s="3171"/>
      <c r="G117" s="3171"/>
    </row>
    <row r="118" spans="1:7">
      <c r="A118" s="3171">
        <v>116</v>
      </c>
      <c r="B118" s="3171">
        <v>60</v>
      </c>
      <c r="C118" s="3171" t="s">
        <v>5482</v>
      </c>
      <c r="D118" s="3153" t="s">
        <v>5434</v>
      </c>
      <c r="E118" s="3153">
        <v>167.27</v>
      </c>
      <c r="F118" s="3171"/>
      <c r="G118" s="3171"/>
    </row>
    <row r="119" spans="1:7">
      <c r="A119" s="3171">
        <v>117</v>
      </c>
      <c r="B119" s="3171">
        <v>60</v>
      </c>
      <c r="C119" s="3171" t="s">
        <v>5483</v>
      </c>
      <c r="D119" s="3153" t="s">
        <v>5434</v>
      </c>
      <c r="E119" s="3153">
        <v>144.22</v>
      </c>
      <c r="F119" s="3171"/>
      <c r="G119" s="3171"/>
    </row>
    <row r="120" spans="1:7">
      <c r="A120" s="3171">
        <v>118</v>
      </c>
      <c r="B120" s="3171">
        <v>60</v>
      </c>
      <c r="C120" s="3171" t="s">
        <v>5484</v>
      </c>
      <c r="D120" s="3153" t="s">
        <v>5434</v>
      </c>
      <c r="E120" s="3153">
        <v>167.27</v>
      </c>
      <c r="F120" s="3171"/>
      <c r="G120" s="3171"/>
    </row>
    <row r="121" spans="1:7">
      <c r="A121" s="3171">
        <v>119</v>
      </c>
      <c r="B121" s="3171">
        <v>60</v>
      </c>
      <c r="C121" s="3171" t="s">
        <v>5485</v>
      </c>
      <c r="D121" s="3153" t="s">
        <v>5434</v>
      </c>
      <c r="E121" s="3153">
        <v>144.22</v>
      </c>
      <c r="F121" s="3171"/>
      <c r="G121" s="3171"/>
    </row>
    <row r="122" spans="1:7">
      <c r="A122" s="3171">
        <v>120</v>
      </c>
      <c r="B122" s="3171">
        <v>60</v>
      </c>
      <c r="C122" s="3171" t="s">
        <v>5486</v>
      </c>
      <c r="D122" s="3153" t="s">
        <v>5434</v>
      </c>
      <c r="E122" s="3153">
        <v>167.27</v>
      </c>
      <c r="F122" s="3171"/>
      <c r="G122" s="3171"/>
    </row>
    <row r="123" spans="1:7">
      <c r="A123" s="3171">
        <v>121</v>
      </c>
      <c r="B123" s="3171">
        <v>60</v>
      </c>
      <c r="C123" s="3171" t="s">
        <v>5487</v>
      </c>
      <c r="D123" s="3153" t="s">
        <v>5434</v>
      </c>
      <c r="E123" s="3153">
        <v>144.22</v>
      </c>
      <c r="F123" s="3171"/>
      <c r="G123" s="3171"/>
    </row>
    <row r="124" spans="1:7">
      <c r="A124" s="3171">
        <v>122</v>
      </c>
      <c r="B124" s="3171">
        <v>60</v>
      </c>
      <c r="C124" s="3171" t="s">
        <v>5488</v>
      </c>
      <c r="D124" s="3153" t="s">
        <v>5434</v>
      </c>
      <c r="E124" s="3153">
        <v>167.27</v>
      </c>
      <c r="F124" s="3171"/>
      <c r="G124" s="3171"/>
    </row>
    <row r="125" spans="1:7">
      <c r="A125" s="3171">
        <v>123</v>
      </c>
      <c r="B125" s="3171">
        <v>60</v>
      </c>
      <c r="C125" s="3171" t="s">
        <v>5489</v>
      </c>
      <c r="D125" s="3153" t="s">
        <v>5434</v>
      </c>
      <c r="E125" s="3153">
        <v>144.22</v>
      </c>
      <c r="F125" s="3171"/>
      <c r="G125" s="3171"/>
    </row>
    <row r="126" spans="1:7">
      <c r="A126" s="3171">
        <v>124</v>
      </c>
      <c r="B126" s="3171">
        <v>60</v>
      </c>
      <c r="C126" s="3171" t="s">
        <v>5490</v>
      </c>
      <c r="D126" s="3153" t="s">
        <v>5434</v>
      </c>
      <c r="E126" s="3153">
        <v>170.21</v>
      </c>
      <c r="F126" s="3171"/>
      <c r="G126" s="3171"/>
    </row>
    <row r="127" spans="1:7">
      <c r="A127" s="3171">
        <v>125</v>
      </c>
      <c r="B127" s="3171">
        <v>60</v>
      </c>
      <c r="C127" s="3171">
        <v>-201</v>
      </c>
      <c r="D127" s="3153" t="s">
        <v>5497</v>
      </c>
      <c r="E127" s="3173">
        <v>22.68</v>
      </c>
      <c r="F127" s="3171"/>
      <c r="G127" s="3171"/>
    </row>
    <row r="128" spans="1:7">
      <c r="A128" s="3171">
        <v>126</v>
      </c>
      <c r="B128" s="3171">
        <v>60</v>
      </c>
      <c r="C128" s="3171">
        <v>-202</v>
      </c>
      <c r="D128" s="3153" t="s">
        <v>5497</v>
      </c>
      <c r="E128" s="3153">
        <v>29.9</v>
      </c>
      <c r="F128" s="3171"/>
      <c r="G128" s="3171"/>
    </row>
    <row r="129" spans="1:7">
      <c r="A129" s="3171">
        <v>127</v>
      </c>
      <c r="B129" s="3171">
        <v>60</v>
      </c>
      <c r="C129" s="3171">
        <v>-203</v>
      </c>
      <c r="D129" s="3153" t="s">
        <v>5497</v>
      </c>
      <c r="E129" s="3153">
        <v>24.87</v>
      </c>
      <c r="F129" s="3171"/>
      <c r="G129" s="3171"/>
    </row>
    <row r="130" spans="1:7">
      <c r="A130" s="3171">
        <v>128</v>
      </c>
      <c r="B130" s="3171">
        <v>60</v>
      </c>
      <c r="C130" s="3171">
        <v>-204</v>
      </c>
      <c r="D130" s="3153" t="s">
        <v>5497</v>
      </c>
      <c r="E130" s="3153">
        <v>24.11</v>
      </c>
      <c r="F130" s="3171"/>
      <c r="G130" s="3171"/>
    </row>
    <row r="131" spans="1:7">
      <c r="A131" s="3171">
        <v>129</v>
      </c>
      <c r="B131" s="3171">
        <v>60</v>
      </c>
      <c r="C131" s="3171">
        <v>-205</v>
      </c>
      <c r="D131" s="3153" t="s">
        <v>5497</v>
      </c>
      <c r="E131" s="3153">
        <v>11.07</v>
      </c>
      <c r="F131" s="3171"/>
      <c r="G131" s="3171"/>
    </row>
    <row r="132" spans="1:7">
      <c r="A132" s="3171">
        <v>130</v>
      </c>
      <c r="B132" s="3171">
        <v>60</v>
      </c>
      <c r="C132" s="3171">
        <v>-206</v>
      </c>
      <c r="D132" s="3153" t="s">
        <v>5497</v>
      </c>
      <c r="E132" s="3153">
        <v>18.66</v>
      </c>
      <c r="F132" s="3171"/>
      <c r="G132" s="3171"/>
    </row>
    <row r="133" spans="1:7">
      <c r="A133" s="3171">
        <v>131</v>
      </c>
      <c r="B133" s="3171">
        <v>60</v>
      </c>
      <c r="C133" s="3171">
        <v>-207</v>
      </c>
      <c r="D133" s="3153" t="s">
        <v>5497</v>
      </c>
      <c r="E133" s="3153">
        <v>23.1</v>
      </c>
      <c r="F133" s="3171"/>
      <c r="G133" s="3171"/>
    </row>
    <row r="134" spans="1:7">
      <c r="A134" s="3171">
        <v>132</v>
      </c>
      <c r="B134" s="3171">
        <v>60</v>
      </c>
      <c r="C134" s="3171">
        <v>-208</v>
      </c>
      <c r="D134" s="3153" t="s">
        <v>5497</v>
      </c>
      <c r="E134" s="3153">
        <v>23.1</v>
      </c>
      <c r="F134" s="3171"/>
      <c r="G134" s="3171"/>
    </row>
    <row r="135" spans="1:7">
      <c r="A135" s="3171">
        <v>133</v>
      </c>
      <c r="B135" s="3171">
        <v>60</v>
      </c>
      <c r="C135" s="3171">
        <v>-209</v>
      </c>
      <c r="D135" s="3153" t="s">
        <v>5497</v>
      </c>
      <c r="E135" s="3153">
        <v>18.66</v>
      </c>
      <c r="F135" s="3171"/>
      <c r="G135" s="3171"/>
    </row>
    <row r="136" spans="1:7">
      <c r="A136" s="3171">
        <v>134</v>
      </c>
      <c r="B136" s="3171">
        <v>60</v>
      </c>
      <c r="C136" s="3171">
        <v>-210</v>
      </c>
      <c r="D136" s="3153" t="s">
        <v>5497</v>
      </c>
      <c r="E136" s="3153">
        <v>11.07</v>
      </c>
      <c r="F136" s="3171"/>
      <c r="G136" s="3171"/>
    </row>
    <row r="137" spans="1:7">
      <c r="A137" s="3171">
        <v>135</v>
      </c>
      <c r="B137" s="3171">
        <v>60</v>
      </c>
      <c r="C137" s="3171">
        <v>-211</v>
      </c>
      <c r="D137" s="3153" t="s">
        <v>5497</v>
      </c>
      <c r="E137" s="3153">
        <v>19.66</v>
      </c>
      <c r="F137" s="3171"/>
      <c r="G137" s="3171"/>
    </row>
    <row r="138" spans="1:7">
      <c r="A138" s="3171">
        <v>136</v>
      </c>
      <c r="B138" s="3171">
        <v>60</v>
      </c>
      <c r="C138" s="3171">
        <v>-212</v>
      </c>
      <c r="D138" s="3153" t="s">
        <v>5497</v>
      </c>
      <c r="E138" s="3153">
        <v>25.46</v>
      </c>
      <c r="F138" s="3171"/>
      <c r="G138" s="3171"/>
    </row>
    <row r="139" spans="1:7">
      <c r="A139" s="3171">
        <v>137</v>
      </c>
      <c r="B139" s="3171">
        <v>60</v>
      </c>
      <c r="C139" s="3171">
        <v>-213</v>
      </c>
      <c r="D139" s="3153" t="s">
        <v>5497</v>
      </c>
      <c r="E139" s="3153">
        <v>17.05</v>
      </c>
      <c r="F139" s="3171"/>
      <c r="G139" s="3171"/>
    </row>
    <row r="140" spans="1:7">
      <c r="A140" s="3171">
        <v>138</v>
      </c>
      <c r="B140" s="3171">
        <v>60</v>
      </c>
      <c r="C140" s="3171">
        <v>-214</v>
      </c>
      <c r="D140" s="3153" t="s">
        <v>5497</v>
      </c>
      <c r="E140" s="3153">
        <v>17.89</v>
      </c>
      <c r="F140" s="3171"/>
      <c r="G140" s="3171"/>
    </row>
    <row r="141" spans="1:7">
      <c r="A141" s="3171">
        <v>139</v>
      </c>
      <c r="B141" s="3171">
        <v>60</v>
      </c>
      <c r="C141" s="3171">
        <v>-215</v>
      </c>
      <c r="D141" s="3153" t="s">
        <v>5497</v>
      </c>
      <c r="E141" s="3153">
        <v>17.89</v>
      </c>
      <c r="F141" s="3171"/>
      <c r="G141" s="3171"/>
    </row>
    <row r="142" spans="1:7">
      <c r="A142" s="3171">
        <v>140</v>
      </c>
      <c r="B142" s="3171">
        <v>60</v>
      </c>
      <c r="C142" s="3171">
        <v>-216</v>
      </c>
      <c r="D142" s="3153" t="s">
        <v>5497</v>
      </c>
      <c r="E142" s="3153">
        <v>17.05</v>
      </c>
      <c r="F142" s="3171"/>
      <c r="G142" s="3171"/>
    </row>
    <row r="143" spans="1:7">
      <c r="A143" s="3171">
        <v>141</v>
      </c>
      <c r="B143" s="3171">
        <v>60</v>
      </c>
      <c r="C143" s="3171">
        <v>-217</v>
      </c>
      <c r="D143" s="3153" t="s">
        <v>5497</v>
      </c>
      <c r="E143" s="3153">
        <v>25.46</v>
      </c>
      <c r="F143" s="3171"/>
      <c r="G143" s="3171"/>
    </row>
    <row r="144" spans="1:7">
      <c r="A144" s="3171">
        <v>142</v>
      </c>
      <c r="B144" s="3171">
        <v>60</v>
      </c>
      <c r="C144" s="3171">
        <v>-218</v>
      </c>
      <c r="D144" s="3153" t="s">
        <v>5497</v>
      </c>
      <c r="E144" s="3153">
        <v>19.66</v>
      </c>
      <c r="F144" s="3171"/>
      <c r="G144" s="3171"/>
    </row>
    <row r="145" spans="1:7">
      <c r="A145" s="3171">
        <v>143</v>
      </c>
      <c r="B145" s="3171">
        <v>60</v>
      </c>
      <c r="C145" s="3171">
        <v>-219</v>
      </c>
      <c r="D145" s="3153" t="s">
        <v>5497</v>
      </c>
      <c r="E145" s="3153">
        <v>21.56</v>
      </c>
      <c r="F145" s="3171"/>
      <c r="G145" s="3171"/>
    </row>
    <row r="146" spans="1:7">
      <c r="A146" s="3171">
        <v>144</v>
      </c>
      <c r="B146" s="3171">
        <v>60</v>
      </c>
      <c r="C146" s="3171">
        <v>-220</v>
      </c>
      <c r="D146" s="3153" t="s">
        <v>5497</v>
      </c>
      <c r="E146" s="3153">
        <v>11.07</v>
      </c>
      <c r="F146" s="3171"/>
      <c r="G146" s="3171"/>
    </row>
    <row r="147" spans="1:7">
      <c r="A147" s="3171">
        <v>145</v>
      </c>
      <c r="B147" s="3171">
        <v>60</v>
      </c>
      <c r="C147" s="3171">
        <v>-221</v>
      </c>
      <c r="D147" s="3153" t="s">
        <v>5497</v>
      </c>
      <c r="E147" s="3153">
        <v>18.66</v>
      </c>
      <c r="F147" s="3171"/>
      <c r="G147" s="3171"/>
    </row>
    <row r="148" spans="1:7">
      <c r="A148" s="3171">
        <v>146</v>
      </c>
      <c r="B148" s="3171">
        <v>60</v>
      </c>
      <c r="C148" s="3171">
        <v>-222</v>
      </c>
      <c r="D148" s="3153" t="s">
        <v>5497</v>
      </c>
      <c r="E148" s="3153">
        <v>23.1</v>
      </c>
      <c r="F148" s="3171"/>
      <c r="G148" s="3171"/>
    </row>
    <row r="149" spans="1:7">
      <c r="A149" s="3171">
        <v>147</v>
      </c>
      <c r="B149" s="3171">
        <v>60</v>
      </c>
      <c r="C149" s="3171">
        <v>-223</v>
      </c>
      <c r="D149" s="3153" t="s">
        <v>5497</v>
      </c>
      <c r="E149" s="3153">
        <v>23.1</v>
      </c>
      <c r="F149" s="3171"/>
      <c r="G149" s="3171"/>
    </row>
    <row r="150" spans="1:7">
      <c r="A150" s="3171">
        <v>148</v>
      </c>
      <c r="B150" s="3171">
        <v>60</v>
      </c>
      <c r="C150" s="3171">
        <v>-224</v>
      </c>
      <c r="D150" s="3153" t="s">
        <v>5497</v>
      </c>
      <c r="E150" s="3153">
        <v>18.66</v>
      </c>
      <c r="F150" s="3171"/>
      <c r="G150" s="3171"/>
    </row>
    <row r="151" spans="1:7">
      <c r="A151" s="3171">
        <v>149</v>
      </c>
      <c r="B151" s="3171">
        <v>60</v>
      </c>
      <c r="C151" s="3171">
        <v>-225</v>
      </c>
      <c r="D151" s="3153" t="s">
        <v>5497</v>
      </c>
      <c r="E151" s="3153">
        <v>11.07</v>
      </c>
      <c r="F151" s="3171"/>
      <c r="G151" s="3171"/>
    </row>
    <row r="152" spans="1:7">
      <c r="A152" s="3171">
        <v>150</v>
      </c>
      <c r="B152" s="3171">
        <v>60</v>
      </c>
      <c r="C152" s="3171">
        <v>-226</v>
      </c>
      <c r="D152" s="3153" t="s">
        <v>5497</v>
      </c>
      <c r="E152" s="3153">
        <v>19.66</v>
      </c>
      <c r="F152" s="3171"/>
      <c r="G152" s="3171"/>
    </row>
    <row r="153" spans="1:7">
      <c r="A153" s="3171">
        <v>151</v>
      </c>
      <c r="B153" s="3171">
        <v>60</v>
      </c>
      <c r="C153" s="3171">
        <v>-227</v>
      </c>
      <c r="D153" s="3153" t="s">
        <v>5497</v>
      </c>
      <c r="E153" s="3153">
        <v>25.46</v>
      </c>
      <c r="F153" s="3171"/>
      <c r="G153" s="3171"/>
    </row>
    <row r="154" spans="1:7">
      <c r="A154" s="3171">
        <v>152</v>
      </c>
      <c r="B154" s="3171">
        <v>60</v>
      </c>
      <c r="C154" s="3171">
        <v>-228</v>
      </c>
      <c r="D154" s="3153" t="s">
        <v>5497</v>
      </c>
      <c r="E154" s="3153">
        <v>17.05</v>
      </c>
      <c r="F154" s="3171"/>
      <c r="G154" s="3171"/>
    </row>
    <row r="155" spans="1:7">
      <c r="A155" s="3171">
        <v>153</v>
      </c>
      <c r="B155" s="3171">
        <v>60</v>
      </c>
      <c r="C155" s="3171">
        <v>-229</v>
      </c>
      <c r="D155" s="3153" t="s">
        <v>5497</v>
      </c>
      <c r="E155" s="3153">
        <v>17.89</v>
      </c>
      <c r="F155" s="3171"/>
      <c r="G155" s="3171"/>
    </row>
    <row r="156" spans="1:7">
      <c r="A156" s="3171">
        <v>154</v>
      </c>
      <c r="B156" s="3171">
        <v>60</v>
      </c>
      <c r="C156" s="3171">
        <v>-230</v>
      </c>
      <c r="D156" s="3153" t="s">
        <v>5497</v>
      </c>
      <c r="E156" s="3153">
        <v>17.89</v>
      </c>
      <c r="F156" s="3171"/>
      <c r="G156" s="3171"/>
    </row>
    <row r="157" spans="1:7">
      <c r="A157" s="3171">
        <v>155</v>
      </c>
      <c r="B157" s="3171">
        <v>60</v>
      </c>
      <c r="C157" s="3171">
        <v>-231</v>
      </c>
      <c r="D157" s="3153" t="s">
        <v>5497</v>
      </c>
      <c r="E157" s="3153">
        <v>17.05</v>
      </c>
      <c r="F157" s="3171"/>
      <c r="G157" s="3171"/>
    </row>
    <row r="158" spans="1:7">
      <c r="A158" s="3171">
        <v>156</v>
      </c>
      <c r="B158" s="3171">
        <v>60</v>
      </c>
      <c r="C158" s="3171">
        <v>-232</v>
      </c>
      <c r="D158" s="3153" t="s">
        <v>5497</v>
      </c>
      <c r="E158" s="3153">
        <v>19.82</v>
      </c>
      <c r="F158" s="3171"/>
      <c r="G158" s="3171"/>
    </row>
    <row r="159" spans="1:7">
      <c r="A159" s="3171">
        <v>157</v>
      </c>
      <c r="B159" s="3171">
        <v>60</v>
      </c>
      <c r="C159" s="3171">
        <v>-233</v>
      </c>
      <c r="D159" s="3153" t="s">
        <v>5497</v>
      </c>
      <c r="E159" s="3153">
        <v>11.07</v>
      </c>
      <c r="F159" s="3171"/>
      <c r="G159" s="3171"/>
    </row>
    <row r="160" spans="1:7">
      <c r="A160" s="3171">
        <v>158</v>
      </c>
      <c r="B160" s="3171">
        <v>60</v>
      </c>
      <c r="C160" s="3171">
        <v>-234</v>
      </c>
      <c r="D160" s="3153" t="s">
        <v>5497</v>
      </c>
      <c r="E160" s="3153">
        <v>18.66</v>
      </c>
      <c r="F160" s="3171"/>
      <c r="G160" s="3171"/>
    </row>
    <row r="161" spans="1:7">
      <c r="A161" s="3171">
        <v>159</v>
      </c>
      <c r="B161" s="3171">
        <v>60</v>
      </c>
      <c r="C161" s="3171">
        <v>-235</v>
      </c>
      <c r="D161" s="3153" t="s">
        <v>5497</v>
      </c>
      <c r="E161" s="3153">
        <v>11.07</v>
      </c>
      <c r="F161" s="3171"/>
      <c r="G161" s="3171"/>
    </row>
    <row r="162" spans="1:7">
      <c r="A162" s="3171">
        <v>160</v>
      </c>
      <c r="B162" s="3171">
        <v>60</v>
      </c>
      <c r="C162" s="3171">
        <v>-236</v>
      </c>
      <c r="D162" s="3153" t="s">
        <v>5497</v>
      </c>
      <c r="E162" s="3153">
        <v>21.56</v>
      </c>
      <c r="F162" s="3171"/>
      <c r="G162" s="3171"/>
    </row>
    <row r="163" spans="1:7">
      <c r="A163" s="3171">
        <v>161</v>
      </c>
      <c r="B163" s="3171">
        <v>60</v>
      </c>
      <c r="C163" s="3171">
        <v>-237</v>
      </c>
      <c r="D163" s="3153" t="s">
        <v>5497</v>
      </c>
      <c r="E163" s="3153">
        <v>19.66</v>
      </c>
      <c r="F163" s="3171"/>
      <c r="G163" s="3171"/>
    </row>
    <row r="164" spans="1:7">
      <c r="A164" s="3171">
        <v>162</v>
      </c>
      <c r="B164" s="3171">
        <v>60</v>
      </c>
      <c r="C164" s="3171">
        <v>-238</v>
      </c>
      <c r="D164" s="3153" t="s">
        <v>5497</v>
      </c>
      <c r="E164" s="3153">
        <v>17.05</v>
      </c>
      <c r="F164" s="3171"/>
      <c r="G164" s="3171"/>
    </row>
    <row r="165" spans="1:7">
      <c r="A165" s="3171">
        <v>163</v>
      </c>
      <c r="B165" s="3171">
        <v>60</v>
      </c>
      <c r="C165" s="3171">
        <v>-239</v>
      </c>
      <c r="D165" s="3153" t="s">
        <v>5497</v>
      </c>
      <c r="E165" s="3153">
        <v>17.89</v>
      </c>
      <c r="F165" s="3171"/>
      <c r="G165" s="3171"/>
    </row>
    <row r="166" spans="1:7">
      <c r="A166" s="3171">
        <v>164</v>
      </c>
      <c r="B166" s="3171">
        <v>60</v>
      </c>
      <c r="C166" s="3171">
        <v>-240</v>
      </c>
      <c r="D166" s="3153" t="s">
        <v>5497</v>
      </c>
      <c r="E166" s="3153">
        <v>17.89</v>
      </c>
      <c r="F166" s="3171"/>
      <c r="G166" s="3171"/>
    </row>
    <row r="167" spans="1:7">
      <c r="A167" s="3171">
        <v>165</v>
      </c>
      <c r="B167" s="3171">
        <v>60</v>
      </c>
      <c r="C167" s="3171">
        <v>-241</v>
      </c>
      <c r="D167" s="3153" t="s">
        <v>5497</v>
      </c>
      <c r="E167" s="3153">
        <v>17.05</v>
      </c>
      <c r="F167" s="3171"/>
      <c r="G167" s="3171"/>
    </row>
    <row r="168" spans="1:7">
      <c r="A168" s="3171">
        <v>166</v>
      </c>
      <c r="B168" s="3171">
        <v>60</v>
      </c>
      <c r="C168" s="3171">
        <v>-242</v>
      </c>
      <c r="D168" s="3153" t="s">
        <v>5497</v>
      </c>
      <c r="E168" s="3153">
        <v>25.46</v>
      </c>
      <c r="F168" s="3171"/>
      <c r="G168" s="3171"/>
    </row>
    <row r="169" spans="1:7">
      <c r="A169" s="3171">
        <v>167</v>
      </c>
      <c r="B169" s="3171">
        <v>60</v>
      </c>
      <c r="C169" s="3171">
        <v>-243</v>
      </c>
      <c r="D169" s="3153" t="s">
        <v>5497</v>
      </c>
      <c r="E169" s="3153">
        <v>19.82</v>
      </c>
      <c r="F169" s="3171"/>
      <c r="G169" s="3171"/>
    </row>
    <row r="170" spans="1:7">
      <c r="A170" s="3171">
        <v>168</v>
      </c>
      <c r="B170" s="3171">
        <v>60</v>
      </c>
      <c r="C170" s="3171">
        <v>-244</v>
      </c>
      <c r="D170" s="3153" t="s">
        <v>5497</v>
      </c>
      <c r="E170" s="3153">
        <v>11.07</v>
      </c>
      <c r="F170" s="3171"/>
      <c r="G170" s="3171"/>
    </row>
    <row r="171" spans="1:7">
      <c r="A171" s="3171">
        <v>169</v>
      </c>
      <c r="B171" s="3171">
        <v>60</v>
      </c>
      <c r="C171" s="3171">
        <v>-245</v>
      </c>
      <c r="D171" s="3153" t="s">
        <v>5497</v>
      </c>
      <c r="E171" s="3153">
        <v>18.66</v>
      </c>
      <c r="F171" s="3171"/>
      <c r="G171" s="3171"/>
    </row>
    <row r="172" spans="1:7">
      <c r="A172" s="3171">
        <v>170</v>
      </c>
      <c r="B172" s="3171">
        <v>60</v>
      </c>
      <c r="C172" s="3171">
        <v>-246</v>
      </c>
      <c r="D172" s="3153" t="s">
        <v>5497</v>
      </c>
      <c r="E172" s="3153">
        <v>23.1</v>
      </c>
      <c r="F172" s="3171"/>
      <c r="G172" s="3171"/>
    </row>
    <row r="173" spans="1:7">
      <c r="A173" s="3171">
        <v>171</v>
      </c>
      <c r="B173" s="3171">
        <v>60</v>
      </c>
      <c r="C173" s="3171">
        <v>-247</v>
      </c>
      <c r="D173" s="3153" t="s">
        <v>5497</v>
      </c>
      <c r="E173" s="3153">
        <v>23.1</v>
      </c>
      <c r="F173" s="3171"/>
      <c r="G173" s="3171"/>
    </row>
    <row r="174" spans="1:7">
      <c r="A174" s="3171">
        <v>172</v>
      </c>
      <c r="B174" s="3171">
        <v>60</v>
      </c>
      <c r="C174" s="3171">
        <v>-248</v>
      </c>
      <c r="D174" s="3153" t="s">
        <v>5497</v>
      </c>
      <c r="E174" s="3153">
        <v>18.66</v>
      </c>
      <c r="F174" s="3171"/>
      <c r="G174" s="3171"/>
    </row>
    <row r="175" spans="1:7">
      <c r="A175" s="3171">
        <v>173</v>
      </c>
      <c r="B175" s="3171">
        <v>60</v>
      </c>
      <c r="C175" s="3171">
        <v>-249</v>
      </c>
      <c r="D175" s="3153" t="s">
        <v>5497</v>
      </c>
      <c r="E175" s="3153">
        <v>11.07</v>
      </c>
      <c r="F175" s="3171"/>
      <c r="G175" s="3171"/>
    </row>
    <row r="176" spans="1:7">
      <c r="A176" s="3171">
        <v>174</v>
      </c>
      <c r="B176" s="3171">
        <v>60</v>
      </c>
      <c r="C176" s="3171">
        <v>-250</v>
      </c>
      <c r="D176" s="3153" t="s">
        <v>5497</v>
      </c>
      <c r="E176" s="3153">
        <v>24.11</v>
      </c>
      <c r="F176" s="3171"/>
      <c r="G176" s="3171"/>
    </row>
    <row r="177" spans="1:7">
      <c r="A177" s="3171">
        <v>175</v>
      </c>
      <c r="B177" s="3171">
        <v>60</v>
      </c>
      <c r="C177" s="3171">
        <v>-251</v>
      </c>
      <c r="D177" s="3153" t="s">
        <v>5497</v>
      </c>
      <c r="E177" s="3153">
        <v>24.87</v>
      </c>
      <c r="F177" s="3171"/>
      <c r="G177" s="3171"/>
    </row>
    <row r="178" spans="1:7">
      <c r="A178" s="3171">
        <v>176</v>
      </c>
      <c r="B178" s="3171">
        <v>60</v>
      </c>
      <c r="C178" s="3171">
        <v>-252</v>
      </c>
      <c r="D178" s="3153" t="s">
        <v>5497</v>
      </c>
      <c r="E178" s="3153">
        <v>29.9</v>
      </c>
      <c r="F178" s="3171"/>
      <c r="G178" s="3171"/>
    </row>
    <row r="179" spans="1:7">
      <c r="A179" s="3171">
        <v>177</v>
      </c>
      <c r="B179" s="3171">
        <v>60</v>
      </c>
      <c r="C179" s="3171">
        <v>-253</v>
      </c>
      <c r="D179" s="3153" t="s">
        <v>5497</v>
      </c>
      <c r="E179" s="3153">
        <v>22.68</v>
      </c>
      <c r="F179" s="3171"/>
      <c r="G179" s="3171"/>
    </row>
    <row r="180" spans="1:7">
      <c r="A180" s="3171">
        <v>178</v>
      </c>
      <c r="B180" s="3171">
        <v>61</v>
      </c>
      <c r="C180" s="3171" t="s">
        <v>5435</v>
      </c>
      <c r="D180" s="3153" t="s">
        <v>5434</v>
      </c>
      <c r="E180" s="3173">
        <v>164.38</v>
      </c>
      <c r="F180" s="3171"/>
      <c r="G180" s="3171"/>
    </row>
    <row r="181" spans="1:7">
      <c r="A181" s="3171">
        <v>179</v>
      </c>
      <c r="B181" s="3171">
        <v>61</v>
      </c>
      <c r="C181" s="3171" t="s">
        <v>5436</v>
      </c>
      <c r="D181" s="3153" t="s">
        <v>5434</v>
      </c>
      <c r="E181" s="3153">
        <v>140.97</v>
      </c>
      <c r="F181" s="3171"/>
      <c r="G181" s="3171"/>
    </row>
    <row r="182" spans="1:7">
      <c r="A182" s="3171">
        <v>180</v>
      </c>
      <c r="B182" s="3171">
        <v>61</v>
      </c>
      <c r="C182" s="3171" t="s">
        <v>5437</v>
      </c>
      <c r="D182" s="3153" t="s">
        <v>5434</v>
      </c>
      <c r="E182" s="3153">
        <v>170</v>
      </c>
      <c r="F182" s="3171"/>
      <c r="G182" s="3171"/>
    </row>
    <row r="183" spans="1:7">
      <c r="A183" s="3171">
        <v>181</v>
      </c>
      <c r="B183" s="3171">
        <v>61</v>
      </c>
      <c r="C183" s="3171" t="s">
        <v>5438</v>
      </c>
      <c r="D183" s="3153" t="s">
        <v>5434</v>
      </c>
      <c r="E183" s="3153">
        <v>146.58000000000001</v>
      </c>
      <c r="F183" s="3171"/>
      <c r="G183" s="3171"/>
    </row>
    <row r="184" spans="1:7">
      <c r="A184" s="3171">
        <v>182</v>
      </c>
      <c r="B184" s="3171">
        <v>61</v>
      </c>
      <c r="C184" s="3171" t="s">
        <v>5439</v>
      </c>
      <c r="D184" s="3153" t="s">
        <v>5434</v>
      </c>
      <c r="E184" s="3153">
        <v>170</v>
      </c>
      <c r="F184" s="3171"/>
      <c r="G184" s="3171"/>
    </row>
    <row r="185" spans="1:7">
      <c r="A185" s="3171">
        <v>183</v>
      </c>
      <c r="B185" s="3171">
        <v>61</v>
      </c>
      <c r="C185" s="3171" t="s">
        <v>5440</v>
      </c>
      <c r="D185" s="3153" t="s">
        <v>5434</v>
      </c>
      <c r="E185" s="3153">
        <v>146.58000000000001</v>
      </c>
      <c r="F185" s="3171"/>
      <c r="G185" s="3171"/>
    </row>
    <row r="186" spans="1:7">
      <c r="A186" s="3171">
        <v>184</v>
      </c>
      <c r="B186" s="3171">
        <v>61</v>
      </c>
      <c r="C186" s="3171" t="s">
        <v>5441</v>
      </c>
      <c r="D186" s="3153" t="s">
        <v>5434</v>
      </c>
      <c r="E186" s="3153">
        <v>170</v>
      </c>
      <c r="F186" s="3171"/>
      <c r="G186" s="3171"/>
    </row>
    <row r="187" spans="1:7">
      <c r="A187" s="3171">
        <v>185</v>
      </c>
      <c r="B187" s="3171">
        <v>61</v>
      </c>
      <c r="C187" s="3171" t="s">
        <v>5442</v>
      </c>
      <c r="D187" s="3153" t="s">
        <v>5434</v>
      </c>
      <c r="E187" s="3153">
        <v>146.58000000000001</v>
      </c>
      <c r="F187" s="3171"/>
      <c r="G187" s="3171"/>
    </row>
    <row r="188" spans="1:7">
      <c r="A188" s="3171">
        <v>186</v>
      </c>
      <c r="B188" s="3171">
        <v>61</v>
      </c>
      <c r="C188" s="3171" t="s">
        <v>5443</v>
      </c>
      <c r="D188" s="3153" t="s">
        <v>5434</v>
      </c>
      <c r="E188" s="3153">
        <v>170</v>
      </c>
      <c r="F188" s="3171"/>
      <c r="G188" s="3171"/>
    </row>
    <row r="189" spans="1:7">
      <c r="A189" s="3171">
        <v>187</v>
      </c>
      <c r="B189" s="3171">
        <v>61</v>
      </c>
      <c r="C189" s="3171" t="s">
        <v>5444</v>
      </c>
      <c r="D189" s="3153" t="s">
        <v>5434</v>
      </c>
      <c r="E189" s="3153">
        <v>146.58000000000001</v>
      </c>
      <c r="F189" s="3171"/>
      <c r="G189" s="3171"/>
    </row>
    <row r="190" spans="1:7">
      <c r="A190" s="3171">
        <v>188</v>
      </c>
      <c r="B190" s="3171">
        <v>61</v>
      </c>
      <c r="C190" s="3171" t="s">
        <v>5445</v>
      </c>
      <c r="D190" s="3153" t="s">
        <v>5434</v>
      </c>
      <c r="E190" s="3153">
        <v>170</v>
      </c>
      <c r="F190" s="3171"/>
      <c r="G190" s="3171"/>
    </row>
    <row r="191" spans="1:7">
      <c r="A191" s="3171">
        <v>189</v>
      </c>
      <c r="B191" s="3171">
        <v>61</v>
      </c>
      <c r="C191" s="3171" t="s">
        <v>5446</v>
      </c>
      <c r="D191" s="3153" t="s">
        <v>5434</v>
      </c>
      <c r="E191" s="3153">
        <v>146.58000000000001</v>
      </c>
      <c r="F191" s="3171"/>
      <c r="G191" s="3171"/>
    </row>
    <row r="192" spans="1:7">
      <c r="A192" s="3171">
        <v>190</v>
      </c>
      <c r="B192" s="3171">
        <v>61</v>
      </c>
      <c r="C192" s="3171" t="s">
        <v>5447</v>
      </c>
      <c r="D192" s="3153" t="s">
        <v>5434</v>
      </c>
      <c r="E192" s="3171">
        <v>172.99</v>
      </c>
      <c r="F192" s="3171"/>
      <c r="G192" s="3171"/>
    </row>
    <row r="193" spans="1:7">
      <c r="A193" s="3171">
        <v>191</v>
      </c>
      <c r="B193" s="3171">
        <v>61</v>
      </c>
      <c r="C193" s="3171" t="s">
        <v>5448</v>
      </c>
      <c r="D193" s="3153" t="s">
        <v>5434</v>
      </c>
      <c r="E193" s="3171">
        <v>146.58000000000001</v>
      </c>
      <c r="F193" s="3171"/>
      <c r="G193" s="3171"/>
    </row>
    <row r="194" spans="1:7">
      <c r="A194" s="3171">
        <v>192</v>
      </c>
      <c r="B194" s="3171">
        <v>61</v>
      </c>
      <c r="C194" s="3171" t="s">
        <v>5449</v>
      </c>
      <c r="D194" s="3153" t="s">
        <v>5434</v>
      </c>
      <c r="E194" s="3171">
        <v>140.97</v>
      </c>
      <c r="F194" s="3171"/>
      <c r="G194" s="3171"/>
    </row>
    <row r="195" spans="1:7">
      <c r="A195" s="3171">
        <v>193</v>
      </c>
      <c r="B195" s="3171">
        <v>61</v>
      </c>
      <c r="C195" s="3171" t="s">
        <v>5450</v>
      </c>
      <c r="D195" s="3153" t="s">
        <v>5434</v>
      </c>
      <c r="E195" s="3171">
        <v>140.97</v>
      </c>
      <c r="F195" s="3171"/>
      <c r="G195" s="3171"/>
    </row>
    <row r="196" spans="1:7">
      <c r="A196" s="3171">
        <v>194</v>
      </c>
      <c r="B196" s="3171">
        <v>61</v>
      </c>
      <c r="C196" s="3171" t="s">
        <v>5451</v>
      </c>
      <c r="D196" s="3153" t="s">
        <v>5434</v>
      </c>
      <c r="E196" s="3171">
        <v>146.58000000000001</v>
      </c>
      <c r="F196" s="3171"/>
      <c r="G196" s="3171"/>
    </row>
    <row r="197" spans="1:7">
      <c r="A197" s="3171">
        <v>195</v>
      </c>
      <c r="B197" s="3171">
        <v>61</v>
      </c>
      <c r="C197" s="3171" t="s">
        <v>5452</v>
      </c>
      <c r="D197" s="3153" t="s">
        <v>5434</v>
      </c>
      <c r="E197" s="3171">
        <v>146.58000000000001</v>
      </c>
      <c r="F197" s="3171"/>
      <c r="G197" s="3171"/>
    </row>
    <row r="198" spans="1:7">
      <c r="A198" s="3171">
        <v>196</v>
      </c>
      <c r="B198" s="3171">
        <v>61</v>
      </c>
      <c r="C198" s="3171" t="s">
        <v>5453</v>
      </c>
      <c r="D198" s="3153" t="s">
        <v>5434</v>
      </c>
      <c r="E198" s="3171">
        <v>146.58000000000001</v>
      </c>
      <c r="F198" s="3171"/>
      <c r="G198" s="3171"/>
    </row>
    <row r="199" spans="1:7">
      <c r="A199" s="3171">
        <v>197</v>
      </c>
      <c r="B199" s="3171">
        <v>61</v>
      </c>
      <c r="C199" s="3171" t="s">
        <v>5454</v>
      </c>
      <c r="D199" s="3153" t="s">
        <v>5434</v>
      </c>
      <c r="E199" s="3171">
        <v>146.58000000000001</v>
      </c>
      <c r="F199" s="3171"/>
      <c r="G199" s="3171"/>
    </row>
    <row r="200" spans="1:7">
      <c r="A200" s="3171">
        <v>198</v>
      </c>
      <c r="B200" s="3171">
        <v>61</v>
      </c>
      <c r="C200" s="3171" t="s">
        <v>5455</v>
      </c>
      <c r="D200" s="3153" t="s">
        <v>5434</v>
      </c>
      <c r="E200" s="3171">
        <v>146.58000000000001</v>
      </c>
      <c r="F200" s="3171"/>
      <c r="G200" s="3171"/>
    </row>
    <row r="201" spans="1:7">
      <c r="A201" s="3171">
        <v>199</v>
      </c>
      <c r="B201" s="3171">
        <v>61</v>
      </c>
      <c r="C201" s="3171" t="s">
        <v>5456</v>
      </c>
      <c r="D201" s="3153" t="s">
        <v>5434</v>
      </c>
      <c r="E201" s="3171">
        <v>146.58000000000001</v>
      </c>
      <c r="F201" s="3171"/>
      <c r="G201" s="3171"/>
    </row>
    <row r="202" spans="1:7">
      <c r="A202" s="3171">
        <v>200</v>
      </c>
      <c r="B202" s="3171">
        <v>61</v>
      </c>
      <c r="C202" s="3171" t="s">
        <v>5457</v>
      </c>
      <c r="D202" s="3153" t="s">
        <v>5434</v>
      </c>
      <c r="E202" s="3171">
        <v>146.58000000000001</v>
      </c>
      <c r="F202" s="3171"/>
      <c r="G202" s="3171"/>
    </row>
    <row r="203" spans="1:7">
      <c r="A203" s="3171">
        <v>201</v>
      </c>
      <c r="B203" s="3171">
        <v>61</v>
      </c>
      <c r="C203" s="3171" t="s">
        <v>5458</v>
      </c>
      <c r="D203" s="3153" t="s">
        <v>5434</v>
      </c>
      <c r="E203" s="3171">
        <v>146.58000000000001</v>
      </c>
      <c r="F203" s="3171"/>
      <c r="G203" s="3171"/>
    </row>
    <row r="204" spans="1:7">
      <c r="A204" s="3171">
        <v>202</v>
      </c>
      <c r="B204" s="3171">
        <v>61</v>
      </c>
      <c r="C204" s="3171" t="s">
        <v>5459</v>
      </c>
      <c r="D204" s="3153" t="s">
        <v>5434</v>
      </c>
      <c r="E204" s="3171">
        <v>146.58000000000001</v>
      </c>
      <c r="F204" s="3171"/>
      <c r="G204" s="3171"/>
    </row>
    <row r="205" spans="1:7">
      <c r="A205" s="3171">
        <v>203</v>
      </c>
      <c r="B205" s="3171">
        <v>61</v>
      </c>
      <c r="C205" s="3171" t="s">
        <v>5460</v>
      </c>
      <c r="D205" s="3153" t="s">
        <v>5434</v>
      </c>
      <c r="E205" s="3171">
        <v>146.58000000000001</v>
      </c>
      <c r="F205" s="3171"/>
      <c r="G205" s="3171"/>
    </row>
    <row r="206" spans="1:7">
      <c r="A206" s="3171">
        <v>204</v>
      </c>
      <c r="B206" s="3171">
        <v>61</v>
      </c>
      <c r="C206" s="3171" t="s">
        <v>5461</v>
      </c>
      <c r="D206" s="3153" t="s">
        <v>5434</v>
      </c>
      <c r="E206" s="3171">
        <v>146.58000000000001</v>
      </c>
      <c r="F206" s="3171"/>
      <c r="G206" s="3171"/>
    </row>
    <row r="207" spans="1:7">
      <c r="A207" s="3171">
        <v>205</v>
      </c>
      <c r="B207" s="3171">
        <v>61</v>
      </c>
      <c r="C207" s="3171" t="s">
        <v>5462</v>
      </c>
      <c r="D207" s="3153" t="s">
        <v>5434</v>
      </c>
      <c r="E207" s="3171">
        <v>146.58000000000001</v>
      </c>
      <c r="F207" s="3171"/>
      <c r="G207" s="3171"/>
    </row>
    <row r="208" spans="1:7">
      <c r="A208" s="3171">
        <v>206</v>
      </c>
      <c r="B208" s="3171">
        <v>61</v>
      </c>
      <c r="C208" s="3171" t="s">
        <v>5463</v>
      </c>
      <c r="D208" s="3153" t="s">
        <v>5434</v>
      </c>
      <c r="E208" s="3171">
        <v>140.97</v>
      </c>
      <c r="F208" s="3171"/>
      <c r="G208" s="3171"/>
    </row>
    <row r="209" spans="1:7">
      <c r="A209" s="3171">
        <v>207</v>
      </c>
      <c r="B209" s="3171">
        <v>61</v>
      </c>
      <c r="C209" s="3171" t="s">
        <v>5464</v>
      </c>
      <c r="D209" s="3153" t="s">
        <v>5434</v>
      </c>
      <c r="E209" s="3171">
        <v>140.97</v>
      </c>
      <c r="F209" s="3171"/>
      <c r="G209" s="3171"/>
    </row>
    <row r="210" spans="1:7">
      <c r="A210" s="3171">
        <v>208</v>
      </c>
      <c r="B210" s="3171">
        <v>61</v>
      </c>
      <c r="C210" s="3171" t="s">
        <v>5465</v>
      </c>
      <c r="D210" s="3153" t="s">
        <v>5434</v>
      </c>
      <c r="E210" s="3171">
        <v>146.58000000000001</v>
      </c>
      <c r="F210" s="3171"/>
      <c r="G210" s="3171"/>
    </row>
    <row r="211" spans="1:7">
      <c r="A211" s="3171">
        <v>209</v>
      </c>
      <c r="B211" s="3171">
        <v>61</v>
      </c>
      <c r="C211" s="3171" t="s">
        <v>5466</v>
      </c>
      <c r="D211" s="3153" t="s">
        <v>5434</v>
      </c>
      <c r="E211" s="3171">
        <v>146.58000000000001</v>
      </c>
      <c r="F211" s="3171"/>
      <c r="G211" s="3171"/>
    </row>
    <row r="212" spans="1:7">
      <c r="A212" s="3171">
        <v>210</v>
      </c>
      <c r="B212" s="3171">
        <v>61</v>
      </c>
      <c r="C212" s="3171" t="s">
        <v>5467</v>
      </c>
      <c r="D212" s="3153" t="s">
        <v>5434</v>
      </c>
      <c r="E212" s="3171">
        <v>146.58000000000001</v>
      </c>
      <c r="F212" s="3171"/>
      <c r="G212" s="3171"/>
    </row>
    <row r="213" spans="1:7">
      <c r="A213" s="3171">
        <v>211</v>
      </c>
      <c r="B213" s="3171">
        <v>61</v>
      </c>
      <c r="C213" s="3171" t="s">
        <v>5468</v>
      </c>
      <c r="D213" s="3153" t="s">
        <v>5434</v>
      </c>
      <c r="E213" s="3171">
        <v>146.58000000000001</v>
      </c>
      <c r="F213" s="3171"/>
      <c r="G213" s="3171"/>
    </row>
    <row r="214" spans="1:7">
      <c r="A214" s="3171">
        <v>212</v>
      </c>
      <c r="B214" s="3171">
        <v>61</v>
      </c>
      <c r="C214" s="3171" t="s">
        <v>5469</v>
      </c>
      <c r="D214" s="3153" t="s">
        <v>5434</v>
      </c>
      <c r="E214" s="3171">
        <v>146.58000000000001</v>
      </c>
      <c r="F214" s="3171"/>
      <c r="G214" s="3171"/>
    </row>
    <row r="215" spans="1:7">
      <c r="A215" s="3171">
        <v>213</v>
      </c>
      <c r="B215" s="3171">
        <v>61</v>
      </c>
      <c r="C215" s="3171" t="s">
        <v>5470</v>
      </c>
      <c r="D215" s="3153" t="s">
        <v>5434</v>
      </c>
      <c r="E215" s="3171">
        <v>146.58000000000001</v>
      </c>
      <c r="F215" s="3171"/>
      <c r="G215" s="3171"/>
    </row>
    <row r="216" spans="1:7">
      <c r="A216" s="3171">
        <v>214</v>
      </c>
      <c r="B216" s="3171">
        <v>61</v>
      </c>
      <c r="C216" s="3171" t="s">
        <v>5471</v>
      </c>
      <c r="D216" s="3153" t="s">
        <v>5434</v>
      </c>
      <c r="E216" s="3171">
        <v>146.58000000000001</v>
      </c>
      <c r="F216" s="3171"/>
      <c r="G216" s="3171"/>
    </row>
    <row r="217" spans="1:7">
      <c r="A217" s="3171">
        <v>215</v>
      </c>
      <c r="B217" s="3171">
        <v>61</v>
      </c>
      <c r="C217" s="3171" t="s">
        <v>5472</v>
      </c>
      <c r="D217" s="3153" t="s">
        <v>5434</v>
      </c>
      <c r="E217" s="3171">
        <v>146.58000000000001</v>
      </c>
      <c r="F217" s="3171"/>
      <c r="G217" s="3171"/>
    </row>
    <row r="218" spans="1:7">
      <c r="A218" s="3171">
        <v>216</v>
      </c>
      <c r="B218" s="3171">
        <v>61</v>
      </c>
      <c r="C218" s="3171" t="s">
        <v>5473</v>
      </c>
      <c r="D218" s="3153" t="s">
        <v>5434</v>
      </c>
      <c r="E218" s="3171">
        <v>146.58000000000001</v>
      </c>
      <c r="F218" s="3171"/>
      <c r="G218" s="3171"/>
    </row>
    <row r="219" spans="1:7">
      <c r="A219" s="3171">
        <v>217</v>
      </c>
      <c r="B219" s="3171">
        <v>61</v>
      </c>
      <c r="C219" s="3171" t="s">
        <v>5474</v>
      </c>
      <c r="D219" s="3153" t="s">
        <v>5434</v>
      </c>
      <c r="E219" s="3171">
        <v>146.58000000000001</v>
      </c>
      <c r="F219" s="3171"/>
      <c r="G219" s="3171"/>
    </row>
    <row r="220" spans="1:7">
      <c r="A220" s="3171">
        <v>218</v>
      </c>
      <c r="B220" s="3171">
        <v>61</v>
      </c>
      <c r="C220" s="3171" t="s">
        <v>5475</v>
      </c>
      <c r="D220" s="3153" t="s">
        <v>5434</v>
      </c>
      <c r="E220" s="3171">
        <v>146.58000000000001</v>
      </c>
      <c r="F220" s="3171"/>
      <c r="G220" s="3171"/>
    </row>
    <row r="221" spans="1:7">
      <c r="A221" s="3171">
        <v>219</v>
      </c>
      <c r="B221" s="3171">
        <v>61</v>
      </c>
      <c r="C221" s="3171" t="s">
        <v>5476</v>
      </c>
      <c r="D221" s="3153" t="s">
        <v>5434</v>
      </c>
      <c r="E221" s="3171">
        <v>146.58000000000001</v>
      </c>
      <c r="F221" s="3171"/>
      <c r="G221" s="3171"/>
    </row>
    <row r="222" spans="1:7">
      <c r="A222" s="3171">
        <v>220</v>
      </c>
      <c r="B222" s="3171">
        <v>61</v>
      </c>
      <c r="C222" s="3171" t="s">
        <v>5477</v>
      </c>
      <c r="D222" s="3153" t="s">
        <v>5434</v>
      </c>
      <c r="E222" s="3171">
        <v>140.97</v>
      </c>
      <c r="F222" s="3171"/>
      <c r="G222" s="3171"/>
    </row>
    <row r="223" spans="1:7">
      <c r="A223" s="3171">
        <v>221</v>
      </c>
      <c r="B223" s="3171">
        <v>61</v>
      </c>
      <c r="C223" s="3171" t="s">
        <v>5478</v>
      </c>
      <c r="D223" s="3153" t="s">
        <v>5434</v>
      </c>
      <c r="E223" s="3171">
        <v>141.51</v>
      </c>
      <c r="F223" s="3171"/>
      <c r="G223" s="3171"/>
    </row>
    <row r="224" spans="1:7">
      <c r="A224" s="3171">
        <v>222</v>
      </c>
      <c r="B224" s="3171">
        <v>61</v>
      </c>
      <c r="C224" s="3171" t="s">
        <v>5479</v>
      </c>
      <c r="D224" s="3153" t="s">
        <v>5434</v>
      </c>
      <c r="E224" s="3171">
        <v>146.58000000000001</v>
      </c>
      <c r="F224" s="3171"/>
      <c r="G224" s="3171"/>
    </row>
    <row r="225" spans="1:7">
      <c r="A225" s="3171">
        <v>223</v>
      </c>
      <c r="B225" s="3171">
        <v>61</v>
      </c>
      <c r="C225" s="3171" t="s">
        <v>5480</v>
      </c>
      <c r="D225" s="3153" t="s">
        <v>5434</v>
      </c>
      <c r="E225" s="3171">
        <v>147.13</v>
      </c>
      <c r="F225" s="3171"/>
      <c r="G225" s="3171"/>
    </row>
    <row r="226" spans="1:7">
      <c r="A226" s="3171">
        <v>224</v>
      </c>
      <c r="B226" s="3171">
        <v>61</v>
      </c>
      <c r="C226" s="3171" t="s">
        <v>5481</v>
      </c>
      <c r="D226" s="3153" t="s">
        <v>5434</v>
      </c>
      <c r="E226" s="3171">
        <v>146.58000000000001</v>
      </c>
      <c r="F226" s="3171"/>
      <c r="G226" s="3171"/>
    </row>
    <row r="227" spans="1:7">
      <c r="A227" s="3171">
        <v>225</v>
      </c>
      <c r="B227" s="3171">
        <v>61</v>
      </c>
      <c r="C227" s="3171" t="s">
        <v>5482</v>
      </c>
      <c r="D227" s="3153" t="s">
        <v>5434</v>
      </c>
      <c r="E227" s="3171">
        <v>147.13</v>
      </c>
      <c r="F227" s="3171"/>
      <c r="G227" s="3171"/>
    </row>
    <row r="228" spans="1:7">
      <c r="A228" s="3171">
        <v>226</v>
      </c>
      <c r="B228" s="3171">
        <v>61</v>
      </c>
      <c r="C228" s="3171" t="s">
        <v>5483</v>
      </c>
      <c r="D228" s="3153" t="s">
        <v>5434</v>
      </c>
      <c r="E228" s="3171">
        <v>146.58000000000001</v>
      </c>
      <c r="F228" s="3171"/>
      <c r="G228" s="3171"/>
    </row>
    <row r="229" spans="1:7">
      <c r="A229" s="3171">
        <v>227</v>
      </c>
      <c r="B229" s="3171">
        <v>61</v>
      </c>
      <c r="C229" s="3171" t="s">
        <v>5484</v>
      </c>
      <c r="D229" s="3153" t="s">
        <v>5434</v>
      </c>
      <c r="E229" s="3171">
        <v>147.13</v>
      </c>
      <c r="F229" s="3171"/>
      <c r="G229" s="3171"/>
    </row>
    <row r="230" spans="1:7">
      <c r="A230" s="3171">
        <v>228</v>
      </c>
      <c r="B230" s="3171">
        <v>61</v>
      </c>
      <c r="C230" s="3171" t="s">
        <v>5485</v>
      </c>
      <c r="D230" s="3153" t="s">
        <v>5434</v>
      </c>
      <c r="E230" s="3171">
        <v>146.58000000000001</v>
      </c>
      <c r="F230" s="3171"/>
      <c r="G230" s="3171"/>
    </row>
    <row r="231" spans="1:7">
      <c r="A231" s="3171">
        <v>229</v>
      </c>
      <c r="B231" s="3171">
        <v>61</v>
      </c>
      <c r="C231" s="3171" t="s">
        <v>5486</v>
      </c>
      <c r="D231" s="3153" t="s">
        <v>5434</v>
      </c>
      <c r="E231" s="3171">
        <v>147.13</v>
      </c>
      <c r="F231" s="3171"/>
      <c r="G231" s="3171"/>
    </row>
    <row r="232" spans="1:7">
      <c r="A232" s="3171">
        <v>230</v>
      </c>
      <c r="B232" s="3171">
        <v>61</v>
      </c>
      <c r="C232" s="3171" t="s">
        <v>5487</v>
      </c>
      <c r="D232" s="3153" t="s">
        <v>5434</v>
      </c>
      <c r="E232" s="3171">
        <v>146.58000000000001</v>
      </c>
      <c r="F232" s="3171"/>
      <c r="G232" s="3171"/>
    </row>
    <row r="233" spans="1:7">
      <c r="A233" s="3171">
        <v>231</v>
      </c>
      <c r="B233" s="3171">
        <v>61</v>
      </c>
      <c r="C233" s="3171" t="s">
        <v>5488</v>
      </c>
      <c r="D233" s="3153" t="s">
        <v>5434</v>
      </c>
      <c r="E233" s="3171">
        <v>147.13</v>
      </c>
      <c r="F233" s="3171"/>
      <c r="G233" s="3171"/>
    </row>
    <row r="234" spans="1:7">
      <c r="A234" s="3171">
        <v>232</v>
      </c>
      <c r="B234" s="3171">
        <v>61</v>
      </c>
      <c r="C234" s="3171" t="s">
        <v>5489</v>
      </c>
      <c r="D234" s="3153" t="s">
        <v>5434</v>
      </c>
      <c r="E234" s="3171">
        <v>146.58000000000001</v>
      </c>
      <c r="F234" s="3171"/>
      <c r="G234" s="3171"/>
    </row>
    <row r="235" spans="1:7">
      <c r="A235" s="3171">
        <v>233</v>
      </c>
      <c r="B235" s="3171">
        <v>61</v>
      </c>
      <c r="C235" s="3171" t="s">
        <v>5490</v>
      </c>
      <c r="D235" s="3153" t="s">
        <v>5434</v>
      </c>
      <c r="E235" s="3171">
        <v>147.13</v>
      </c>
      <c r="F235" s="3171"/>
      <c r="G235" s="3171"/>
    </row>
    <row r="236" spans="1:7">
      <c r="A236" s="3171">
        <v>234</v>
      </c>
      <c r="B236" s="3171">
        <v>61</v>
      </c>
      <c r="C236" s="3171">
        <v>-201</v>
      </c>
      <c r="D236" s="3153" t="s">
        <v>5497</v>
      </c>
      <c r="E236" s="3173">
        <v>25.43</v>
      </c>
      <c r="F236" s="3171"/>
      <c r="G236" s="3171"/>
    </row>
    <row r="237" spans="1:7">
      <c r="A237" s="3171">
        <v>235</v>
      </c>
      <c r="B237" s="3171">
        <v>61</v>
      </c>
      <c r="C237" s="3171">
        <v>-202</v>
      </c>
      <c r="D237" s="3153" t="s">
        <v>5497</v>
      </c>
      <c r="E237" s="3171">
        <v>30.57</v>
      </c>
      <c r="F237" s="3171"/>
      <c r="G237" s="3171"/>
    </row>
    <row r="238" spans="1:7">
      <c r="A238" s="3171">
        <v>236</v>
      </c>
      <c r="B238" s="3171">
        <v>61</v>
      </c>
      <c r="C238" s="3171">
        <v>-203</v>
      </c>
      <c r="D238" s="3153" t="s">
        <v>5497</v>
      </c>
      <c r="E238" s="3171">
        <v>23.19</v>
      </c>
      <c r="F238" s="3171"/>
      <c r="G238" s="3171"/>
    </row>
    <row r="239" spans="1:7">
      <c r="A239" s="3171">
        <v>237</v>
      </c>
      <c r="B239" s="3171">
        <v>61</v>
      </c>
      <c r="C239" s="3171">
        <v>-204</v>
      </c>
      <c r="D239" s="3153" t="s">
        <v>5497</v>
      </c>
      <c r="E239" s="3171">
        <v>24.65</v>
      </c>
      <c r="F239" s="3171"/>
      <c r="G239" s="3171"/>
    </row>
    <row r="240" spans="1:7">
      <c r="A240" s="3171">
        <v>238</v>
      </c>
      <c r="B240" s="3171">
        <v>61</v>
      </c>
      <c r="C240" s="3171">
        <v>-205</v>
      </c>
      <c r="D240" s="3153" t="s">
        <v>5497</v>
      </c>
      <c r="E240" s="3171">
        <v>11.32</v>
      </c>
      <c r="F240" s="3171"/>
      <c r="G240" s="3171"/>
    </row>
    <row r="241" spans="1:7">
      <c r="A241" s="3171">
        <v>239</v>
      </c>
      <c r="B241" s="3171">
        <v>61</v>
      </c>
      <c r="C241" s="3171">
        <v>-206</v>
      </c>
      <c r="D241" s="3153" t="s">
        <v>5497</v>
      </c>
      <c r="E241" s="3171">
        <v>19.09</v>
      </c>
      <c r="F241" s="3171"/>
      <c r="G241" s="3171"/>
    </row>
    <row r="242" spans="1:7">
      <c r="A242" s="3171">
        <v>240</v>
      </c>
      <c r="B242" s="3171">
        <v>61</v>
      </c>
      <c r="C242" s="3171">
        <v>-207</v>
      </c>
      <c r="D242" s="3153" t="s">
        <v>5497</v>
      </c>
      <c r="E242" s="3171">
        <v>23.62</v>
      </c>
      <c r="F242" s="3171"/>
      <c r="G242" s="3171"/>
    </row>
    <row r="243" spans="1:7">
      <c r="A243" s="3171">
        <v>241</v>
      </c>
      <c r="B243" s="3171">
        <v>61</v>
      </c>
      <c r="C243" s="3171">
        <v>-208</v>
      </c>
      <c r="D243" s="3153" t="s">
        <v>5497</v>
      </c>
      <c r="E243" s="3171">
        <v>23.62</v>
      </c>
      <c r="F243" s="3171"/>
      <c r="G243" s="3171"/>
    </row>
    <row r="244" spans="1:7">
      <c r="A244" s="3171">
        <v>242</v>
      </c>
      <c r="B244" s="3171">
        <v>61</v>
      </c>
      <c r="C244" s="3171">
        <v>-209</v>
      </c>
      <c r="D244" s="3153" t="s">
        <v>5497</v>
      </c>
      <c r="E244" s="3171">
        <v>11.32</v>
      </c>
      <c r="F244" s="3171"/>
      <c r="G244" s="3171"/>
    </row>
    <row r="245" spans="1:7">
      <c r="A245" s="3171">
        <v>243</v>
      </c>
      <c r="B245" s="3171">
        <v>61</v>
      </c>
      <c r="C245" s="3171">
        <v>-210</v>
      </c>
      <c r="D245" s="3153" t="s">
        <v>5497</v>
      </c>
      <c r="E245" s="3171">
        <v>20.100000000000001</v>
      </c>
      <c r="F245" s="3171"/>
      <c r="G245" s="3171"/>
    </row>
    <row r="246" spans="1:7">
      <c r="A246" s="3171">
        <v>244</v>
      </c>
      <c r="B246" s="3171">
        <v>61</v>
      </c>
      <c r="C246" s="3171">
        <v>-211</v>
      </c>
      <c r="D246" s="3153" t="s">
        <v>5497</v>
      </c>
      <c r="E246" s="3171">
        <v>18.29</v>
      </c>
      <c r="F246" s="3171"/>
      <c r="G246" s="3171"/>
    </row>
    <row r="247" spans="1:7">
      <c r="A247" s="3171">
        <v>245</v>
      </c>
      <c r="B247" s="3171">
        <v>61</v>
      </c>
      <c r="C247" s="3171">
        <v>-212</v>
      </c>
      <c r="D247" s="3153" t="s">
        <v>5497</v>
      </c>
      <c r="E247" s="3171">
        <v>17.440000000000001</v>
      </c>
      <c r="F247" s="3171"/>
      <c r="G247" s="3171"/>
    </row>
    <row r="248" spans="1:7">
      <c r="A248" s="3171">
        <v>246</v>
      </c>
      <c r="B248" s="3171">
        <v>61</v>
      </c>
      <c r="C248" s="3171">
        <v>-213</v>
      </c>
      <c r="D248" s="3153" t="s">
        <v>5497</v>
      </c>
      <c r="E248" s="3171">
        <v>26.04</v>
      </c>
      <c r="F248" s="3171"/>
      <c r="G248" s="3171"/>
    </row>
    <row r="249" spans="1:7">
      <c r="A249" s="3171">
        <v>247</v>
      </c>
      <c r="B249" s="3171">
        <v>61</v>
      </c>
      <c r="C249" s="3171">
        <v>-214</v>
      </c>
      <c r="D249" s="3153" t="s">
        <v>5497</v>
      </c>
      <c r="E249" s="3171">
        <v>26.04</v>
      </c>
      <c r="F249" s="3171"/>
      <c r="G249" s="3171"/>
    </row>
    <row r="250" spans="1:7">
      <c r="A250" s="3171">
        <v>248</v>
      </c>
      <c r="B250" s="3171">
        <v>61</v>
      </c>
      <c r="C250" s="3171">
        <v>-215</v>
      </c>
      <c r="D250" s="3153" t="s">
        <v>5497</v>
      </c>
      <c r="E250" s="3171">
        <v>17.440000000000001</v>
      </c>
      <c r="F250" s="3171"/>
      <c r="G250" s="3171"/>
    </row>
    <row r="251" spans="1:7">
      <c r="A251" s="3171">
        <v>249</v>
      </c>
      <c r="B251" s="3171">
        <v>61</v>
      </c>
      <c r="C251" s="3171">
        <v>-216</v>
      </c>
      <c r="D251" s="3153" t="s">
        <v>5497</v>
      </c>
      <c r="E251" s="3171">
        <v>18.29</v>
      </c>
      <c r="F251" s="3171"/>
      <c r="G251" s="3171"/>
    </row>
    <row r="252" spans="1:7">
      <c r="A252" s="3171">
        <v>250</v>
      </c>
      <c r="B252" s="3171">
        <v>61</v>
      </c>
      <c r="C252" s="3171">
        <v>-217</v>
      </c>
      <c r="D252" s="3153" t="s">
        <v>5497</v>
      </c>
      <c r="E252" s="3171">
        <v>20.100000000000001</v>
      </c>
      <c r="F252" s="3171"/>
      <c r="G252" s="3171"/>
    </row>
    <row r="253" spans="1:7">
      <c r="A253" s="3171">
        <v>251</v>
      </c>
      <c r="B253" s="3171">
        <v>61</v>
      </c>
      <c r="C253" s="3171">
        <v>-218</v>
      </c>
      <c r="D253" s="3153" t="s">
        <v>5497</v>
      </c>
      <c r="E253" s="3171">
        <v>11.32</v>
      </c>
      <c r="F253" s="3171"/>
      <c r="G253" s="3171"/>
    </row>
    <row r="254" spans="1:7">
      <c r="A254" s="3171">
        <v>252</v>
      </c>
      <c r="B254" s="3171">
        <v>61</v>
      </c>
      <c r="C254" s="3171">
        <v>-219</v>
      </c>
      <c r="D254" s="3153" t="s">
        <v>5497</v>
      </c>
      <c r="E254" s="3171">
        <v>19.09</v>
      </c>
      <c r="F254" s="3171"/>
      <c r="G254" s="3171"/>
    </row>
    <row r="255" spans="1:7">
      <c r="A255" s="3171">
        <v>253</v>
      </c>
      <c r="B255" s="3171">
        <v>61</v>
      </c>
      <c r="C255" s="3171">
        <v>-220</v>
      </c>
      <c r="D255" s="3153" t="s">
        <v>5497</v>
      </c>
      <c r="E255" s="3171">
        <v>23.62</v>
      </c>
      <c r="F255" s="3171"/>
      <c r="G255" s="3171"/>
    </row>
    <row r="256" spans="1:7">
      <c r="A256" s="3171">
        <v>254</v>
      </c>
      <c r="B256" s="3171">
        <v>61</v>
      </c>
      <c r="C256" s="3171">
        <v>-221</v>
      </c>
      <c r="D256" s="3153" t="s">
        <v>5497</v>
      </c>
      <c r="E256" s="3171">
        <v>23.62</v>
      </c>
      <c r="F256" s="3171"/>
      <c r="G256" s="3171"/>
    </row>
    <row r="257" spans="1:7">
      <c r="A257" s="3171">
        <v>255</v>
      </c>
      <c r="B257" s="3171">
        <v>61</v>
      </c>
      <c r="C257" s="3171">
        <v>-222</v>
      </c>
      <c r="D257" s="3153" t="s">
        <v>5497</v>
      </c>
      <c r="E257" s="3171">
        <v>19.09</v>
      </c>
      <c r="F257" s="3171"/>
      <c r="G257" s="3171"/>
    </row>
    <row r="258" spans="1:7">
      <c r="A258" s="3171">
        <v>256</v>
      </c>
      <c r="B258" s="3171">
        <v>61</v>
      </c>
      <c r="C258" s="3171">
        <v>-223</v>
      </c>
      <c r="D258" s="3153" t="s">
        <v>5497</v>
      </c>
      <c r="E258" s="3171">
        <v>11.32</v>
      </c>
      <c r="F258" s="3171"/>
      <c r="G258" s="3171"/>
    </row>
    <row r="259" spans="1:7">
      <c r="A259" s="3171">
        <v>257</v>
      </c>
      <c r="B259" s="3171">
        <v>61</v>
      </c>
      <c r="C259" s="3171">
        <v>-224</v>
      </c>
      <c r="D259" s="3153" t="s">
        <v>5497</v>
      </c>
      <c r="E259" s="3171">
        <v>22.05</v>
      </c>
      <c r="F259" s="3171"/>
      <c r="G259" s="3171"/>
    </row>
    <row r="260" spans="1:7">
      <c r="A260" s="3171">
        <v>258</v>
      </c>
      <c r="B260" s="3171">
        <v>61</v>
      </c>
      <c r="C260" s="3171">
        <v>-225</v>
      </c>
      <c r="D260" s="3153" t="s">
        <v>5497</v>
      </c>
      <c r="E260" s="3171">
        <v>20.100000000000001</v>
      </c>
      <c r="F260" s="3171"/>
      <c r="G260" s="3171"/>
    </row>
    <row r="261" spans="1:7">
      <c r="A261" s="3171">
        <v>259</v>
      </c>
      <c r="B261" s="3171">
        <v>61</v>
      </c>
      <c r="C261" s="3171">
        <v>-226</v>
      </c>
      <c r="D261" s="3153" t="s">
        <v>5497</v>
      </c>
      <c r="E261" s="3171">
        <v>18.29</v>
      </c>
      <c r="F261" s="3171"/>
      <c r="G261" s="3171"/>
    </row>
    <row r="262" spans="1:7">
      <c r="A262" s="3171">
        <v>260</v>
      </c>
      <c r="B262" s="3171">
        <v>61</v>
      </c>
      <c r="C262" s="3171">
        <v>-227</v>
      </c>
      <c r="D262" s="3153" t="s">
        <v>5497</v>
      </c>
      <c r="E262" s="3171">
        <v>17.440000000000001</v>
      </c>
      <c r="F262" s="3171"/>
      <c r="G262" s="3171"/>
    </row>
    <row r="263" spans="1:7">
      <c r="A263" s="3171">
        <v>261</v>
      </c>
      <c r="B263" s="3171">
        <v>61</v>
      </c>
      <c r="C263" s="3171">
        <v>-228</v>
      </c>
      <c r="D263" s="3153" t="s">
        <v>5497</v>
      </c>
      <c r="E263" s="3171">
        <v>26.04</v>
      </c>
      <c r="F263" s="3171"/>
      <c r="G263" s="3171"/>
    </row>
    <row r="264" spans="1:7">
      <c r="A264" s="3171">
        <v>262</v>
      </c>
      <c r="B264" s="3171">
        <v>61</v>
      </c>
      <c r="C264" s="3171">
        <v>-229</v>
      </c>
      <c r="D264" s="3153" t="s">
        <v>5497</v>
      </c>
      <c r="E264" s="3171">
        <v>17.440000000000001</v>
      </c>
      <c r="F264" s="3171"/>
      <c r="G264" s="3171"/>
    </row>
    <row r="265" spans="1:7">
      <c r="A265" s="3171">
        <v>263</v>
      </c>
      <c r="B265" s="3171">
        <v>61</v>
      </c>
      <c r="C265" s="3171">
        <v>-230</v>
      </c>
      <c r="D265" s="3153" t="s">
        <v>5497</v>
      </c>
      <c r="E265" s="3171">
        <v>18.29</v>
      </c>
      <c r="F265" s="3171"/>
      <c r="G265" s="3171"/>
    </row>
    <row r="266" spans="1:7">
      <c r="A266" s="3171">
        <v>264</v>
      </c>
      <c r="B266" s="3171">
        <v>61</v>
      </c>
      <c r="C266" s="3171">
        <v>-231</v>
      </c>
      <c r="D266" s="3153" t="s">
        <v>5497</v>
      </c>
      <c r="E266" s="3171">
        <v>20.27</v>
      </c>
      <c r="F266" s="3171"/>
      <c r="G266" s="3171"/>
    </row>
    <row r="267" spans="1:7">
      <c r="A267" s="3171">
        <v>265</v>
      </c>
      <c r="B267" s="3171">
        <v>61</v>
      </c>
      <c r="C267" s="3171">
        <v>-232</v>
      </c>
      <c r="D267" s="3153" t="s">
        <v>5497</v>
      </c>
      <c r="E267" s="3171">
        <v>11.32</v>
      </c>
      <c r="F267" s="3171"/>
      <c r="G267" s="3171"/>
    </row>
    <row r="268" spans="1:7">
      <c r="A268" s="3171">
        <v>266</v>
      </c>
      <c r="B268" s="3171">
        <v>61</v>
      </c>
      <c r="C268" s="3171">
        <v>-233</v>
      </c>
      <c r="D268" s="3153" t="s">
        <v>5497</v>
      </c>
      <c r="E268" s="3171">
        <v>19.09</v>
      </c>
      <c r="F268" s="3171"/>
      <c r="G268" s="3171"/>
    </row>
    <row r="269" spans="1:7">
      <c r="A269" s="3171">
        <v>267</v>
      </c>
      <c r="B269" s="3171">
        <v>61</v>
      </c>
      <c r="C269" s="3171">
        <v>-234</v>
      </c>
      <c r="D269" s="3153" t="s">
        <v>5497</v>
      </c>
      <c r="E269" s="3171">
        <v>19.09</v>
      </c>
      <c r="F269" s="3171"/>
      <c r="G269" s="3171"/>
    </row>
    <row r="270" spans="1:7">
      <c r="A270" s="3171">
        <v>268</v>
      </c>
      <c r="B270" s="3171">
        <v>61</v>
      </c>
      <c r="C270" s="3171">
        <v>-235</v>
      </c>
      <c r="D270" s="3153" t="s">
        <v>5497</v>
      </c>
      <c r="E270" s="3171">
        <v>11.32</v>
      </c>
      <c r="F270" s="3171"/>
      <c r="G270" s="3171"/>
    </row>
    <row r="271" spans="1:7">
      <c r="A271" s="3171">
        <v>269</v>
      </c>
      <c r="B271" s="3171">
        <v>61</v>
      </c>
      <c r="C271" s="3171">
        <v>-236</v>
      </c>
      <c r="D271" s="3153" t="s">
        <v>5497</v>
      </c>
      <c r="E271" s="3171">
        <v>22.05</v>
      </c>
      <c r="F271" s="3171"/>
      <c r="G271" s="3171"/>
    </row>
    <row r="272" spans="1:7">
      <c r="A272" s="3171">
        <v>270</v>
      </c>
      <c r="B272" s="3171">
        <v>61</v>
      </c>
      <c r="C272" s="3171">
        <v>-237</v>
      </c>
      <c r="D272" s="3153" t="s">
        <v>5497</v>
      </c>
      <c r="E272" s="3171">
        <v>20.100000000000001</v>
      </c>
      <c r="F272" s="3171"/>
      <c r="G272" s="3171"/>
    </row>
    <row r="273" spans="1:7">
      <c r="A273" s="3171">
        <v>271</v>
      </c>
      <c r="B273" s="3171">
        <v>61</v>
      </c>
      <c r="C273" s="3171">
        <v>-238</v>
      </c>
      <c r="D273" s="3153" t="s">
        <v>5497</v>
      </c>
      <c r="E273" s="3171">
        <v>18.29</v>
      </c>
      <c r="F273" s="3171"/>
      <c r="G273" s="3171"/>
    </row>
    <row r="274" spans="1:7">
      <c r="A274" s="3171">
        <v>272</v>
      </c>
      <c r="B274" s="3171">
        <v>61</v>
      </c>
      <c r="C274" s="3171">
        <v>-239</v>
      </c>
      <c r="D274" s="3153" t="s">
        <v>5497</v>
      </c>
      <c r="E274" s="3171">
        <v>17.440000000000001</v>
      </c>
      <c r="F274" s="3171"/>
      <c r="G274" s="3171"/>
    </row>
    <row r="275" spans="1:7">
      <c r="A275" s="3171">
        <v>273</v>
      </c>
      <c r="B275" s="3171">
        <v>61</v>
      </c>
      <c r="C275" s="3171">
        <v>-240</v>
      </c>
      <c r="D275" s="3153" t="s">
        <v>5497</v>
      </c>
      <c r="E275" s="3171">
        <v>26.04</v>
      </c>
      <c r="F275" s="3171"/>
      <c r="G275" s="3171"/>
    </row>
    <row r="276" spans="1:7">
      <c r="A276" s="3171">
        <v>274</v>
      </c>
      <c r="B276" s="3171">
        <v>61</v>
      </c>
      <c r="C276" s="3171">
        <v>-241</v>
      </c>
      <c r="D276" s="3153" t="s">
        <v>5497</v>
      </c>
      <c r="E276" s="3171">
        <v>17.440000000000001</v>
      </c>
      <c r="F276" s="3171"/>
      <c r="G276" s="3171"/>
    </row>
    <row r="277" spans="1:7">
      <c r="A277" s="3171">
        <v>275</v>
      </c>
      <c r="B277" s="3171">
        <v>61</v>
      </c>
      <c r="C277" s="3171">
        <v>-242</v>
      </c>
      <c r="D277" s="3153" t="s">
        <v>5497</v>
      </c>
      <c r="E277" s="3171">
        <v>18.29</v>
      </c>
      <c r="F277" s="3171"/>
      <c r="G277" s="3171"/>
    </row>
    <row r="278" spans="1:7">
      <c r="A278" s="3171">
        <v>276</v>
      </c>
      <c r="B278" s="3171">
        <v>61</v>
      </c>
      <c r="C278" s="3171">
        <v>-243</v>
      </c>
      <c r="D278" s="3153" t="s">
        <v>5497</v>
      </c>
      <c r="E278" s="3171">
        <v>20.100000000000001</v>
      </c>
      <c r="F278" s="3171"/>
      <c r="G278" s="3171"/>
    </row>
    <row r="279" spans="1:7">
      <c r="A279" s="3171">
        <v>277</v>
      </c>
      <c r="B279" s="3171">
        <v>61</v>
      </c>
      <c r="C279" s="3171">
        <v>-244</v>
      </c>
      <c r="D279" s="3153" t="s">
        <v>5497</v>
      </c>
      <c r="E279" s="3171">
        <v>11.32</v>
      </c>
      <c r="F279" s="3171"/>
      <c r="G279" s="3171"/>
    </row>
    <row r="280" spans="1:7">
      <c r="A280" s="3171">
        <v>278</v>
      </c>
      <c r="B280" s="3171">
        <v>61</v>
      </c>
      <c r="C280" s="3171">
        <v>-245</v>
      </c>
      <c r="D280" s="3153" t="s">
        <v>5497</v>
      </c>
      <c r="E280" s="3171">
        <v>19.09</v>
      </c>
      <c r="F280" s="3171"/>
      <c r="G280" s="3171"/>
    </row>
    <row r="281" spans="1:7">
      <c r="A281" s="3171">
        <v>279</v>
      </c>
      <c r="B281" s="3171">
        <v>61</v>
      </c>
      <c r="C281" s="3171">
        <v>-246</v>
      </c>
      <c r="D281" s="3153" t="s">
        <v>5497</v>
      </c>
      <c r="E281" s="3171">
        <v>23.62</v>
      </c>
      <c r="F281" s="3171"/>
      <c r="G281" s="3171"/>
    </row>
    <row r="282" spans="1:7">
      <c r="A282" s="3171">
        <v>280</v>
      </c>
      <c r="B282" s="3171">
        <v>61</v>
      </c>
      <c r="C282" s="3171">
        <v>-247</v>
      </c>
      <c r="D282" s="3153" t="s">
        <v>5497</v>
      </c>
      <c r="E282" s="3171">
        <v>23.62</v>
      </c>
      <c r="F282" s="3171"/>
      <c r="G282" s="3171"/>
    </row>
    <row r="283" spans="1:7">
      <c r="A283" s="3171">
        <v>281</v>
      </c>
      <c r="B283" s="3171">
        <v>61</v>
      </c>
      <c r="C283" s="3171">
        <v>-248</v>
      </c>
      <c r="D283" s="3153" t="s">
        <v>5497</v>
      </c>
      <c r="E283" s="3171">
        <v>19.09</v>
      </c>
      <c r="F283" s="3171"/>
      <c r="G283" s="3171"/>
    </row>
    <row r="284" spans="1:7">
      <c r="A284" s="3171">
        <v>282</v>
      </c>
      <c r="B284" s="3171">
        <v>61</v>
      </c>
      <c r="C284" s="3171">
        <v>-249</v>
      </c>
      <c r="D284" s="3153" t="s">
        <v>5497</v>
      </c>
      <c r="E284" s="3171">
        <v>11.32</v>
      </c>
      <c r="F284" s="3171"/>
      <c r="G284" s="3171"/>
    </row>
    <row r="285" spans="1:7">
      <c r="A285" s="3171">
        <v>283</v>
      </c>
      <c r="B285" s="3171">
        <v>61</v>
      </c>
      <c r="C285" s="3171">
        <v>-250</v>
      </c>
      <c r="D285" s="3153" t="s">
        <v>5497</v>
      </c>
      <c r="E285" s="3171">
        <v>18.14</v>
      </c>
      <c r="F285" s="3171"/>
      <c r="G285" s="3171"/>
    </row>
    <row r="286" spans="1:7">
      <c r="A286" s="3171">
        <v>284</v>
      </c>
      <c r="B286" s="3171">
        <v>61</v>
      </c>
      <c r="C286" s="3171">
        <v>-251</v>
      </c>
      <c r="D286" s="3153" t="s">
        <v>5497</v>
      </c>
      <c r="E286" s="3171">
        <v>24.73</v>
      </c>
      <c r="F286" s="3171"/>
      <c r="G286" s="3171"/>
    </row>
    <row r="287" spans="1:7">
      <c r="A287" s="3171">
        <v>285</v>
      </c>
      <c r="B287" s="3171">
        <v>61</v>
      </c>
      <c r="C287" s="3171">
        <v>-252</v>
      </c>
      <c r="D287" s="3153" t="s">
        <v>5497</v>
      </c>
      <c r="E287" s="3171">
        <v>25.89</v>
      </c>
      <c r="F287" s="3171"/>
      <c r="G287" s="3171"/>
    </row>
    <row r="288" spans="1:7">
      <c r="E288" s="3170">
        <f>SUM(E3:E287)</f>
        <v>27139.140000000025</v>
      </c>
    </row>
  </sheetData>
  <autoFilter ref="A2:G288" xr:uid="{00000000-0009-0000-0000-000011000000}"/>
  <phoneticPr fontId="1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9498-B0C1-4511-8AF5-7C166A47A752}">
  <dimension ref="A1:J64"/>
  <sheetViews>
    <sheetView topLeftCell="A52" zoomScale="115" zoomScaleNormal="115" workbookViewId="0">
      <selection activeCell="D72" sqref="D72"/>
    </sheetView>
  </sheetViews>
  <sheetFormatPr defaultRowHeight="15"/>
  <cols>
    <col min="1" max="2" width="9" style="3200"/>
    <col min="3" max="3" width="10.75" style="3200" customWidth="1"/>
    <col min="4" max="4" width="50.5" style="3200" bestFit="1" customWidth="1"/>
    <col min="5" max="5" width="12.75" style="3200" bestFit="1" customWidth="1"/>
    <col min="6" max="6" width="8" style="3201" bestFit="1" customWidth="1"/>
    <col min="7" max="8" width="9" style="3200"/>
    <col min="9" max="9" width="10.5" style="3200" customWidth="1"/>
    <col min="10" max="10" width="13.875" style="3200" customWidth="1"/>
    <col min="11" max="16384" width="9" style="3200"/>
  </cols>
  <sheetData>
    <row r="1" spans="1:9" ht="30">
      <c r="A1" s="3203" t="s">
        <v>5526</v>
      </c>
      <c r="B1" s="3204" t="s">
        <v>3489</v>
      </c>
      <c r="C1" s="3204" t="s">
        <v>5522</v>
      </c>
      <c r="D1" s="3204" t="s">
        <v>5302</v>
      </c>
      <c r="E1" s="3204" t="s">
        <v>5524</v>
      </c>
      <c r="F1" s="3205" t="s">
        <v>5531</v>
      </c>
      <c r="G1" s="3204" t="s">
        <v>5523</v>
      </c>
      <c r="H1" s="3206" t="s">
        <v>5530</v>
      </c>
      <c r="I1" s="3199"/>
    </row>
    <row r="2" spans="1:9">
      <c r="A2" s="3203">
        <v>1</v>
      </c>
      <c r="B2" s="3207" t="s">
        <v>5525</v>
      </c>
      <c r="C2" s="3208">
        <v>408.37999999999994</v>
      </c>
      <c r="D2" s="3203" t="str">
        <f>规证及工程进度!T122</f>
        <v>主体结构已封顶，正在进行二次结构施工及外立面施工</v>
      </c>
      <c r="E2" s="3203">
        <f>规证及工程进度!P122</f>
        <v>1226.42</v>
      </c>
      <c r="F2" s="3203">
        <f>规证及工程进度!H122</f>
        <v>2</v>
      </c>
      <c r="G2" s="3203">
        <f>规证及工程进度!I122</f>
        <v>3</v>
      </c>
      <c r="H2" s="3209">
        <f>规证及工程进度!Q122</f>
        <v>0.5</v>
      </c>
    </row>
    <row r="3" spans="1:9">
      <c r="A3" s="3203">
        <v>2</v>
      </c>
      <c r="B3" s="3207" t="s">
        <v>5304</v>
      </c>
      <c r="C3" s="3208">
        <v>2107.46</v>
      </c>
      <c r="D3" s="3203" t="str">
        <f>规证及工程进度!T123</f>
        <v>主体结构已封顶，正在进行二次结构施工及外立面施工</v>
      </c>
      <c r="E3" s="3203">
        <f>规证及工程进度!P123</f>
        <v>2409.16</v>
      </c>
      <c r="F3" s="3203">
        <f>规证及工程进度!H123</f>
        <v>2</v>
      </c>
      <c r="G3" s="3203">
        <f>规证及工程进度!I123</f>
        <v>3</v>
      </c>
      <c r="H3" s="3209">
        <f>规证及工程进度!Q123</f>
        <v>0.5</v>
      </c>
    </row>
    <row r="4" spans="1:9">
      <c r="A4" s="3203">
        <v>3</v>
      </c>
      <c r="B4" s="3207" t="s">
        <v>5305</v>
      </c>
      <c r="C4" s="3208">
        <v>2108.15</v>
      </c>
      <c r="D4" s="3203" t="str">
        <f>规证及工程进度!T124</f>
        <v>主体结构已封顶，正在进行二次结构施工及外立面施工</v>
      </c>
      <c r="E4" s="3203">
        <f>规证及工程进度!P124</f>
        <v>2408.44</v>
      </c>
      <c r="F4" s="3203">
        <f>规证及工程进度!H124</f>
        <v>2</v>
      </c>
      <c r="G4" s="3203">
        <f>规证及工程进度!I124</f>
        <v>3</v>
      </c>
      <c r="H4" s="3209">
        <f>规证及工程进度!Q124</f>
        <v>0.5</v>
      </c>
    </row>
    <row r="5" spans="1:9">
      <c r="A5" s="3203">
        <v>4</v>
      </c>
      <c r="B5" s="3207" t="s">
        <v>5306</v>
      </c>
      <c r="C5" s="3208">
        <v>2108.15</v>
      </c>
      <c r="D5" s="3203" t="str">
        <f>规证及工程进度!T125</f>
        <v>主体结构已封顶，正在进行二次结构施工及外立面施工</v>
      </c>
      <c r="E5" s="3203">
        <f>规证及工程进度!P125</f>
        <v>2408.44</v>
      </c>
      <c r="F5" s="3203">
        <f>规证及工程进度!H125</f>
        <v>2</v>
      </c>
      <c r="G5" s="3203">
        <f>规证及工程进度!I125</f>
        <v>3</v>
      </c>
      <c r="H5" s="3209">
        <f>规证及工程进度!Q125</f>
        <v>0.5</v>
      </c>
    </row>
    <row r="6" spans="1:9">
      <c r="A6" s="3203">
        <v>5</v>
      </c>
      <c r="B6" s="3207" t="s">
        <v>5307</v>
      </c>
      <c r="C6" s="3210">
        <v>622.04000000000008</v>
      </c>
      <c r="D6" s="3203" t="str">
        <f>规证及工程进度!T126</f>
        <v>主体结构已封顶，正在进行二次结构施工及外立面施工</v>
      </c>
      <c r="E6" s="3203">
        <f>规证及工程进度!P126</f>
        <v>931.81</v>
      </c>
      <c r="F6" s="3203">
        <f>规证及工程进度!H126</f>
        <v>2</v>
      </c>
      <c r="G6" s="3203">
        <f>规证及工程进度!I126</f>
        <v>3</v>
      </c>
      <c r="H6" s="3209">
        <f>规证及工程进度!Q126</f>
        <v>0.5</v>
      </c>
    </row>
    <row r="7" spans="1:9">
      <c r="A7" s="3203">
        <v>6</v>
      </c>
      <c r="B7" s="3207" t="s">
        <v>5308</v>
      </c>
      <c r="C7" s="3208">
        <v>619.83000000000004</v>
      </c>
      <c r="D7" s="3203" t="str">
        <f>规证及工程进度!T127</f>
        <v>主体结构已封顶，正在进行二次结构施工及外立面施工</v>
      </c>
      <c r="E7" s="3203">
        <f>规证及工程进度!P127</f>
        <v>1241.02</v>
      </c>
      <c r="F7" s="3203">
        <f>规证及工程进度!H127</f>
        <v>2</v>
      </c>
      <c r="G7" s="3203">
        <f>规证及工程进度!I127</f>
        <v>3</v>
      </c>
      <c r="H7" s="3209">
        <f>规证及工程进度!Q127</f>
        <v>0.5</v>
      </c>
    </row>
    <row r="8" spans="1:9">
      <c r="A8" s="3203">
        <v>7</v>
      </c>
      <c r="B8" s="3207" t="s">
        <v>5309</v>
      </c>
      <c r="C8" s="3208">
        <v>1204.58</v>
      </c>
      <c r="D8" s="3203" t="str">
        <f>规证及工程进度!T128</f>
        <v>主体结构已封顶，正在进行二次结构施工及外立面施工</v>
      </c>
      <c r="E8" s="3203">
        <f>规证及工程进度!P128</f>
        <v>2409.16</v>
      </c>
      <c r="F8" s="3203">
        <f>规证及工程进度!H128</f>
        <v>2</v>
      </c>
      <c r="G8" s="3203">
        <f>规证及工程进度!I128</f>
        <v>3</v>
      </c>
      <c r="H8" s="3209">
        <f>规证及工程进度!Q128</f>
        <v>0.5</v>
      </c>
    </row>
    <row r="9" spans="1:9">
      <c r="A9" s="3203">
        <v>8</v>
      </c>
      <c r="B9" s="3207" t="s">
        <v>5310</v>
      </c>
      <c r="C9" s="3208">
        <v>903.93</v>
      </c>
      <c r="D9" s="3203" t="str">
        <f>规证及工程进度!T129</f>
        <v>主体结构已封顶，正在进行二次结构施工及外立面施工</v>
      </c>
      <c r="E9" s="3203">
        <f>规证及工程进度!P129</f>
        <v>2408.44</v>
      </c>
      <c r="F9" s="3203">
        <f>规证及工程进度!H129</f>
        <v>2</v>
      </c>
      <c r="G9" s="3203">
        <f>规证及工程进度!I129</f>
        <v>3</v>
      </c>
      <c r="H9" s="3209">
        <f>规证及工程进度!Q129</f>
        <v>0.5</v>
      </c>
    </row>
    <row r="10" spans="1:9">
      <c r="A10" s="3203">
        <v>9</v>
      </c>
      <c r="B10" s="3207" t="s">
        <v>5311</v>
      </c>
      <c r="C10" s="3208">
        <v>902.87999999999988</v>
      </c>
      <c r="D10" s="3203" t="str">
        <f>规证及工程进度!T130</f>
        <v>主体结构已封顶，正在进行二次结构施工及外立面施工</v>
      </c>
      <c r="E10" s="3203">
        <f>规证及工程进度!P130</f>
        <v>2409.16</v>
      </c>
      <c r="F10" s="3203">
        <f>规证及工程进度!H130</f>
        <v>2</v>
      </c>
      <c r="G10" s="3203">
        <f>规证及工程进度!I130</f>
        <v>3</v>
      </c>
      <c r="H10" s="3209">
        <f>规证及工程进度!Q130</f>
        <v>0.5</v>
      </c>
    </row>
    <row r="11" spans="1:9">
      <c r="A11" s="3203">
        <v>10</v>
      </c>
      <c r="B11" s="3207" t="s">
        <v>5312</v>
      </c>
      <c r="C11" s="3208">
        <v>1805.2199999999998</v>
      </c>
      <c r="D11" s="3203" t="str">
        <f>规证及工程进度!T131</f>
        <v>主体结构已封顶，正在进行二次结构施工及外立面施工</v>
      </c>
      <c r="E11" s="3203">
        <f>规证及工程进度!P131</f>
        <v>2408.44</v>
      </c>
      <c r="F11" s="3203">
        <f>规证及工程进度!H131</f>
        <v>2</v>
      </c>
      <c r="G11" s="3203">
        <f>规证及工程进度!I131</f>
        <v>3</v>
      </c>
      <c r="H11" s="3209">
        <f>规证及工程进度!Q131</f>
        <v>0.5</v>
      </c>
    </row>
    <row r="12" spans="1:9">
      <c r="A12" s="3203">
        <v>11</v>
      </c>
      <c r="B12" s="3207" t="s">
        <v>5313</v>
      </c>
      <c r="C12" s="3208">
        <v>1632.96</v>
      </c>
      <c r="D12" s="3203" t="str">
        <f>规证及工程进度!T132</f>
        <v>主体结构已封顶，正在进行二次结构施工及外立面施工</v>
      </c>
      <c r="E12" s="3203">
        <f>规证及工程进度!P132</f>
        <v>1632.96</v>
      </c>
      <c r="F12" s="3203">
        <f>规证及工程进度!H132</f>
        <v>2</v>
      </c>
      <c r="G12" s="3203">
        <f>规证及工程进度!I132</f>
        <v>3</v>
      </c>
      <c r="H12" s="3209">
        <f>规证及工程进度!Q132</f>
        <v>0.5</v>
      </c>
    </row>
    <row r="13" spans="1:9">
      <c r="A13" s="3203">
        <v>12</v>
      </c>
      <c r="B13" s="3207" t="s">
        <v>5314</v>
      </c>
      <c r="C13" s="3208">
        <v>0</v>
      </c>
      <c r="D13" s="3203" t="str">
        <f>规证及工程进度!T133</f>
        <v>B3层底板施工，正在进行B3层主体结构施工</v>
      </c>
      <c r="E13" s="3203">
        <f>规证及工程进度!P133</f>
        <v>1632.57</v>
      </c>
      <c r="F13" s="3203">
        <f>规证及工程进度!H133</f>
        <v>2</v>
      </c>
      <c r="G13" s="3203">
        <f>规证及工程进度!I133</f>
        <v>3</v>
      </c>
      <c r="H13" s="3209">
        <f>规证及工程进度!Q133</f>
        <v>0</v>
      </c>
    </row>
    <row r="14" spans="1:9">
      <c r="A14" s="3203">
        <v>13</v>
      </c>
      <c r="B14" s="3207" t="s">
        <v>5315</v>
      </c>
      <c r="C14" s="3208">
        <v>0</v>
      </c>
      <c r="D14" s="3203" t="str">
        <f>规证及工程进度!T134</f>
        <v>B3层底板施工，正在进行B3层主体结构施工</v>
      </c>
      <c r="E14" s="3203">
        <f>规证及工程进度!P134</f>
        <v>2405.2600000000002</v>
      </c>
      <c r="F14" s="3203">
        <f>规证及工程进度!H134</f>
        <v>2</v>
      </c>
      <c r="G14" s="3203">
        <f>规证及工程进度!I134</f>
        <v>3</v>
      </c>
      <c r="H14" s="3209">
        <f>规证及工程进度!Q134</f>
        <v>0</v>
      </c>
    </row>
    <row r="15" spans="1:9">
      <c r="A15" s="3203">
        <v>14</v>
      </c>
      <c r="B15" s="3207" t="s">
        <v>5316</v>
      </c>
      <c r="C15" s="3208">
        <v>0</v>
      </c>
      <c r="D15" s="3203" t="str">
        <f>规证及工程进度!T135</f>
        <v>B3层梁板施工完成，正在进行B2层主体结构施工</v>
      </c>
      <c r="E15" s="3203">
        <f>规证及工程进度!P135</f>
        <v>683.85</v>
      </c>
      <c r="F15" s="3203">
        <f>规证及工程进度!H135</f>
        <v>2</v>
      </c>
      <c r="G15" s="3203">
        <f>规证及工程进度!I135</f>
        <v>3</v>
      </c>
      <c r="H15" s="3209">
        <f>规证及工程进度!Q135</f>
        <v>0</v>
      </c>
    </row>
    <row r="16" spans="1:9">
      <c r="A16" s="3203">
        <v>15</v>
      </c>
      <c r="B16" s="3207" t="s">
        <v>5317</v>
      </c>
      <c r="C16" s="3208">
        <v>0</v>
      </c>
      <c r="D16" s="3203" t="str">
        <f>规证及工程进度!T136</f>
        <v>B3层梁板施工完成，正在进行B2层主体结构施工</v>
      </c>
      <c r="E16" s="3203">
        <f>规证及工程进度!P136</f>
        <v>1019.07</v>
      </c>
      <c r="F16" s="3203">
        <f>规证及工程进度!H136</f>
        <v>2</v>
      </c>
      <c r="G16" s="3203">
        <f>规证及工程进度!I136</f>
        <v>3</v>
      </c>
      <c r="H16" s="3209">
        <f>规证及工程进度!Q136</f>
        <v>0</v>
      </c>
    </row>
    <row r="17" spans="1:8">
      <c r="A17" s="3203">
        <v>16</v>
      </c>
      <c r="B17" s="3207" t="s">
        <v>5318</v>
      </c>
      <c r="C17" s="3208">
        <v>0</v>
      </c>
      <c r="D17" s="3203" t="str">
        <f>规证及工程进度!T137</f>
        <v>B3层梁板施工完成，正在进行B2层主体结构施工</v>
      </c>
      <c r="E17" s="3203">
        <f>规证及工程进度!P137</f>
        <v>1806.88</v>
      </c>
      <c r="F17" s="3203">
        <f>规证及工程进度!H137</f>
        <v>2</v>
      </c>
      <c r="G17" s="3203">
        <f>规证及工程进度!I137</f>
        <v>3</v>
      </c>
      <c r="H17" s="3209">
        <f>规证及工程进度!Q137</f>
        <v>0</v>
      </c>
    </row>
    <row r="18" spans="1:8">
      <c r="A18" s="3203">
        <v>17</v>
      </c>
      <c r="B18" s="3207" t="s">
        <v>5319</v>
      </c>
      <c r="C18" s="3208">
        <v>0</v>
      </c>
      <c r="D18" s="3203" t="str">
        <f>规证及工程进度!T138</f>
        <v>B3层梁板施工完成，正在进行B2层主体结构施工</v>
      </c>
      <c r="E18" s="3203">
        <f>规证及工程进度!P138</f>
        <v>1206.08</v>
      </c>
      <c r="F18" s="3203">
        <f>规证及工程进度!H138</f>
        <v>2</v>
      </c>
      <c r="G18" s="3203">
        <f>规证及工程进度!I138</f>
        <v>3</v>
      </c>
      <c r="H18" s="3209">
        <f>规证及工程进度!Q138</f>
        <v>0</v>
      </c>
    </row>
    <row r="19" spans="1:8">
      <c r="A19" s="3203">
        <v>18</v>
      </c>
      <c r="B19" s="3207" t="s">
        <v>5320</v>
      </c>
      <c r="C19" s="3208">
        <v>419.65</v>
      </c>
      <c r="D19" s="3203" t="str">
        <f>规证及工程进度!T139</f>
        <v>B2层主体基本已完成、正在进行B2层梁板施工</v>
      </c>
      <c r="E19" s="3203">
        <f>规证及工程进度!P139</f>
        <v>1515.42</v>
      </c>
      <c r="F19" s="3203">
        <f>规证及工程进度!H139</f>
        <v>2</v>
      </c>
      <c r="G19" s="3203">
        <f>规证及工程进度!I139</f>
        <v>3</v>
      </c>
      <c r="H19" s="3209">
        <f>规证及工程进度!Q139</f>
        <v>0.125</v>
      </c>
    </row>
    <row r="20" spans="1:8">
      <c r="A20" s="3203">
        <v>19</v>
      </c>
      <c r="B20" s="3207" t="s">
        <v>5321</v>
      </c>
      <c r="C20" s="3208">
        <v>334.96</v>
      </c>
      <c r="D20" s="3203" t="str">
        <f>规证及工程进度!T140</f>
        <v>B2层主体基本已完成、正在进行B2层梁板施工</v>
      </c>
      <c r="E20" s="3203">
        <f>规证及工程进度!P140</f>
        <v>1206.72</v>
      </c>
      <c r="F20" s="3203">
        <f>规证及工程进度!H140</f>
        <v>2</v>
      </c>
      <c r="G20" s="3203">
        <f>规证及工程进度!I140</f>
        <v>3</v>
      </c>
      <c r="H20" s="3209">
        <f>规证及工程进度!Q140</f>
        <v>0.125</v>
      </c>
    </row>
    <row r="21" spans="1:8">
      <c r="A21" s="3203">
        <v>20</v>
      </c>
      <c r="B21" s="3207" t="s">
        <v>5322</v>
      </c>
      <c r="C21" s="3208">
        <v>597.08000000000004</v>
      </c>
      <c r="D21" s="3203" t="str">
        <f>规证及工程进度!T141</f>
        <v>B2层主体基本已完成、正在进行B2层梁板施工</v>
      </c>
      <c r="E21" s="3203">
        <f>规证及工程进度!P141</f>
        <v>1903.42</v>
      </c>
      <c r="F21" s="3203">
        <f>规证及工程进度!H141</f>
        <v>2</v>
      </c>
      <c r="G21" s="3203">
        <f>规证及工程进度!I141</f>
        <v>3</v>
      </c>
      <c r="H21" s="3209">
        <f>规证及工程进度!Q141</f>
        <v>0.125</v>
      </c>
    </row>
    <row r="22" spans="1:8">
      <c r="A22" s="3203">
        <v>21</v>
      </c>
      <c r="B22" s="3207" t="s">
        <v>5323</v>
      </c>
      <c r="C22" s="3208">
        <v>735.14</v>
      </c>
      <c r="D22" s="3203" t="str">
        <f>规证及工程进度!T142</f>
        <v>B1层主体基本已完成、正在进行B1层梁板施工</v>
      </c>
      <c r="E22" s="3203">
        <f>规证及工程进度!P142</f>
        <v>1271.08</v>
      </c>
      <c r="F22" s="3203">
        <f>规证及工程进度!H142</f>
        <v>2</v>
      </c>
      <c r="G22" s="3203">
        <f>规证及工程进度!I142</f>
        <v>3</v>
      </c>
      <c r="H22" s="3209">
        <f>规证及工程进度!Q142</f>
        <v>0.25</v>
      </c>
    </row>
    <row r="23" spans="1:8">
      <c r="A23" s="3203">
        <v>22</v>
      </c>
      <c r="B23" s="3207" t="s">
        <v>5324</v>
      </c>
      <c r="C23" s="3208">
        <v>470.53999999999996</v>
      </c>
      <c r="D23" s="3203" t="str">
        <f>规证及工程进度!T143</f>
        <v>1层梁板施工完成，正在进行2层主体结构施工</v>
      </c>
      <c r="E23" s="3203">
        <f>规证及工程进度!P143</f>
        <v>1206.08</v>
      </c>
      <c r="F23" s="3203">
        <f>规证及工程进度!H143</f>
        <v>2</v>
      </c>
      <c r="G23" s="3203">
        <f>规证及工程进度!I143</f>
        <v>3</v>
      </c>
      <c r="H23" s="3209">
        <f>规证及工程进度!Q143</f>
        <v>0.375</v>
      </c>
    </row>
    <row r="24" spans="1:8">
      <c r="A24" s="3203">
        <v>23</v>
      </c>
      <c r="B24" s="3207" t="s">
        <v>5325</v>
      </c>
      <c r="C24" s="3208">
        <v>335.79999999999995</v>
      </c>
      <c r="D24" s="3203" t="str">
        <f>规证及工程进度!T144</f>
        <v>B1层主体基本已完成、正在进行B1层梁板施工</v>
      </c>
      <c r="E24" s="3203">
        <f>规证及工程进度!P144</f>
        <v>2405.96</v>
      </c>
      <c r="F24" s="3203">
        <f>规证及工程进度!H144</f>
        <v>2</v>
      </c>
      <c r="G24" s="3203">
        <f>规证及工程进度!I144</f>
        <v>3</v>
      </c>
      <c r="H24" s="3209">
        <f>规证及工程进度!Q144</f>
        <v>0.25</v>
      </c>
    </row>
    <row r="25" spans="1:8">
      <c r="A25" s="3203">
        <v>24</v>
      </c>
      <c r="B25" s="3207" t="s">
        <v>5326</v>
      </c>
      <c r="C25" s="3208">
        <v>0</v>
      </c>
      <c r="D25" s="3203" t="str">
        <f>规证及工程进度!T145</f>
        <v>B3层梁板施工完成，正在进行B2层主体结构施工</v>
      </c>
      <c r="E25" s="3203">
        <f>规证及工程进度!P145</f>
        <v>2115.65</v>
      </c>
      <c r="F25" s="3203">
        <f>规证及工程进度!H145</f>
        <v>2</v>
      </c>
      <c r="G25" s="3203">
        <f>规证及工程进度!I145</f>
        <v>3</v>
      </c>
      <c r="H25" s="3209">
        <f>规证及工程进度!Q145</f>
        <v>0</v>
      </c>
    </row>
    <row r="26" spans="1:8">
      <c r="A26" s="3203">
        <v>25</v>
      </c>
      <c r="B26" s="3207" t="s">
        <v>5327</v>
      </c>
      <c r="C26" s="3208">
        <v>83.38</v>
      </c>
      <c r="D26" s="3203" t="str">
        <f>规证及工程进度!T146</f>
        <v>B2层主体基本已完成、正在进行B2层梁板施工</v>
      </c>
      <c r="E26" s="3203">
        <f>规证及工程进度!P146</f>
        <v>1206.72</v>
      </c>
      <c r="F26" s="3203">
        <f>规证及工程进度!H146</f>
        <v>2</v>
      </c>
      <c r="G26" s="3203">
        <f>规证及工程进度!I146</f>
        <v>3</v>
      </c>
      <c r="H26" s="3209">
        <f>规证及工程进度!Q146</f>
        <v>0.125</v>
      </c>
    </row>
    <row r="27" spans="1:8">
      <c r="A27" s="3203">
        <v>26</v>
      </c>
      <c r="B27" s="3207" t="s">
        <v>5328</v>
      </c>
      <c r="C27" s="3208">
        <v>271.14</v>
      </c>
      <c r="D27" s="3203" t="str">
        <f>规证及工程进度!T147</f>
        <v>B2层主体基本已完成、正在进行B2层梁板施工</v>
      </c>
      <c r="E27" s="3203">
        <f>规证及工程进度!P147</f>
        <v>1548.32</v>
      </c>
      <c r="F27" s="3203">
        <f>规证及工程进度!H147</f>
        <v>2</v>
      </c>
      <c r="G27" s="3203">
        <f>规证及工程进度!I147</f>
        <v>3</v>
      </c>
      <c r="H27" s="3209">
        <f>规证及工程进度!Q147</f>
        <v>0.125</v>
      </c>
    </row>
    <row r="28" spans="1:8">
      <c r="A28" s="3203">
        <v>27</v>
      </c>
      <c r="B28" s="3207" t="s">
        <v>5329</v>
      </c>
      <c r="C28" s="3208">
        <v>0</v>
      </c>
      <c r="D28" s="3203" t="str">
        <f>规证及工程进度!T148</f>
        <v>B3层梁板施工完成，正在进行B2层主体结构施工</v>
      </c>
      <c r="E28" s="3203">
        <f>规证及工程进度!P148</f>
        <v>1904.28</v>
      </c>
      <c r="F28" s="3203">
        <f>规证及工程进度!H148</f>
        <v>2</v>
      </c>
      <c r="G28" s="3203">
        <f>规证及工程进度!I148</f>
        <v>3</v>
      </c>
      <c r="H28" s="3209">
        <f>规证及工程进度!Q148</f>
        <v>0</v>
      </c>
    </row>
    <row r="29" spans="1:8">
      <c r="A29" s="3203">
        <v>28</v>
      </c>
      <c r="B29" s="3207" t="s">
        <v>5330</v>
      </c>
      <c r="C29" s="3208">
        <v>936.92</v>
      </c>
      <c r="D29" s="3203" t="str">
        <f>规证及工程进度!T149</f>
        <v>1层主体施工基本完成，正在进行1层梁板结构施工</v>
      </c>
      <c r="E29" s="3203">
        <f>规证及工程进度!P149</f>
        <v>1806.88</v>
      </c>
      <c r="F29" s="3203">
        <f>规证及工程进度!H149</f>
        <v>2</v>
      </c>
      <c r="G29" s="3203">
        <f>规证及工程进度!I149</f>
        <v>3</v>
      </c>
      <c r="H29" s="3209">
        <f>规证及工程进度!Q149</f>
        <v>0.375</v>
      </c>
    </row>
    <row r="30" spans="1:8">
      <c r="A30" s="3203">
        <v>29</v>
      </c>
      <c r="B30" s="3207" t="s">
        <v>5331</v>
      </c>
      <c r="C30" s="3208">
        <v>167.31</v>
      </c>
      <c r="D30" s="3203" t="str">
        <f>规证及工程进度!T150</f>
        <v>B1层主体基本已完成、正在进行B1层梁板施工</v>
      </c>
      <c r="E30" s="3203">
        <f>规证及工程进度!P150</f>
        <v>1206.72</v>
      </c>
      <c r="F30" s="3203">
        <f>规证及工程进度!H150</f>
        <v>2</v>
      </c>
      <c r="G30" s="3203">
        <f>规证及工程进度!I150</f>
        <v>3</v>
      </c>
      <c r="H30" s="3209">
        <f>规证及工程进度!Q150</f>
        <v>0.25</v>
      </c>
    </row>
    <row r="31" spans="1:8">
      <c r="A31" s="3203">
        <v>30</v>
      </c>
      <c r="B31" s="3207" t="s">
        <v>5332</v>
      </c>
      <c r="C31" s="3208">
        <v>683.42000000000007</v>
      </c>
      <c r="D31" s="3203" t="str">
        <f>规证及工程进度!T151</f>
        <v>B1层主体基本已完成、正在进行B1层梁板施工</v>
      </c>
      <c r="E31" s="3203">
        <f>规证及工程进度!P151</f>
        <v>1226.3399999999999</v>
      </c>
      <c r="F31" s="3203">
        <f>规证及工程进度!H151</f>
        <v>2</v>
      </c>
      <c r="G31" s="3203">
        <f>规证及工程进度!I151</f>
        <v>3</v>
      </c>
      <c r="H31" s="3209">
        <f>规证及工程进度!Q151</f>
        <v>0.25</v>
      </c>
    </row>
    <row r="32" spans="1:8">
      <c r="A32" s="3203">
        <v>31</v>
      </c>
      <c r="B32" s="3207" t="s">
        <v>5333</v>
      </c>
      <c r="C32" s="3208">
        <v>228.97</v>
      </c>
      <c r="D32" s="3203" t="str">
        <f>规证及工程进度!T152</f>
        <v>B1层主体基本已完成、正在进行B1层梁板施工</v>
      </c>
      <c r="E32" s="3203">
        <f>规证及工程进度!P152</f>
        <v>820.09</v>
      </c>
      <c r="F32" s="3203">
        <f>规证及工程进度!H152</f>
        <v>2</v>
      </c>
      <c r="G32" s="3203">
        <f>规证及工程进度!I152</f>
        <v>3</v>
      </c>
      <c r="H32" s="3209">
        <f>规证及工程进度!Q152</f>
        <v>0.25</v>
      </c>
    </row>
    <row r="33" spans="1:8">
      <c r="A33" s="3203">
        <v>32</v>
      </c>
      <c r="B33" s="3207" t="s">
        <v>5334</v>
      </c>
      <c r="C33" s="3208">
        <v>817.13999999999987</v>
      </c>
      <c r="D33" s="3203" t="str">
        <f>规证及工程进度!T153</f>
        <v>主体结构已封顶，正在进行二次结构施工及外立面施工</v>
      </c>
      <c r="E33" s="3203">
        <f>规证及工程进度!P153</f>
        <v>1225.07</v>
      </c>
      <c r="F33" s="3203">
        <f>规证及工程进度!H153</f>
        <v>2</v>
      </c>
      <c r="G33" s="3203">
        <f>规证及工程进度!I153</f>
        <v>3</v>
      </c>
      <c r="H33" s="3209">
        <f>规证及工程进度!Q153</f>
        <v>0.5</v>
      </c>
    </row>
    <row r="34" spans="1:8">
      <c r="A34" s="3203">
        <v>33</v>
      </c>
      <c r="B34" s="3207" t="s">
        <v>5335</v>
      </c>
      <c r="C34" s="3208">
        <v>1805.6599999999999</v>
      </c>
      <c r="D34" s="3203" t="str">
        <f>规证及工程进度!T154</f>
        <v>主体结构已封顶，正在进行二次结构施工及外立面施工</v>
      </c>
      <c r="E34" s="3203">
        <f>规证及工程进度!P154</f>
        <v>1805.66</v>
      </c>
      <c r="F34" s="3203">
        <f>规证及工程进度!H154</f>
        <v>2</v>
      </c>
      <c r="G34" s="3203">
        <f>规证及工程进度!I154</f>
        <v>3</v>
      </c>
      <c r="H34" s="3209">
        <f>规证及工程进度!Q154</f>
        <v>0.5</v>
      </c>
    </row>
    <row r="35" spans="1:8">
      <c r="A35" s="3203">
        <v>34</v>
      </c>
      <c r="B35" s="3207" t="s">
        <v>5336</v>
      </c>
      <c r="C35" s="3208">
        <v>1365.46</v>
      </c>
      <c r="D35" s="3203" t="str">
        <f>规证及工程进度!T155</f>
        <v>主体结构已封顶，正在进行二次结构施工及外立面施工</v>
      </c>
      <c r="E35" s="3203">
        <f>规证及工程进度!P155</f>
        <v>1365.46</v>
      </c>
      <c r="F35" s="3203">
        <f>规证及工程进度!H155</f>
        <v>2</v>
      </c>
      <c r="G35" s="3203">
        <f>规证及工程进度!I155</f>
        <v>3</v>
      </c>
      <c r="H35" s="3209">
        <f>规证及工程进度!Q155</f>
        <v>0.5</v>
      </c>
    </row>
    <row r="36" spans="1:8">
      <c r="A36" s="3203">
        <v>35</v>
      </c>
      <c r="B36" s="3207" t="s">
        <v>5337</v>
      </c>
      <c r="C36" s="3208">
        <v>2734.2299999999996</v>
      </c>
      <c r="D36" s="3203" t="str">
        <f>规证及工程进度!T156</f>
        <v>主体结构已封顶，正在进行二次结构施工及外立面施工</v>
      </c>
      <c r="E36" s="3203">
        <f>规证及工程进度!P156</f>
        <v>3037.24</v>
      </c>
      <c r="F36" s="3203">
        <f>规证及工程进度!H156</f>
        <v>2</v>
      </c>
      <c r="G36" s="3203">
        <f>规证及工程进度!I156</f>
        <v>3</v>
      </c>
      <c r="H36" s="3209">
        <f>规证及工程进度!Q156</f>
        <v>0.5</v>
      </c>
    </row>
    <row r="37" spans="1:8">
      <c r="A37" s="3203">
        <v>36</v>
      </c>
      <c r="B37" s="3207" t="s">
        <v>5338</v>
      </c>
      <c r="C37" s="3208">
        <v>1814.43</v>
      </c>
      <c r="D37" s="3203" t="str">
        <f>规证及工程进度!T157</f>
        <v>主体结构已封顶，正在进行二次结构施工及外立面施工</v>
      </c>
      <c r="E37" s="3203">
        <f>规证及工程进度!P157</f>
        <v>2720.11</v>
      </c>
      <c r="F37" s="3203">
        <f>规证及工程进度!H157</f>
        <v>2</v>
      </c>
      <c r="G37" s="3203">
        <f>规证及工程进度!I157</f>
        <v>3</v>
      </c>
      <c r="H37" s="3209">
        <f>规证及工程进度!Q157</f>
        <v>0.5</v>
      </c>
    </row>
    <row r="38" spans="1:8">
      <c r="A38" s="3203">
        <v>37</v>
      </c>
      <c r="B38" s="3207" t="s">
        <v>5339</v>
      </c>
      <c r="C38" s="3208">
        <v>2716.55</v>
      </c>
      <c r="D38" s="3203" t="str">
        <f>规证及工程进度!T158</f>
        <v>主体结构已封顶，正在进行二次结构施工及外立面施工</v>
      </c>
      <c r="E38" s="3203">
        <f>规证及工程进度!P158</f>
        <v>3004.8</v>
      </c>
      <c r="F38" s="3203">
        <f>规证及工程进度!H158</f>
        <v>2</v>
      </c>
      <c r="G38" s="3203">
        <f>规证及工程进度!I158</f>
        <v>3</v>
      </c>
      <c r="H38" s="3209">
        <f>规证及工程进度!Q158</f>
        <v>0.5</v>
      </c>
    </row>
    <row r="39" spans="1:8">
      <c r="A39" s="3203">
        <v>38</v>
      </c>
      <c r="B39" s="3207" t="s">
        <v>5340</v>
      </c>
      <c r="C39" s="3208">
        <v>1904.62</v>
      </c>
      <c r="D39" s="3203" t="str">
        <f>规证及工程进度!T159</f>
        <v>主体结构已封顶，正在进行二次结构施工及外立面施工</v>
      </c>
      <c r="E39" s="3203">
        <f>规证及工程进度!P159</f>
        <v>1904.62</v>
      </c>
      <c r="F39" s="3203">
        <f>规证及工程进度!H159</f>
        <v>2</v>
      </c>
      <c r="G39" s="3203">
        <f>规证及工程进度!I159</f>
        <v>3</v>
      </c>
      <c r="H39" s="3209">
        <f>规证及工程进度!Q159</f>
        <v>0.5</v>
      </c>
    </row>
    <row r="40" spans="1:8">
      <c r="A40" s="3203">
        <v>39</v>
      </c>
      <c r="B40" s="3207" t="s">
        <v>5341</v>
      </c>
      <c r="C40" s="3208">
        <v>1872.58</v>
      </c>
      <c r="D40" s="3203" t="str">
        <f>规证及工程进度!T160</f>
        <v>主体结构已封顶，正在进行二次结构施工及外立面施工</v>
      </c>
      <c r="E40" s="3203">
        <f>规证及工程进度!P160</f>
        <v>1872.58</v>
      </c>
      <c r="F40" s="3203">
        <f>规证及工程进度!H160</f>
        <v>2</v>
      </c>
      <c r="G40" s="3203">
        <f>规证及工程进度!I160</f>
        <v>3</v>
      </c>
      <c r="H40" s="3209">
        <f>规证及工程进度!Q160</f>
        <v>0.5</v>
      </c>
    </row>
    <row r="41" spans="1:8">
      <c r="A41" s="3203">
        <v>40</v>
      </c>
      <c r="B41" s="3207" t="s">
        <v>5342</v>
      </c>
      <c r="C41" s="3208">
        <v>1807.5600000000002</v>
      </c>
      <c r="D41" s="3203" t="str">
        <f>规证及工程进度!T161</f>
        <v>主体结构已封顶，正在进行二次结构施工及外立面施工</v>
      </c>
      <c r="E41" s="3203">
        <f>规证及工程进度!P161</f>
        <v>1807.56</v>
      </c>
      <c r="F41" s="3203">
        <f>规证及工程进度!H161</f>
        <v>2</v>
      </c>
      <c r="G41" s="3203">
        <f>规证及工程进度!I161</f>
        <v>3</v>
      </c>
      <c r="H41" s="3209">
        <f>规证及工程进度!Q161</f>
        <v>0.5</v>
      </c>
    </row>
    <row r="42" spans="1:8">
      <c r="A42" s="3203">
        <v>41</v>
      </c>
      <c r="B42" s="3207" t="s">
        <v>5343</v>
      </c>
      <c r="C42" s="3208">
        <v>1515.36</v>
      </c>
      <c r="D42" s="3203" t="str">
        <f>规证及工程进度!T162</f>
        <v>主体结构已封顶，正在进行二次结构施工及外立面施工</v>
      </c>
      <c r="E42" s="3203">
        <f>规证及工程进度!P162</f>
        <v>1515.36</v>
      </c>
      <c r="F42" s="3203">
        <f>规证及工程进度!H162</f>
        <v>2</v>
      </c>
      <c r="G42" s="3203">
        <f>规证及工程进度!I162</f>
        <v>3</v>
      </c>
      <c r="H42" s="3209">
        <f>规证及工程进度!Q162</f>
        <v>0.5</v>
      </c>
    </row>
    <row r="43" spans="1:8">
      <c r="A43" s="3203">
        <v>42</v>
      </c>
      <c r="B43" s="3207" t="s">
        <v>5344</v>
      </c>
      <c r="C43" s="3208">
        <v>1806.2800000000002</v>
      </c>
      <c r="D43" s="3203" t="str">
        <f>规证及工程进度!T163</f>
        <v>主体结构已封顶，正在进行二次结构施工及外立面施工</v>
      </c>
      <c r="E43" s="3203">
        <f>规证及工程进度!P163</f>
        <v>1806.28</v>
      </c>
      <c r="F43" s="3203">
        <f>规证及工程进度!H163</f>
        <v>2</v>
      </c>
      <c r="G43" s="3203">
        <f>规证及工程进度!I163</f>
        <v>3</v>
      </c>
      <c r="H43" s="3209">
        <f>规证及工程进度!Q163</f>
        <v>0.5</v>
      </c>
    </row>
    <row r="44" spans="1:8">
      <c r="A44" s="3203">
        <v>43</v>
      </c>
      <c r="B44" s="3207" t="s">
        <v>5345</v>
      </c>
      <c r="C44" s="3208">
        <v>1805.6599999999999</v>
      </c>
      <c r="D44" s="3203" t="str">
        <f>规证及工程进度!T164</f>
        <v>主体结构已封顶，正在进行二次结构施工及外立面施工</v>
      </c>
      <c r="E44" s="3203">
        <f>规证及工程进度!P164</f>
        <v>1805.66</v>
      </c>
      <c r="F44" s="3203">
        <f>规证及工程进度!H164</f>
        <v>2</v>
      </c>
      <c r="G44" s="3203">
        <f>规证及工程进度!I164</f>
        <v>3</v>
      </c>
      <c r="H44" s="3209">
        <f>规证及工程进度!Q164</f>
        <v>0.5</v>
      </c>
    </row>
    <row r="45" spans="1:8">
      <c r="A45" s="3203">
        <v>44</v>
      </c>
      <c r="B45" s="3207" t="s">
        <v>5346</v>
      </c>
      <c r="C45" s="3208">
        <v>1806.88</v>
      </c>
      <c r="D45" s="3203" t="str">
        <f>规证及工程进度!T165</f>
        <v>主体结构已封顶，正在进行二次结构施工及外立面施工</v>
      </c>
      <c r="E45" s="3203">
        <f>规证及工程进度!P165</f>
        <v>1806.88</v>
      </c>
      <c r="F45" s="3203">
        <f>规证及工程进度!H165</f>
        <v>2</v>
      </c>
      <c r="G45" s="3203">
        <f>规证及工程进度!I165</f>
        <v>3</v>
      </c>
      <c r="H45" s="3209">
        <f>规证及工程进度!Q165</f>
        <v>0.5</v>
      </c>
    </row>
    <row r="46" spans="1:8">
      <c r="A46" s="3203">
        <v>45</v>
      </c>
      <c r="B46" s="3207" t="s">
        <v>5347</v>
      </c>
      <c r="C46" s="3208">
        <v>1514.6299999999999</v>
      </c>
      <c r="D46" s="3203" t="str">
        <f>规证及工程进度!T166</f>
        <v>主体结构已封顶，正在进行二次结构施工及外立面施工</v>
      </c>
      <c r="E46" s="3203">
        <f>规证及工程进度!P166</f>
        <v>1514.63</v>
      </c>
      <c r="F46" s="3203">
        <f>规证及工程进度!H166</f>
        <v>2</v>
      </c>
      <c r="G46" s="3203">
        <f>规证及工程进度!I166</f>
        <v>3</v>
      </c>
      <c r="H46" s="3209">
        <f>规证及工程进度!Q166</f>
        <v>0.5</v>
      </c>
    </row>
    <row r="47" spans="1:8">
      <c r="A47" s="3203">
        <v>46</v>
      </c>
      <c r="B47" s="3207" t="s">
        <v>5348</v>
      </c>
      <c r="C47" s="3208">
        <v>1632.92</v>
      </c>
      <c r="D47" s="3203" t="str">
        <f>规证及工程进度!T167</f>
        <v>主体结构已封顶，正在进行二次结构施工及外立面施工</v>
      </c>
      <c r="E47" s="3203">
        <f>规证及工程进度!P167</f>
        <v>1632.92</v>
      </c>
      <c r="F47" s="3203">
        <f>规证及工程进度!H167</f>
        <v>2</v>
      </c>
      <c r="G47" s="3203">
        <f>规证及工程进度!I167</f>
        <v>3</v>
      </c>
      <c r="H47" s="3209">
        <f>规证及工程进度!Q167</f>
        <v>0.5</v>
      </c>
    </row>
    <row r="48" spans="1:8">
      <c r="A48" s="3203">
        <v>47</v>
      </c>
      <c r="B48" s="3207" t="s">
        <v>5349</v>
      </c>
      <c r="C48" s="3208">
        <v>1632.92</v>
      </c>
      <c r="D48" s="3203" t="str">
        <f>规证及工程进度!T168</f>
        <v>主体结构已封顶，正在进行二次结构施工及外立面施工</v>
      </c>
      <c r="E48" s="3203">
        <f>规证及工程进度!P168</f>
        <v>1632.92</v>
      </c>
      <c r="F48" s="3203">
        <f>规证及工程进度!H168</f>
        <v>2</v>
      </c>
      <c r="G48" s="3203">
        <f>规证及工程进度!I168</f>
        <v>3</v>
      </c>
      <c r="H48" s="3209">
        <f>规证及工程进度!Q168</f>
        <v>0.5</v>
      </c>
    </row>
    <row r="49" spans="1:10">
      <c r="A49" s="3203">
        <v>48</v>
      </c>
      <c r="B49" s="3207" t="s">
        <v>5350</v>
      </c>
      <c r="C49" s="3208">
        <v>1804.6</v>
      </c>
      <c r="D49" s="3203" t="str">
        <f>规证及工程进度!T169</f>
        <v>主体结构已封顶，正在进行二次结构施工及外立面施工</v>
      </c>
      <c r="E49" s="3203">
        <f>规证及工程进度!P169</f>
        <v>2405.2600000000002</v>
      </c>
      <c r="F49" s="3203">
        <f>规证及工程进度!H169</f>
        <v>2</v>
      </c>
      <c r="G49" s="3203">
        <f>规证及工程进度!I169</f>
        <v>3</v>
      </c>
      <c r="H49" s="3209">
        <f>规证及工程进度!Q169</f>
        <v>0.5</v>
      </c>
    </row>
    <row r="50" spans="1:10">
      <c r="A50" s="3203">
        <v>49</v>
      </c>
      <c r="B50" s="3207" t="s">
        <v>5351</v>
      </c>
      <c r="C50" s="3208">
        <v>1806.4200000000003</v>
      </c>
      <c r="D50" s="3203" t="str">
        <f>规证及工程进度!T170</f>
        <v>主体结构已封顶，正在进行二次结构施工及外立面施工</v>
      </c>
      <c r="E50" s="3203">
        <f>规证及工程进度!P170</f>
        <v>2406.52</v>
      </c>
      <c r="F50" s="3203">
        <f>规证及工程进度!H170</f>
        <v>2</v>
      </c>
      <c r="G50" s="3203">
        <f>规证及工程进度!I170</f>
        <v>3</v>
      </c>
      <c r="H50" s="3209">
        <f>规证及工程进度!Q170</f>
        <v>0.5</v>
      </c>
    </row>
    <row r="51" spans="1:10">
      <c r="A51" s="3203">
        <v>50</v>
      </c>
      <c r="B51" s="3207" t="s">
        <v>5352</v>
      </c>
      <c r="C51" s="3208">
        <v>2116.85</v>
      </c>
      <c r="D51" s="3203" t="str">
        <f>规证及工程进度!T171</f>
        <v>主体结构已封顶，正在进行二次结构施工及外立面施工</v>
      </c>
      <c r="E51" s="3203">
        <f>规证及工程进度!P171</f>
        <v>2116.85</v>
      </c>
      <c r="F51" s="3203">
        <f>规证及工程进度!H171</f>
        <v>2</v>
      </c>
      <c r="G51" s="3203">
        <f>规证及工程进度!I171</f>
        <v>3</v>
      </c>
      <c r="H51" s="3209">
        <f>规证及工程进度!Q171</f>
        <v>0.5</v>
      </c>
    </row>
    <row r="52" spans="1:10">
      <c r="A52" s="3203">
        <v>51</v>
      </c>
      <c r="B52" s="3207" t="s">
        <v>5353</v>
      </c>
      <c r="C52" s="3208">
        <v>2536.9</v>
      </c>
      <c r="D52" s="3203" t="str">
        <f>规证及工程进度!T172</f>
        <v>主体结构已封顶，正在进行二次结构施工及外立面施工</v>
      </c>
      <c r="E52" s="3203">
        <f>规证及工程进度!P172</f>
        <v>2536.9</v>
      </c>
      <c r="F52" s="3203">
        <f>规证及工程进度!H172</f>
        <v>2</v>
      </c>
      <c r="G52" s="3203">
        <f>规证及工程进度!I172</f>
        <v>3</v>
      </c>
      <c r="H52" s="3209">
        <f>规证及工程进度!Q172</f>
        <v>0.5</v>
      </c>
    </row>
    <row r="53" spans="1:10">
      <c r="A53" s="3203">
        <v>52</v>
      </c>
      <c r="B53" s="3207" t="s">
        <v>5354</v>
      </c>
      <c r="C53" s="3208">
        <v>2405.2599999999998</v>
      </c>
      <c r="D53" s="3203" t="str">
        <f>规证及工程进度!T173</f>
        <v>主体结构已封顶，正在进行二次结构施工及外立面施工</v>
      </c>
      <c r="E53" s="3203">
        <f>规证及工程进度!P173</f>
        <v>2405.2600000000002</v>
      </c>
      <c r="F53" s="3203">
        <f>规证及工程进度!H173</f>
        <v>2</v>
      </c>
      <c r="G53" s="3203">
        <f>规证及工程进度!I173</f>
        <v>3</v>
      </c>
      <c r="H53" s="3209">
        <f>规证及工程进度!Q173</f>
        <v>0.5</v>
      </c>
    </row>
    <row r="54" spans="1:10">
      <c r="A54" s="3203">
        <v>53</v>
      </c>
      <c r="B54" s="3207" t="s">
        <v>5355</v>
      </c>
      <c r="C54" s="3208">
        <v>2406.86</v>
      </c>
      <c r="D54" s="3203" t="str">
        <f>规证及工程进度!T174</f>
        <v>主体结构已封顶，正在进行二次结构施工及外立面施工</v>
      </c>
      <c r="E54" s="3203">
        <f>规证及工程进度!P174</f>
        <v>2406.86</v>
      </c>
      <c r="F54" s="3203">
        <f>规证及工程进度!H174</f>
        <v>2</v>
      </c>
      <c r="G54" s="3203">
        <f>规证及工程进度!I174</f>
        <v>3</v>
      </c>
      <c r="H54" s="3209">
        <f>规证及工程进度!Q174</f>
        <v>0.5</v>
      </c>
    </row>
    <row r="55" spans="1:10">
      <c r="A55" s="3203">
        <v>54</v>
      </c>
      <c r="B55" s="3207" t="s">
        <v>5356</v>
      </c>
      <c r="C55" s="3208">
        <v>2119.6299999999997</v>
      </c>
      <c r="D55" s="3203" t="str">
        <f>规证及工程进度!T175</f>
        <v>主体结构已封顶，正在进行二次结构施工及外立面施工</v>
      </c>
      <c r="E55" s="3203">
        <f>规证及工程进度!P175</f>
        <v>2119.63</v>
      </c>
      <c r="F55" s="3203">
        <f>规证及工程进度!H175</f>
        <v>2</v>
      </c>
      <c r="G55" s="3203">
        <f>规证及工程进度!I175</f>
        <v>3</v>
      </c>
      <c r="H55" s="3209">
        <f>规证及工程进度!Q175</f>
        <v>0.5</v>
      </c>
    </row>
    <row r="56" spans="1:10">
      <c r="A56" s="3203">
        <v>55</v>
      </c>
      <c r="B56" s="3207" t="s">
        <v>5357</v>
      </c>
      <c r="C56" s="3208">
        <v>1233.82</v>
      </c>
      <c r="D56" s="3203" t="str">
        <f>规证及工程进度!T176</f>
        <v>主体结构已封顶，正在进行二次结构施工及外立面施工</v>
      </c>
      <c r="E56" s="3203">
        <f>规证及工程进度!P176</f>
        <v>1233.82</v>
      </c>
      <c r="F56" s="3203">
        <f>规证及工程进度!H176</f>
        <v>2</v>
      </c>
      <c r="G56" s="3203">
        <f>规证及工程进度!I176</f>
        <v>3</v>
      </c>
      <c r="H56" s="3209">
        <f>规证及工程进度!Q176</f>
        <v>0.5</v>
      </c>
    </row>
    <row r="57" spans="1:10">
      <c r="A57" s="3203">
        <v>56</v>
      </c>
      <c r="B57" s="3207" t="s">
        <v>5358</v>
      </c>
      <c r="C57" s="3208">
        <v>2406.52</v>
      </c>
      <c r="D57" s="3203" t="str">
        <f>规证及工程进度!T177</f>
        <v>主体结构已封顶，正在进行二次结构施工及外立面施工</v>
      </c>
      <c r="E57" s="3203">
        <f>规证及工程进度!P177</f>
        <v>2406.52</v>
      </c>
      <c r="F57" s="3203">
        <f>规证及工程进度!H177</f>
        <v>2</v>
      </c>
      <c r="G57" s="3203">
        <f>规证及工程进度!I177</f>
        <v>3</v>
      </c>
      <c r="H57" s="3209">
        <f>规证及工程进度!Q177</f>
        <v>0.5</v>
      </c>
    </row>
    <row r="58" spans="1:10">
      <c r="A58" s="3203">
        <v>57</v>
      </c>
      <c r="B58" s="3207" t="s">
        <v>5359</v>
      </c>
      <c r="C58" s="3208">
        <v>1206.7199999999998</v>
      </c>
      <c r="D58" s="3203" t="str">
        <f>规证及工程进度!T178</f>
        <v>主体结构已封顶，正在进行二次结构施工及外立面施工</v>
      </c>
      <c r="E58" s="3203">
        <f>规证及工程进度!P178</f>
        <v>1206.72</v>
      </c>
      <c r="F58" s="3203">
        <f>规证及工程进度!H178</f>
        <v>2</v>
      </c>
      <c r="G58" s="3203">
        <f>规证及工程进度!I178</f>
        <v>3</v>
      </c>
      <c r="H58" s="3209">
        <f>规证及工程进度!Q178</f>
        <v>0.5</v>
      </c>
    </row>
    <row r="59" spans="1:10">
      <c r="A59" s="3203">
        <v>58</v>
      </c>
      <c r="B59" s="3207" t="s">
        <v>5360</v>
      </c>
      <c r="C59" s="3208">
        <v>817.28000000000009</v>
      </c>
      <c r="D59" s="3203" t="str">
        <f>D58</f>
        <v>主体结构已封顶，正在进行二次结构施工及外立面施工</v>
      </c>
      <c r="E59" s="3203">
        <f>规证及工程进度!P179</f>
        <v>1225.28</v>
      </c>
      <c r="F59" s="3203">
        <f>规证及工程进度!H179</f>
        <v>2</v>
      </c>
      <c r="G59" s="3203">
        <f>规证及工程进度!I179</f>
        <v>3</v>
      </c>
      <c r="H59" s="3209">
        <f>规证及工程进度!Q179</f>
        <v>0.5</v>
      </c>
    </row>
    <row r="60" spans="1:10">
      <c r="A60" s="3203">
        <v>59</v>
      </c>
      <c r="B60" s="3207" t="s">
        <v>5361</v>
      </c>
      <c r="C60" s="3208">
        <v>8918.58</v>
      </c>
      <c r="D60" s="3203" t="str">
        <f t="shared" ref="D60:D62" si="0">D59</f>
        <v>主体结构已封顶，正在进行二次结构施工及外立面施工</v>
      </c>
      <c r="E60" s="3203">
        <f>规证及工程进度!P180</f>
        <v>11452.6</v>
      </c>
      <c r="F60" s="3203">
        <f>规证及工程进度!H191</f>
        <v>8</v>
      </c>
      <c r="G60" s="3203">
        <f>规证及工程进度!I191</f>
        <v>3</v>
      </c>
      <c r="H60" s="3209">
        <f>规证及工程进度!Q180</f>
        <v>0.5</v>
      </c>
    </row>
    <row r="61" spans="1:10">
      <c r="A61" s="3203">
        <v>60</v>
      </c>
      <c r="B61" s="3207" t="s">
        <v>5363</v>
      </c>
      <c r="C61" s="3208">
        <v>9660.4099999999908</v>
      </c>
      <c r="D61" s="3203" t="str">
        <f t="shared" si="0"/>
        <v>主体结构已封顶，正在进行二次结构施工及外立面施工</v>
      </c>
      <c r="E61" s="3203">
        <f>规证及工程进度!P181</f>
        <v>11612.29</v>
      </c>
      <c r="F61" s="3203">
        <f>规证及工程进度!H192</f>
        <v>8</v>
      </c>
      <c r="G61" s="3203">
        <f>规证及工程进度!I192</f>
        <v>3</v>
      </c>
      <c r="H61" s="3209">
        <f>规证及工程进度!Q181</f>
        <v>0.5</v>
      </c>
    </row>
    <row r="62" spans="1:10">
      <c r="A62" s="3203">
        <v>61</v>
      </c>
      <c r="B62" s="3207" t="s">
        <v>5364</v>
      </c>
      <c r="C62" s="3208">
        <v>9625.8800000000138</v>
      </c>
      <c r="D62" s="3203" t="str">
        <f t="shared" si="0"/>
        <v>主体结构已封顶，正在进行二次结构施工及外立面施工</v>
      </c>
      <c r="E62" s="3203">
        <f>规证及工程进度!P182</f>
        <v>11558.03</v>
      </c>
      <c r="F62" s="3203">
        <f>规证及工程进度!H193</f>
        <v>8</v>
      </c>
      <c r="G62" s="3203">
        <f>规证及工程进度!I193</f>
        <v>3</v>
      </c>
      <c r="H62" s="3209">
        <f>规证及工程进度!Q182</f>
        <v>0.5</v>
      </c>
    </row>
    <row r="63" spans="1:10">
      <c r="A63" s="3203">
        <v>62</v>
      </c>
      <c r="B63" s="3207" t="s">
        <v>5532</v>
      </c>
      <c r="C63" s="3208">
        <v>22201.279999999999</v>
      </c>
      <c r="D63" s="3203" t="s">
        <v>5529</v>
      </c>
      <c r="E63" s="3203">
        <f>规证及工程进度!P183</f>
        <v>28343.86</v>
      </c>
      <c r="F63" s="3211">
        <v>0</v>
      </c>
      <c r="G63" s="3203">
        <v>-3</v>
      </c>
      <c r="H63" s="3209">
        <f>规证及工程进度!Q183</f>
        <v>0.5</v>
      </c>
    </row>
    <row r="64" spans="1:10">
      <c r="A64" s="3445" t="s">
        <v>5533</v>
      </c>
      <c r="B64" s="3446"/>
      <c r="C64" s="3203">
        <f>SUM(C2:C63)</f>
        <v>119507.78</v>
      </c>
      <c r="D64" s="3203"/>
      <c r="E64" s="3212">
        <f>SUM(E2:E63)</f>
        <v>167884.99</v>
      </c>
      <c r="F64" s="3211" t="s">
        <v>5534</v>
      </c>
      <c r="G64" s="3203" t="s">
        <v>5534</v>
      </c>
      <c r="H64" s="3213">
        <f>ROUND(SUMPRODUCT(H2:H63,E2:E63)/E64,2)</f>
        <v>0.43</v>
      </c>
      <c r="J64" s="3202"/>
    </row>
  </sheetData>
  <mergeCells count="1">
    <mergeCell ref="A64:B64"/>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30" sqref="D30"/>
      <selection pane="topRight" activeCell="D30" sqref="D30"/>
      <selection pane="bottomLeft" activeCell="D30" sqref="D30"/>
      <selection pane="bottomRight" activeCell="D30" sqref="D30"/>
    </sheetView>
  </sheetViews>
  <sheetFormatPr defaultColWidth="9" defaultRowHeight="14.25"/>
  <cols>
    <col min="1" max="1" width="9.5" style="1864" customWidth="1"/>
    <col min="2" max="2" width="24.5" style="1750" customWidth="1"/>
    <col min="3" max="3" width="24.5" style="2725" customWidth="1"/>
    <col min="4" max="4" width="2.625" style="2725" customWidth="1"/>
    <col min="5" max="5" width="5.875" style="2725" customWidth="1"/>
    <col min="6" max="6" width="27" style="1750"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1"/>
    <col min="30" max="16384" width="9" style="1864"/>
  </cols>
  <sheetData>
    <row r="1" spans="1:29" s="2675" customFormat="1" ht="18.75" thickBot="1">
      <c r="A1" s="3447" t="s">
        <v>3023</v>
      </c>
      <c r="B1" s="3448"/>
      <c r="C1" s="3448"/>
      <c r="D1" s="3448"/>
      <c r="E1" s="3448"/>
      <c r="F1" s="3448"/>
      <c r="G1" s="3448"/>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3019</v>
      </c>
      <c r="D2" s="2679"/>
      <c r="E2" s="2676"/>
      <c r="F2" s="2680"/>
      <c r="G2" s="2678" t="s">
        <v>3020</v>
      </c>
      <c r="H2" s="901"/>
      <c r="I2" s="901"/>
      <c r="J2" s="901"/>
      <c r="K2" s="901"/>
      <c r="L2" s="901"/>
      <c r="M2" s="901"/>
      <c r="N2" s="901"/>
      <c r="O2" s="901"/>
      <c r="P2" s="901"/>
      <c r="Q2" s="901"/>
      <c r="R2" s="901"/>
    </row>
    <row r="3" spans="1:29" ht="25.5">
      <c r="A3" s="2659" t="s">
        <v>3021</v>
      </c>
      <c r="B3" s="2681" t="s">
        <v>2993</v>
      </c>
      <c r="C3" s="3076" t="s">
        <v>3240</v>
      </c>
      <c r="D3" s="2682"/>
      <c r="E3" s="2660" t="s">
        <v>3021</v>
      </c>
      <c r="F3" s="2683" t="s">
        <v>2994</v>
      </c>
      <c r="G3" s="2684" t="s">
        <v>3022</v>
      </c>
      <c r="H3" s="901"/>
      <c r="I3" s="901"/>
      <c r="J3" s="901"/>
      <c r="K3" s="901"/>
      <c r="L3" s="901"/>
      <c r="M3" s="901"/>
      <c r="N3" s="901"/>
      <c r="O3" s="901"/>
      <c r="P3" s="901"/>
      <c r="Q3" s="901"/>
      <c r="R3" s="901"/>
    </row>
    <row r="4" spans="1:29" ht="36">
      <c r="A4" s="2660"/>
      <c r="B4" s="324" t="s">
        <v>2995</v>
      </c>
      <c r="C4" s="3077" t="s">
        <v>3241</v>
      </c>
      <c r="D4" s="2682"/>
      <c r="E4" s="2685"/>
      <c r="F4" s="1550" t="s">
        <v>2996</v>
      </c>
      <c r="G4" s="2686" t="s">
        <v>2997</v>
      </c>
      <c r="H4" s="901"/>
      <c r="I4" s="901"/>
      <c r="J4" s="901"/>
      <c r="K4" s="901"/>
      <c r="L4" s="901"/>
      <c r="M4" s="901"/>
      <c r="N4" s="901"/>
      <c r="O4" s="901"/>
      <c r="P4" s="901"/>
      <c r="Q4" s="901"/>
      <c r="R4" s="901"/>
    </row>
    <row r="5" spans="1:29" ht="24">
      <c r="A5" s="2660"/>
      <c r="B5" s="324" t="s">
        <v>2998</v>
      </c>
      <c r="C5" s="3077"/>
      <c r="D5" s="2682"/>
      <c r="E5" s="2685"/>
      <c r="F5" s="324" t="s">
        <v>2999</v>
      </c>
      <c r="G5" s="2686" t="s">
        <v>3000</v>
      </c>
      <c r="H5" s="901"/>
      <c r="I5" s="901"/>
      <c r="J5" s="901"/>
      <c r="K5" s="901"/>
      <c r="L5" s="901"/>
      <c r="M5" s="901"/>
      <c r="N5" s="901"/>
      <c r="O5" s="901"/>
      <c r="P5" s="901"/>
      <c r="Q5" s="901"/>
      <c r="R5" s="901"/>
    </row>
    <row r="6" spans="1:29">
      <c r="A6" s="2660"/>
      <c r="B6" s="324" t="s">
        <v>3001</v>
      </c>
      <c r="C6" s="3077" t="s">
        <v>3240</v>
      </c>
      <c r="D6" s="2682"/>
      <c r="E6" s="2685"/>
      <c r="F6" s="324" t="s">
        <v>3002</v>
      </c>
      <c r="G6" s="2686" t="s">
        <v>3003</v>
      </c>
      <c r="H6" s="901"/>
      <c r="I6" s="901"/>
      <c r="J6" s="901"/>
      <c r="K6" s="901"/>
      <c r="L6" s="901"/>
      <c r="M6" s="901"/>
      <c r="N6" s="901"/>
      <c r="O6" s="901"/>
      <c r="P6" s="901"/>
      <c r="Q6" s="901"/>
      <c r="R6" s="901"/>
    </row>
    <row r="7" spans="1:29" ht="24.75" thickBot="1">
      <c r="A7" s="2660"/>
      <c r="B7" s="324" t="s">
        <v>2999</v>
      </c>
      <c r="C7" s="3077" t="s">
        <v>3240</v>
      </c>
      <c r="D7" s="2687"/>
      <c r="E7" s="2688"/>
      <c r="F7" s="2689" t="s">
        <v>3004</v>
      </c>
      <c r="G7" s="2690" t="s">
        <v>3005</v>
      </c>
      <c r="H7" s="901"/>
      <c r="I7" s="901"/>
      <c r="J7" s="901"/>
      <c r="K7" s="901"/>
      <c r="L7" s="901"/>
      <c r="M7" s="901"/>
      <c r="N7" s="901"/>
      <c r="O7" s="901"/>
      <c r="P7" s="901"/>
      <c r="Q7" s="901"/>
      <c r="R7" s="901"/>
    </row>
    <row r="8" spans="1:29">
      <c r="A8" s="2660"/>
      <c r="B8" s="324" t="s">
        <v>3002</v>
      </c>
      <c r="C8" s="3077" t="s">
        <v>3242</v>
      </c>
      <c r="D8" s="2687"/>
      <c r="E8" s="2687"/>
      <c r="F8" s="2691"/>
      <c r="G8" s="2691"/>
      <c r="H8" s="901"/>
      <c r="I8" s="901"/>
      <c r="J8" s="901"/>
      <c r="K8" s="901"/>
      <c r="L8" s="901"/>
      <c r="M8" s="901"/>
      <c r="N8" s="901"/>
      <c r="O8" s="901"/>
      <c r="P8" s="901"/>
      <c r="Q8" s="901"/>
      <c r="R8" s="901"/>
    </row>
    <row r="9" spans="1:29">
      <c r="A9" s="2660"/>
      <c r="B9" s="324" t="s">
        <v>3006</v>
      </c>
      <c r="C9" s="3077" t="s">
        <v>3240</v>
      </c>
      <c r="D9" s="2682"/>
      <c r="E9" s="2687"/>
      <c r="F9" s="2691"/>
      <c r="G9" s="2691"/>
      <c r="H9" s="901"/>
      <c r="I9" s="901"/>
      <c r="J9" s="901"/>
      <c r="K9" s="901"/>
      <c r="L9" s="901"/>
      <c r="M9" s="901"/>
      <c r="N9" s="901"/>
      <c r="O9" s="901"/>
      <c r="P9" s="901"/>
      <c r="Q9" s="901"/>
      <c r="R9" s="901"/>
    </row>
    <row r="10" spans="1:29" s="2696" customFormat="1" ht="15" thickBot="1">
      <c r="A10" s="2661"/>
      <c r="B10" s="2692" t="s">
        <v>3007</v>
      </c>
      <c r="C10" s="3078" t="s">
        <v>3243</v>
      </c>
      <c r="D10" s="2682"/>
      <c r="E10" s="2682"/>
      <c r="F10" s="2691"/>
      <c r="G10" s="2691"/>
      <c r="H10" s="2693"/>
      <c r="I10" s="2694"/>
      <c r="J10" s="2695"/>
      <c r="K10" s="2693"/>
      <c r="L10" s="2694"/>
      <c r="M10" s="2695"/>
      <c r="N10" s="2693"/>
      <c r="O10" s="2694"/>
      <c r="P10" s="2695"/>
      <c r="Q10" s="2693"/>
      <c r="R10" s="2694"/>
      <c r="S10" s="901"/>
      <c r="T10" s="901"/>
      <c r="U10" s="901"/>
      <c r="V10" s="901"/>
      <c r="W10" s="901"/>
      <c r="X10" s="901"/>
      <c r="Y10" s="901"/>
      <c r="Z10" s="901"/>
      <c r="AA10" s="901"/>
      <c r="AB10" s="901"/>
      <c r="AC10" s="901"/>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1"/>
      <c r="T11" s="901"/>
      <c r="U11" s="901"/>
      <c r="V11" s="901"/>
      <c r="W11" s="901"/>
      <c r="X11" s="901"/>
      <c r="Y11" s="901"/>
      <c r="Z11" s="901"/>
      <c r="AA11" s="901"/>
      <c r="AB11" s="901"/>
      <c r="AC11" s="901"/>
    </row>
    <row r="12" spans="1:29" s="2675" customFormat="1" ht="18">
      <c r="A12" s="2697"/>
      <c r="B12" s="2687"/>
      <c r="C12" s="2682"/>
      <c r="D12" s="2699"/>
      <c r="E12" s="2682"/>
      <c r="F12" s="2687"/>
      <c r="G12" s="2698"/>
      <c r="H12" s="2700"/>
      <c r="I12" s="2701"/>
      <c r="J12" s="2700"/>
      <c r="K12" s="2700"/>
      <c r="L12" s="2702"/>
      <c r="M12" s="2700"/>
      <c r="N12" s="2703"/>
      <c r="O12" s="2704"/>
      <c r="P12" s="2703"/>
      <c r="Q12" s="2703"/>
      <c r="R12" s="2673"/>
      <c r="S12" s="2674"/>
      <c r="T12" s="2674"/>
      <c r="U12" s="2674"/>
      <c r="V12" s="2674"/>
      <c r="W12" s="2674"/>
      <c r="X12" s="2674"/>
      <c r="Y12" s="2674"/>
      <c r="Z12" s="2674"/>
      <c r="AA12" s="2674"/>
      <c r="AB12" s="2674"/>
      <c r="AC12" s="2674"/>
    </row>
    <row r="13" spans="1:29" ht="15.75" thickBot="1">
      <c r="A13" s="2705" t="s">
        <v>3024</v>
      </c>
      <c r="B13" s="2699"/>
      <c r="C13" s="2699"/>
      <c r="D13" s="2697"/>
      <c r="E13" s="2699"/>
      <c r="F13" s="2699"/>
      <c r="G13" s="2699"/>
    </row>
    <row r="14" spans="1:29" ht="15" thickBot="1">
      <c r="A14" s="2709"/>
      <c r="B14" s="2709"/>
      <c r="C14" s="2710" t="s">
        <v>3008</v>
      </c>
      <c r="D14" s="2682"/>
      <c r="E14" s="2711"/>
      <c r="F14" s="2711"/>
      <c r="G14" s="2678" t="s">
        <v>3009</v>
      </c>
    </row>
    <row r="15" spans="1:29" ht="25.5">
      <c r="A15" s="2662" t="s">
        <v>3010</v>
      </c>
      <c r="B15" s="2712" t="s">
        <v>2993</v>
      </c>
      <c r="C15" s="2713" t="str">
        <f>C3</f>
        <v>一般</v>
      </c>
      <c r="D15" s="2682"/>
      <c r="E15" s="2663" t="s">
        <v>3011</v>
      </c>
      <c r="F15" s="2712" t="s">
        <v>3012</v>
      </c>
      <c r="G15" s="2714" t="str">
        <f>G3</f>
        <v>估价对象位于XX开发区，园区建设成熟度XX，产业集聚程度XX</v>
      </c>
    </row>
    <row r="16" spans="1:29" ht="38.25">
      <c r="A16" s="2664"/>
      <c r="B16" s="2715" t="s">
        <v>2995</v>
      </c>
      <c r="C16" s="2716" t="str">
        <f>C4</f>
        <v>较差</v>
      </c>
      <c r="D16" s="2682"/>
      <c r="E16" s="2665"/>
      <c r="F16" s="2717" t="s">
        <v>2996</v>
      </c>
      <c r="G16" s="2718" t="str">
        <f>G4</f>
        <v>估价对象周边道路状况、公共交通通达情况、停车便捷程度，综合评价交通便捷度较好</v>
      </c>
    </row>
    <row r="17" spans="1:18">
      <c r="A17" s="2664"/>
      <c r="B17" s="2715" t="s">
        <v>2998</v>
      </c>
      <c r="C17" s="2716">
        <f>C5</f>
        <v>0</v>
      </c>
      <c r="D17" s="2687"/>
      <c r="E17" s="2665"/>
      <c r="F17" s="2717" t="s">
        <v>3013</v>
      </c>
      <c r="G17" s="2719"/>
    </row>
    <row r="18" spans="1:18" ht="25.5">
      <c r="A18" s="2664"/>
      <c r="B18" s="2717" t="s">
        <v>3001</v>
      </c>
      <c r="C18" s="2718" t="str">
        <f>C6</f>
        <v>一般</v>
      </c>
      <c r="D18" s="2687"/>
      <c r="E18" s="2665"/>
      <c r="F18" s="2717" t="s">
        <v>3004</v>
      </c>
      <c r="G18" s="2718" t="str">
        <f>G7</f>
        <v>该园区内是否有污染型企业，绿化情况，卫生条件，整体环境状况判断</v>
      </c>
    </row>
    <row r="19" spans="1:18" ht="25.5">
      <c r="A19" s="2664"/>
      <c r="B19" s="2717" t="s">
        <v>3014</v>
      </c>
      <c r="C19" s="2719"/>
      <c r="D19" s="2682"/>
      <c r="E19" s="2665"/>
      <c r="F19" s="324" t="s">
        <v>2999</v>
      </c>
      <c r="G19" s="2718" t="str">
        <f>G5</f>
        <v>估价对象所在区域公共配套设施齐备情况</v>
      </c>
    </row>
    <row r="20" spans="1:18">
      <c r="A20" s="2664"/>
      <c r="B20" s="2717" t="s">
        <v>3015</v>
      </c>
      <c r="C20" s="2716" t="str">
        <f>C9</f>
        <v>一般</v>
      </c>
      <c r="D20" s="2687"/>
      <c r="E20" s="2665"/>
      <c r="F20" s="324" t="s">
        <v>3002</v>
      </c>
      <c r="G20" s="2718" t="str">
        <f>G6</f>
        <v>估价对象所在区域基础设施水平</v>
      </c>
    </row>
    <row r="21" spans="1:18">
      <c r="A21" s="2664"/>
      <c r="B21" s="324" t="s">
        <v>2999</v>
      </c>
      <c r="C21" s="2718" t="str">
        <f>C7</f>
        <v>一般</v>
      </c>
      <c r="D21" s="2682"/>
      <c r="E21" s="2665"/>
      <c r="F21" s="2717" t="s">
        <v>3016</v>
      </c>
      <c r="G21" s="2720"/>
    </row>
    <row r="22" spans="1:18" ht="13.5" customHeight="1">
      <c r="A22" s="2664"/>
      <c r="B22" s="324" t="s">
        <v>3002</v>
      </c>
      <c r="C22" s="2718" t="str">
        <f>C8</f>
        <v>七通</v>
      </c>
      <c r="D22" s="2682"/>
      <c r="E22" s="2665"/>
      <c r="F22" s="2717" t="s">
        <v>3007</v>
      </c>
      <c r="G22" s="2719"/>
    </row>
    <row r="23" spans="1:18" s="901" customFormat="1" ht="15" thickBot="1">
      <c r="A23" s="2664"/>
      <c r="B23" s="2717" t="s">
        <v>3016</v>
      </c>
      <c r="C23" s="2720"/>
      <c r="D23" s="1919"/>
      <c r="E23" s="2666"/>
      <c r="F23" s="2721" t="s">
        <v>3017</v>
      </c>
      <c r="G23" s="2722"/>
      <c r="H23" s="2706"/>
      <c r="I23" s="2707"/>
      <c r="J23" s="2706"/>
      <c r="K23" s="2706"/>
      <c r="L23" s="2707"/>
      <c r="M23" s="2706"/>
      <c r="N23" s="2706"/>
      <c r="O23" s="2707"/>
      <c r="P23" s="2706"/>
      <c r="Q23" s="2706"/>
      <c r="R23" s="2708"/>
    </row>
    <row r="24" spans="1:18" s="901" customFormat="1" ht="15" thickBot="1">
      <c r="A24" s="2667"/>
      <c r="B24" s="2721" t="s">
        <v>3018</v>
      </c>
      <c r="C24" s="2723" t="str">
        <f>C10</f>
        <v>支路</v>
      </c>
      <c r="D24" s="1919"/>
      <c r="E24" s="2657"/>
      <c r="F24" s="2657"/>
      <c r="G24" s="2724"/>
      <c r="H24" s="2706"/>
      <c r="I24" s="2707"/>
      <c r="J24" s="2706"/>
      <c r="K24" s="2706"/>
      <c r="L24" s="2707"/>
      <c r="M24" s="2706"/>
      <c r="N24" s="2706"/>
      <c r="O24" s="2707"/>
      <c r="P24" s="2706"/>
      <c r="Q24" s="2706"/>
      <c r="R24" s="2708"/>
    </row>
    <row r="25" spans="1:18" s="901" customFormat="1">
      <c r="B25" s="2706"/>
      <c r="C25" s="2706"/>
      <c r="D25" s="2706"/>
      <c r="H25" s="2706"/>
      <c r="I25" s="2707"/>
      <c r="J25" s="2706"/>
      <c r="K25" s="2706"/>
      <c r="L25" s="2707"/>
      <c r="M25" s="2706"/>
      <c r="N25" s="2706"/>
      <c r="O25" s="2707"/>
      <c r="P25" s="2706"/>
      <c r="Q25" s="2706"/>
      <c r="R25" s="2708"/>
    </row>
    <row r="26" spans="1:18" s="901" customFormat="1">
      <c r="B26" s="2706"/>
      <c r="C26" s="2706"/>
      <c r="D26" s="2706"/>
      <c r="H26" s="2706"/>
      <c r="I26" s="2707"/>
      <c r="J26" s="2706"/>
      <c r="K26" s="2706"/>
      <c r="L26" s="2707"/>
      <c r="M26" s="2706"/>
      <c r="N26" s="2706"/>
      <c r="O26" s="2707"/>
      <c r="P26" s="2706"/>
      <c r="Q26" s="2706"/>
      <c r="R26" s="2708"/>
    </row>
    <row r="27" spans="1:18" s="901" customFormat="1">
      <c r="B27" s="2706"/>
      <c r="C27" s="2706"/>
      <c r="D27" s="2706"/>
      <c r="H27" s="2706"/>
      <c r="I27" s="2707"/>
      <c r="J27" s="2706"/>
      <c r="K27" s="2706"/>
      <c r="L27" s="2707"/>
      <c r="M27" s="2706"/>
      <c r="N27" s="2706"/>
      <c r="O27" s="2707"/>
      <c r="P27" s="2706"/>
      <c r="Q27" s="2706"/>
      <c r="R27" s="2708"/>
    </row>
    <row r="28" spans="1:18" s="901" customFormat="1">
      <c r="B28" s="2706"/>
      <c r="C28" s="2706"/>
      <c r="D28" s="2706"/>
      <c r="H28" s="2706"/>
      <c r="I28" s="2707"/>
      <c r="J28" s="2706"/>
      <c r="K28" s="2706"/>
      <c r="L28" s="2707"/>
      <c r="M28" s="2706"/>
      <c r="N28" s="2706"/>
      <c r="O28" s="2707"/>
      <c r="P28" s="2706"/>
      <c r="Q28" s="2706"/>
      <c r="R28" s="2708"/>
    </row>
    <row r="29" spans="1:18" s="901" customFormat="1">
      <c r="B29" s="2706"/>
      <c r="C29" s="2706"/>
      <c r="D29" s="2706"/>
      <c r="H29" s="2706"/>
      <c r="I29" s="2707"/>
      <c r="J29" s="2706"/>
      <c r="K29" s="2706"/>
      <c r="L29" s="2707"/>
      <c r="M29" s="2706"/>
      <c r="N29" s="2706"/>
      <c r="O29" s="2707"/>
      <c r="P29" s="2706"/>
      <c r="Q29" s="2706"/>
      <c r="R29" s="2708"/>
    </row>
    <row r="30" spans="1:18" s="901" customFormat="1">
      <c r="B30" s="2706"/>
      <c r="C30" s="2706"/>
      <c r="D30" s="2706"/>
      <c r="H30" s="2706"/>
      <c r="I30" s="2707"/>
      <c r="J30" s="2706"/>
      <c r="K30" s="2706"/>
      <c r="L30" s="2707"/>
      <c r="M30" s="2706"/>
      <c r="N30" s="2706"/>
      <c r="O30" s="2707"/>
      <c r="P30" s="2706"/>
      <c r="Q30" s="2706"/>
      <c r="R30" s="2708"/>
    </row>
    <row r="31" spans="1:18" s="901" customFormat="1">
      <c r="B31" s="2706"/>
      <c r="C31" s="2706"/>
      <c r="D31" s="2706"/>
      <c r="H31" s="2706"/>
      <c r="I31" s="2707"/>
      <c r="J31" s="2706"/>
      <c r="K31" s="2706"/>
      <c r="L31" s="2707"/>
      <c r="M31" s="2706"/>
      <c r="N31" s="2706"/>
      <c r="O31" s="2707"/>
      <c r="P31" s="2706"/>
      <c r="Q31" s="2706"/>
      <c r="R31" s="2708"/>
    </row>
    <row r="32" spans="1:18" s="901" customFormat="1">
      <c r="B32" s="2706"/>
      <c r="C32" s="2706"/>
      <c r="D32" s="2706"/>
      <c r="H32" s="2706"/>
      <c r="I32" s="2707"/>
      <c r="J32" s="2706"/>
      <c r="K32" s="2706"/>
      <c r="L32" s="2707"/>
      <c r="M32" s="2706"/>
      <c r="N32" s="2706"/>
      <c r="O32" s="2707"/>
      <c r="P32" s="2706"/>
      <c r="Q32" s="2706"/>
      <c r="R32" s="2708"/>
    </row>
    <row r="33" spans="2:18" s="901" customFormat="1">
      <c r="B33" s="2706"/>
      <c r="C33" s="2706"/>
      <c r="D33" s="2706"/>
      <c r="H33" s="2706"/>
      <c r="I33" s="2707"/>
      <c r="J33" s="2706"/>
      <c r="K33" s="2706"/>
      <c r="L33" s="2707"/>
      <c r="M33" s="2706"/>
      <c r="N33" s="2706"/>
      <c r="O33" s="2707"/>
      <c r="P33" s="2706"/>
      <c r="Q33" s="2706"/>
      <c r="R33" s="2708"/>
    </row>
    <row r="34" spans="2:18" s="901" customFormat="1">
      <c r="B34" s="2706"/>
      <c r="C34" s="2706"/>
      <c r="D34" s="2706"/>
      <c r="H34" s="2706"/>
      <c r="I34" s="2707"/>
      <c r="J34" s="2706"/>
      <c r="K34" s="2706"/>
      <c r="L34" s="2707"/>
      <c r="M34" s="2706"/>
      <c r="N34" s="2706"/>
      <c r="O34" s="2707"/>
      <c r="P34" s="2706"/>
      <c r="Q34" s="2706"/>
      <c r="R34" s="2708"/>
    </row>
    <row r="35" spans="2:18" s="901" customFormat="1">
      <c r="B35" s="2706"/>
      <c r="C35" s="2706"/>
      <c r="D35" s="2706"/>
      <c r="H35" s="2706"/>
      <c r="I35" s="2707"/>
      <c r="J35" s="2706"/>
      <c r="K35" s="2706"/>
      <c r="L35" s="2707"/>
      <c r="M35" s="2706"/>
      <c r="N35" s="2706"/>
      <c r="O35" s="2707"/>
      <c r="P35" s="2706"/>
      <c r="Q35" s="2706"/>
      <c r="R35" s="2708"/>
    </row>
    <row r="36" spans="2:18" s="901" customFormat="1">
      <c r="B36" s="2706"/>
      <c r="C36" s="2706"/>
      <c r="D36" s="2706"/>
      <c r="H36" s="2706"/>
      <c r="I36" s="2707"/>
      <c r="J36" s="2706"/>
      <c r="K36" s="2706"/>
      <c r="L36" s="2707"/>
      <c r="M36" s="2706"/>
      <c r="N36" s="2706"/>
      <c r="O36" s="2707"/>
      <c r="P36" s="2706"/>
      <c r="Q36" s="2706"/>
      <c r="R36" s="2708"/>
    </row>
    <row r="37" spans="2:18" s="901" customFormat="1">
      <c r="B37" s="2706"/>
      <c r="C37" s="2706"/>
      <c r="D37" s="2706"/>
      <c r="H37" s="2706"/>
      <c r="I37" s="2707"/>
      <c r="J37" s="2706"/>
      <c r="K37" s="2706"/>
      <c r="L37" s="2707"/>
      <c r="M37" s="2706"/>
      <c r="N37" s="2706"/>
      <c r="O37" s="2707"/>
      <c r="P37" s="2706"/>
      <c r="Q37" s="2706"/>
      <c r="R37" s="2708"/>
    </row>
    <row r="38" spans="2:18" s="901" customFormat="1">
      <c r="B38" s="2706"/>
      <c r="C38" s="2706"/>
      <c r="D38" s="2706"/>
      <c r="E38" s="2706"/>
      <c r="F38" s="2706"/>
      <c r="G38" s="2707"/>
      <c r="H38" s="2706"/>
      <c r="I38" s="2707"/>
      <c r="J38" s="2706"/>
      <c r="K38" s="2706"/>
      <c r="L38" s="2707"/>
      <c r="M38" s="2706"/>
      <c r="N38" s="2706"/>
      <c r="O38" s="2707"/>
      <c r="P38" s="2706"/>
      <c r="Q38" s="2706"/>
      <c r="R38" s="2708"/>
    </row>
    <row r="39" spans="2:18" s="901" customFormat="1">
      <c r="B39" s="2706"/>
      <c r="C39" s="2706"/>
      <c r="D39" s="2706"/>
      <c r="E39" s="2706"/>
      <c r="F39" s="2706"/>
      <c r="G39" s="2707"/>
      <c r="H39" s="2706"/>
      <c r="I39" s="2707"/>
      <c r="J39" s="2706"/>
      <c r="K39" s="2706"/>
      <c r="L39" s="2707"/>
      <c r="M39" s="2706"/>
      <c r="N39" s="2706"/>
      <c r="O39" s="2707"/>
      <c r="P39" s="2706"/>
      <c r="Q39" s="2706"/>
      <c r="R39" s="2708"/>
    </row>
    <row r="40" spans="2:18" s="901" customFormat="1">
      <c r="B40" s="2706"/>
      <c r="C40" s="2706"/>
      <c r="D40" s="2706"/>
      <c r="E40" s="2706"/>
      <c r="F40" s="2706"/>
      <c r="G40" s="2707"/>
      <c r="H40" s="2706"/>
      <c r="I40" s="2707"/>
      <c r="J40" s="2706"/>
      <c r="K40" s="2706"/>
      <c r="L40" s="2707"/>
      <c r="M40" s="2706"/>
      <c r="N40" s="2706"/>
      <c r="O40" s="2707"/>
      <c r="P40" s="2706"/>
      <c r="Q40" s="2706"/>
      <c r="R40" s="2708"/>
    </row>
    <row r="41" spans="2:18" s="901" customFormat="1">
      <c r="B41" s="2706"/>
      <c r="C41" s="2706"/>
      <c r="D41" s="2706"/>
      <c r="E41" s="2706"/>
      <c r="F41" s="2706"/>
      <c r="G41" s="2707"/>
      <c r="H41" s="2706"/>
      <c r="I41" s="2707"/>
      <c r="J41" s="2706"/>
      <c r="K41" s="2706"/>
      <c r="L41" s="2707"/>
      <c r="M41" s="2706"/>
      <c r="N41" s="2706"/>
      <c r="O41" s="2707"/>
      <c r="P41" s="2706"/>
      <c r="Q41" s="2706"/>
      <c r="R41" s="2708"/>
    </row>
    <row r="42" spans="2:18" s="901" customFormat="1">
      <c r="B42" s="2706"/>
      <c r="C42" s="2706"/>
      <c r="D42" s="2706"/>
      <c r="E42" s="2706"/>
      <c r="F42" s="2706"/>
      <c r="G42" s="2707"/>
      <c r="H42" s="2706"/>
      <c r="I42" s="2707"/>
      <c r="J42" s="2706"/>
      <c r="K42" s="2706"/>
      <c r="L42" s="2707"/>
      <c r="M42" s="2706"/>
      <c r="N42" s="2706"/>
      <c r="O42" s="2707"/>
      <c r="P42" s="2706"/>
      <c r="Q42" s="2706"/>
      <c r="R42" s="2708"/>
    </row>
    <row r="43" spans="2:18" s="901" customFormat="1">
      <c r="B43" s="2706"/>
      <c r="C43" s="2706"/>
      <c r="D43" s="2706"/>
      <c r="E43" s="2706"/>
      <c r="F43" s="2706"/>
      <c r="G43" s="2707"/>
      <c r="H43" s="2706"/>
      <c r="I43" s="2707"/>
      <c r="J43" s="2706"/>
      <c r="K43" s="2706"/>
      <c r="L43" s="2707"/>
      <c r="M43" s="2706"/>
      <c r="N43" s="2706"/>
      <c r="O43" s="2707"/>
      <c r="P43" s="2706"/>
      <c r="Q43" s="2706"/>
      <c r="R43" s="2708"/>
    </row>
    <row r="44" spans="2:18" s="901" customFormat="1">
      <c r="B44" s="2706"/>
      <c r="C44" s="2706"/>
      <c r="D44" s="2706"/>
      <c r="E44" s="2706"/>
      <c r="F44" s="2706"/>
      <c r="G44" s="2707"/>
      <c r="H44" s="2706"/>
      <c r="I44" s="2707"/>
      <c r="J44" s="2706"/>
      <c r="K44" s="2706"/>
      <c r="L44" s="2707"/>
      <c r="M44" s="2706"/>
      <c r="N44" s="2706"/>
      <c r="O44" s="2707"/>
      <c r="P44" s="2706"/>
      <c r="Q44" s="2706"/>
      <c r="R44" s="2708"/>
    </row>
    <row r="45" spans="2:18" s="901" customFormat="1">
      <c r="B45" s="2706"/>
      <c r="C45" s="2706"/>
      <c r="D45" s="2706"/>
      <c r="E45" s="2706"/>
      <c r="F45" s="2706"/>
      <c r="G45" s="2707"/>
      <c r="H45" s="2706"/>
      <c r="I45" s="2707"/>
      <c r="J45" s="2706"/>
      <c r="K45" s="2706"/>
      <c r="L45" s="2707"/>
      <c r="M45" s="2706"/>
      <c r="N45" s="2706"/>
      <c r="O45" s="2707"/>
      <c r="P45" s="2706"/>
      <c r="Q45" s="2706"/>
      <c r="R45" s="2708"/>
    </row>
    <row r="46" spans="2:18" s="901" customFormat="1">
      <c r="B46" s="2706"/>
      <c r="C46" s="2706"/>
      <c r="D46" s="2706"/>
      <c r="E46" s="2706"/>
      <c r="F46" s="2706"/>
      <c r="G46" s="2707"/>
      <c r="H46" s="2706"/>
      <c r="I46" s="2707"/>
      <c r="J46" s="2706"/>
      <c r="K46" s="2706"/>
      <c r="L46" s="2707"/>
      <c r="M46" s="2706"/>
      <c r="N46" s="2706"/>
      <c r="O46" s="2707"/>
      <c r="P46" s="2706"/>
      <c r="Q46" s="2706"/>
      <c r="R46" s="2708"/>
    </row>
    <row r="47" spans="2:18" s="901" customFormat="1">
      <c r="B47" s="2706"/>
      <c r="C47" s="2706"/>
      <c r="D47" s="2706"/>
      <c r="E47" s="2706"/>
      <c r="F47" s="2706"/>
      <c r="G47" s="2707"/>
      <c r="H47" s="2706"/>
      <c r="I47" s="2707"/>
      <c r="J47" s="2706"/>
      <c r="K47" s="2706"/>
      <c r="L47" s="2707"/>
      <c r="M47" s="2706"/>
      <c r="N47" s="2706"/>
      <c r="O47" s="2707"/>
      <c r="P47" s="2706"/>
      <c r="Q47" s="2706"/>
      <c r="R47" s="2708"/>
    </row>
    <row r="48" spans="2:18" s="901" customFormat="1">
      <c r="B48" s="2706"/>
      <c r="C48" s="2706"/>
      <c r="D48" s="2706"/>
      <c r="E48" s="2706"/>
      <c r="F48" s="2706"/>
      <c r="G48" s="2707"/>
      <c r="H48" s="2706"/>
      <c r="I48" s="2707"/>
      <c r="J48" s="2706"/>
      <c r="K48" s="2706"/>
      <c r="L48" s="2707"/>
      <c r="M48" s="2706"/>
      <c r="N48" s="2706"/>
      <c r="O48" s="2707"/>
      <c r="P48" s="2706"/>
      <c r="Q48" s="2706"/>
      <c r="R48" s="2708"/>
    </row>
    <row r="49" spans="2:18" s="901" customFormat="1">
      <c r="B49" s="2706"/>
      <c r="C49" s="2706"/>
      <c r="D49" s="2706"/>
      <c r="E49" s="2706"/>
      <c r="F49" s="2706"/>
      <c r="G49" s="2707"/>
      <c r="H49" s="2706"/>
      <c r="I49" s="2707"/>
      <c r="J49" s="2706"/>
      <c r="K49" s="2706"/>
      <c r="L49" s="2707"/>
      <c r="M49" s="2706"/>
      <c r="N49" s="2706"/>
      <c r="O49" s="2707"/>
      <c r="P49" s="2706"/>
      <c r="Q49" s="2706"/>
      <c r="R49" s="2708"/>
    </row>
    <row r="50" spans="2:18" s="901" customFormat="1">
      <c r="B50" s="2706"/>
      <c r="C50" s="2706"/>
      <c r="D50" s="2706"/>
      <c r="E50" s="2706"/>
      <c r="F50" s="2706"/>
      <c r="G50" s="2707"/>
      <c r="H50" s="2706"/>
      <c r="I50" s="2707"/>
      <c r="J50" s="2706"/>
      <c r="K50" s="2706"/>
      <c r="L50" s="2707"/>
      <c r="M50" s="2706"/>
      <c r="N50" s="2706"/>
      <c r="O50" s="2707"/>
      <c r="P50" s="2706"/>
      <c r="Q50" s="2706"/>
      <c r="R50" s="2708"/>
    </row>
    <row r="51" spans="2:18" s="901" customFormat="1">
      <c r="B51" s="2706"/>
      <c r="C51" s="2706"/>
      <c r="D51" s="2706"/>
      <c r="E51" s="2706"/>
      <c r="F51" s="2706"/>
      <c r="G51" s="2707"/>
      <c r="H51" s="2706"/>
      <c r="I51" s="2707"/>
      <c r="J51" s="2706"/>
      <c r="K51" s="2706"/>
      <c r="L51" s="2707"/>
      <c r="M51" s="2706"/>
      <c r="N51" s="2706"/>
      <c r="O51" s="2707"/>
      <c r="P51" s="2706"/>
      <c r="Q51" s="2706"/>
      <c r="R51" s="2708"/>
    </row>
    <row r="52" spans="2:18" s="901" customFormat="1">
      <c r="B52" s="2706"/>
      <c r="C52" s="2706"/>
      <c r="D52" s="2706"/>
      <c r="E52" s="2706"/>
      <c r="F52" s="2706"/>
      <c r="G52" s="2707"/>
      <c r="H52" s="2706"/>
      <c r="I52" s="2707"/>
      <c r="J52" s="2706"/>
      <c r="K52" s="2706"/>
      <c r="L52" s="2707"/>
      <c r="M52" s="2706"/>
      <c r="N52" s="2706"/>
      <c r="O52" s="2707"/>
      <c r="P52" s="2706"/>
      <c r="Q52" s="2706"/>
      <c r="R52" s="2708"/>
    </row>
    <row r="53" spans="2:18" s="901" customFormat="1">
      <c r="B53" s="2706"/>
      <c r="C53" s="2706"/>
      <c r="D53" s="2706"/>
      <c r="E53" s="2706"/>
      <c r="F53" s="2706"/>
      <c r="G53" s="2707"/>
      <c r="H53" s="2706"/>
      <c r="I53" s="2707"/>
      <c r="J53" s="2706"/>
      <c r="K53" s="2706"/>
      <c r="L53" s="2707"/>
      <c r="M53" s="2706"/>
      <c r="N53" s="2706"/>
      <c r="O53" s="2707"/>
      <c r="P53" s="2706"/>
      <c r="Q53" s="2706"/>
      <c r="R53" s="2708"/>
    </row>
    <row r="54" spans="2:18" s="901" customFormat="1">
      <c r="B54" s="2706"/>
      <c r="C54" s="2706"/>
      <c r="D54" s="2706"/>
      <c r="E54" s="2706"/>
      <c r="F54" s="2706"/>
      <c r="G54" s="2707"/>
      <c r="H54" s="2706"/>
      <c r="I54" s="2707"/>
      <c r="J54" s="2706"/>
      <c r="K54" s="2706"/>
      <c r="L54" s="2707"/>
      <c r="M54" s="2706"/>
      <c r="N54" s="2706"/>
      <c r="O54" s="2707"/>
      <c r="P54" s="2706"/>
      <c r="Q54" s="2706"/>
      <c r="R54" s="2708"/>
    </row>
    <row r="55" spans="2:18" s="901" customFormat="1">
      <c r="B55" s="2706"/>
      <c r="C55" s="2706"/>
      <c r="D55" s="2706"/>
      <c r="E55" s="2706"/>
      <c r="F55" s="2706"/>
      <c r="G55" s="2707"/>
      <c r="H55" s="2706"/>
      <c r="I55" s="2707"/>
      <c r="J55" s="2706"/>
      <c r="K55" s="2706"/>
      <c r="L55" s="2707"/>
      <c r="M55" s="2706"/>
      <c r="N55" s="2706"/>
      <c r="O55" s="2707"/>
      <c r="P55" s="2706"/>
      <c r="Q55" s="2706"/>
      <c r="R55" s="2708"/>
    </row>
    <row r="56" spans="2:18" s="901" customFormat="1">
      <c r="B56" s="2706"/>
      <c r="C56" s="2706"/>
      <c r="D56" s="2706"/>
      <c r="E56" s="2706"/>
      <c r="F56" s="2706"/>
      <c r="G56" s="2707"/>
      <c r="H56" s="2706"/>
      <c r="I56" s="2707"/>
      <c r="J56" s="2706"/>
      <c r="K56" s="2706"/>
      <c r="L56" s="2707"/>
      <c r="M56" s="2706"/>
      <c r="N56" s="2706"/>
      <c r="O56" s="2707"/>
      <c r="P56" s="2706"/>
      <c r="Q56" s="2706"/>
      <c r="R56" s="2708"/>
    </row>
    <row r="57" spans="2:18" s="901" customFormat="1">
      <c r="B57" s="2706"/>
      <c r="C57" s="2706"/>
      <c r="D57" s="2706"/>
      <c r="E57" s="2706"/>
      <c r="F57" s="2706"/>
      <c r="G57" s="2707"/>
      <c r="H57" s="2706"/>
      <c r="I57" s="2707"/>
      <c r="J57" s="2706"/>
      <c r="K57" s="2706"/>
      <c r="L57" s="2707"/>
      <c r="M57" s="2706"/>
      <c r="N57" s="2706"/>
      <c r="O57" s="2707"/>
      <c r="P57" s="2706"/>
      <c r="Q57" s="2706"/>
      <c r="R57" s="2708"/>
    </row>
    <row r="58" spans="2:18" s="901" customFormat="1">
      <c r="B58" s="2706"/>
      <c r="C58" s="2706"/>
      <c r="D58" s="2706"/>
      <c r="E58" s="2706"/>
      <c r="F58" s="2706"/>
      <c r="G58" s="2707"/>
      <c r="H58" s="2706"/>
      <c r="I58" s="2707"/>
      <c r="J58" s="2706"/>
      <c r="K58" s="2706"/>
      <c r="L58" s="2707"/>
      <c r="M58" s="2706"/>
      <c r="N58" s="2706"/>
      <c r="O58" s="2707"/>
      <c r="P58" s="2706"/>
      <c r="Q58" s="2706"/>
      <c r="R58" s="2708"/>
    </row>
    <row r="59" spans="2:18" s="901" customFormat="1">
      <c r="B59" s="2706"/>
      <c r="C59" s="2706"/>
      <c r="D59" s="2706"/>
      <c r="E59" s="2706"/>
      <c r="F59" s="2706"/>
      <c r="G59" s="2707"/>
      <c r="H59" s="2706"/>
      <c r="I59" s="2707"/>
      <c r="J59" s="2706"/>
      <c r="K59" s="2706"/>
      <c r="L59" s="2707"/>
      <c r="M59" s="2706"/>
      <c r="N59" s="2706"/>
      <c r="O59" s="2707"/>
      <c r="P59" s="2706"/>
      <c r="Q59" s="2706"/>
      <c r="R59" s="2708"/>
    </row>
    <row r="60" spans="2:18" s="901" customFormat="1">
      <c r="B60" s="2706"/>
      <c r="C60" s="2706"/>
      <c r="D60" s="2706"/>
      <c r="E60" s="2706"/>
      <c r="F60" s="2706"/>
      <c r="G60" s="2707"/>
      <c r="H60" s="2706"/>
      <c r="I60" s="2707"/>
      <c r="J60" s="2706"/>
      <c r="K60" s="2706"/>
      <c r="L60" s="2707"/>
      <c r="M60" s="2706"/>
      <c r="N60" s="2706"/>
      <c r="O60" s="2707"/>
      <c r="P60" s="2706"/>
      <c r="Q60" s="2706"/>
      <c r="R60" s="2708"/>
    </row>
    <row r="61" spans="2:18" s="901" customFormat="1">
      <c r="B61" s="2706"/>
      <c r="C61" s="2706"/>
      <c r="D61" s="2706"/>
      <c r="E61" s="2706"/>
      <c r="F61" s="2706"/>
      <c r="G61" s="2707"/>
      <c r="H61" s="2706"/>
      <c r="I61" s="2707"/>
      <c r="J61" s="2706"/>
      <c r="K61" s="2706"/>
      <c r="L61" s="2707"/>
      <c r="M61" s="2706"/>
      <c r="N61" s="2706"/>
      <c r="O61" s="2707"/>
      <c r="P61" s="2706"/>
      <c r="Q61" s="2706"/>
      <c r="R61" s="2708"/>
    </row>
    <row r="62" spans="2:18" s="901" customFormat="1">
      <c r="B62" s="2706"/>
      <c r="C62" s="2706"/>
      <c r="D62" s="2706"/>
      <c r="E62" s="2706"/>
      <c r="F62" s="2706"/>
      <c r="G62" s="2707"/>
      <c r="H62" s="2706"/>
      <c r="I62" s="2707"/>
      <c r="J62" s="2706"/>
      <c r="K62" s="2706"/>
      <c r="L62" s="2707"/>
      <c r="M62" s="2706"/>
      <c r="N62" s="2706"/>
      <c r="O62" s="2707"/>
      <c r="P62" s="2706"/>
      <c r="Q62" s="2706"/>
      <c r="R62" s="2708"/>
    </row>
    <row r="63" spans="2:18" s="901" customFormat="1">
      <c r="B63" s="2706"/>
      <c r="C63" s="2706"/>
      <c r="D63" s="2706"/>
      <c r="E63" s="2706"/>
      <c r="F63" s="2706"/>
      <c r="G63" s="2707"/>
      <c r="H63" s="2706"/>
      <c r="I63" s="2707"/>
      <c r="J63" s="2706"/>
      <c r="K63" s="2706"/>
      <c r="L63" s="2707"/>
      <c r="M63" s="2706"/>
      <c r="N63" s="2706"/>
      <c r="O63" s="2707"/>
      <c r="P63" s="2706"/>
      <c r="Q63" s="2706"/>
      <c r="R63" s="2708"/>
    </row>
    <row r="64" spans="2:18" s="901" customFormat="1">
      <c r="B64" s="2706"/>
      <c r="C64" s="2706"/>
      <c r="D64" s="2706"/>
      <c r="E64" s="2706"/>
      <c r="F64" s="2706"/>
      <c r="G64" s="2707"/>
      <c r="H64" s="2706"/>
      <c r="I64" s="2707"/>
      <c r="J64" s="2706"/>
      <c r="K64" s="2706"/>
      <c r="L64" s="2707"/>
      <c r="M64" s="2706"/>
      <c r="N64" s="2706"/>
      <c r="O64" s="2707"/>
      <c r="P64" s="2706"/>
      <c r="Q64" s="2706"/>
      <c r="R64" s="2708"/>
    </row>
    <row r="65" spans="2:18" s="901" customFormat="1">
      <c r="B65" s="2706"/>
      <c r="C65" s="2706"/>
      <c r="D65" s="2706"/>
      <c r="E65" s="2706"/>
      <c r="F65" s="2706"/>
      <c r="G65" s="2707"/>
      <c r="H65" s="2706"/>
      <c r="I65" s="2707"/>
      <c r="J65" s="2706"/>
      <c r="K65" s="2706"/>
      <c r="L65" s="2707"/>
      <c r="M65" s="2706"/>
      <c r="N65" s="2706"/>
      <c r="O65" s="2707"/>
      <c r="P65" s="2706"/>
      <c r="Q65" s="2706"/>
      <c r="R65" s="2708"/>
    </row>
    <row r="66" spans="2:18" s="901" customFormat="1">
      <c r="B66" s="2706"/>
      <c r="C66" s="2706"/>
      <c r="D66" s="2706"/>
      <c r="E66" s="2706"/>
      <c r="F66" s="2706"/>
      <c r="G66" s="2707"/>
      <c r="H66" s="2706"/>
      <c r="I66" s="2707"/>
      <c r="J66" s="2706"/>
      <c r="K66" s="2706"/>
      <c r="L66" s="2707"/>
      <c r="M66" s="2706"/>
      <c r="N66" s="2706"/>
      <c r="O66" s="2707"/>
      <c r="P66" s="2706"/>
      <c r="Q66" s="2706"/>
      <c r="R66" s="2708"/>
    </row>
    <row r="67" spans="2:18" s="901" customFormat="1">
      <c r="B67" s="2706"/>
      <c r="C67" s="2706"/>
      <c r="D67" s="2706"/>
      <c r="E67" s="2706"/>
      <c r="F67" s="2706"/>
      <c r="G67" s="2707"/>
      <c r="H67" s="2706"/>
      <c r="I67" s="2707"/>
      <c r="J67" s="2706"/>
      <c r="K67" s="2706"/>
      <c r="L67" s="2707"/>
      <c r="M67" s="2706"/>
      <c r="N67" s="2706"/>
      <c r="O67" s="2707"/>
      <c r="P67" s="2706"/>
      <c r="Q67" s="2706"/>
      <c r="R67" s="2708"/>
    </row>
    <row r="68" spans="2:18" s="901" customFormat="1">
      <c r="B68" s="2706"/>
      <c r="C68" s="2706"/>
      <c r="D68" s="2706"/>
      <c r="E68" s="2706"/>
      <c r="F68" s="2706"/>
      <c r="G68" s="2707"/>
      <c r="H68" s="2706"/>
      <c r="I68" s="2707"/>
      <c r="J68" s="2706"/>
      <c r="K68" s="2706"/>
      <c r="L68" s="2707"/>
      <c r="M68" s="2706"/>
      <c r="N68" s="2706"/>
      <c r="O68" s="2707"/>
      <c r="P68" s="2706"/>
      <c r="Q68" s="2706"/>
      <c r="R68" s="2708"/>
    </row>
    <row r="69" spans="2:18" s="901" customFormat="1">
      <c r="B69" s="2706"/>
      <c r="C69" s="2706"/>
      <c r="D69" s="2706"/>
      <c r="E69" s="2706"/>
      <c r="F69" s="2706"/>
      <c r="G69" s="2707"/>
      <c r="H69" s="2706"/>
      <c r="I69" s="2707"/>
      <c r="J69" s="2706"/>
      <c r="K69" s="2706"/>
      <c r="L69" s="2707"/>
      <c r="M69" s="2706"/>
      <c r="N69" s="2706"/>
      <c r="O69" s="2707"/>
      <c r="P69" s="2706"/>
      <c r="Q69" s="2706"/>
      <c r="R69" s="2708"/>
    </row>
    <row r="70" spans="2:18" s="901" customFormat="1">
      <c r="B70" s="2706"/>
      <c r="C70" s="2706"/>
      <c r="D70" s="2706"/>
      <c r="E70" s="2706"/>
      <c r="F70" s="2706"/>
      <c r="G70" s="2707"/>
      <c r="H70" s="2706"/>
      <c r="I70" s="2707"/>
      <c r="J70" s="2706"/>
      <c r="K70" s="2706"/>
      <c r="L70" s="2707"/>
      <c r="M70" s="2706"/>
      <c r="N70" s="2706"/>
      <c r="O70" s="2707"/>
      <c r="P70" s="2706"/>
      <c r="Q70" s="2706"/>
      <c r="R70" s="2708"/>
    </row>
    <row r="71" spans="2:18" s="901" customFormat="1">
      <c r="B71" s="2706"/>
      <c r="C71" s="2706"/>
      <c r="D71" s="2706"/>
      <c r="E71" s="2706"/>
      <c r="F71" s="2706"/>
      <c r="G71" s="2707"/>
      <c r="H71" s="2706"/>
      <c r="I71" s="2707"/>
      <c r="J71" s="2706"/>
      <c r="K71" s="2706"/>
      <c r="L71" s="2707"/>
      <c r="M71" s="2706"/>
      <c r="N71" s="2706"/>
      <c r="O71" s="2707"/>
      <c r="P71" s="2706"/>
      <c r="Q71" s="2706"/>
      <c r="R71" s="2708"/>
    </row>
    <row r="72" spans="2:18" s="901" customFormat="1">
      <c r="B72" s="2706"/>
      <c r="C72" s="2706"/>
      <c r="D72" s="2706"/>
      <c r="E72" s="2706"/>
      <c r="F72" s="2706"/>
      <c r="G72" s="2707"/>
      <c r="H72" s="2706"/>
      <c r="I72" s="2707"/>
      <c r="J72" s="2706"/>
      <c r="K72" s="2706"/>
      <c r="L72" s="2707"/>
      <c r="M72" s="2706"/>
      <c r="N72" s="2706"/>
      <c r="O72" s="2707"/>
      <c r="P72" s="2706"/>
      <c r="Q72" s="2706"/>
      <c r="R72" s="2708"/>
    </row>
    <row r="73" spans="2:18" s="901" customFormat="1">
      <c r="B73" s="2706"/>
      <c r="C73" s="2706"/>
      <c r="D73" s="2706"/>
      <c r="E73" s="2706"/>
      <c r="F73" s="2706"/>
      <c r="G73" s="2707"/>
      <c r="H73" s="2706"/>
      <c r="I73" s="2707"/>
      <c r="J73" s="2706"/>
      <c r="K73" s="2706"/>
      <c r="L73" s="2707"/>
      <c r="M73" s="2706"/>
      <c r="N73" s="2706"/>
      <c r="O73" s="2707"/>
      <c r="P73" s="2706"/>
      <c r="Q73" s="2706"/>
      <c r="R73" s="2708"/>
    </row>
    <row r="74" spans="2:18" s="901" customFormat="1">
      <c r="B74" s="2706"/>
      <c r="C74" s="2706"/>
      <c r="D74" s="2706"/>
      <c r="E74" s="2706"/>
      <c r="F74" s="2706"/>
      <c r="G74" s="2707"/>
      <c r="H74" s="2706"/>
      <c r="I74" s="2707"/>
      <c r="J74" s="2706"/>
      <c r="K74" s="2706"/>
      <c r="L74" s="2707"/>
      <c r="M74" s="2706"/>
      <c r="N74" s="2706"/>
      <c r="O74" s="2707"/>
      <c r="P74" s="2706"/>
      <c r="Q74" s="2706"/>
      <c r="R74" s="2708"/>
    </row>
    <row r="75" spans="2:18" s="901" customFormat="1">
      <c r="B75" s="2706"/>
      <c r="C75" s="2706"/>
      <c r="D75" s="2706"/>
      <c r="E75" s="2706"/>
      <c r="F75" s="2706"/>
      <c r="G75" s="2707"/>
      <c r="H75" s="2706"/>
      <c r="I75" s="2707"/>
      <c r="J75" s="2706"/>
      <c r="K75" s="2706"/>
      <c r="L75" s="2707"/>
      <c r="M75" s="2706"/>
      <c r="N75" s="2706"/>
      <c r="O75" s="2707"/>
      <c r="P75" s="2706"/>
      <c r="Q75" s="2706"/>
      <c r="R75" s="2708"/>
    </row>
    <row r="76" spans="2:18" s="901" customFormat="1">
      <c r="B76" s="2706"/>
      <c r="C76" s="2706"/>
      <c r="D76" s="2706"/>
      <c r="E76" s="2706"/>
      <c r="F76" s="2706"/>
      <c r="G76" s="2707"/>
      <c r="H76" s="2706"/>
      <c r="I76" s="2707"/>
      <c r="J76" s="2706"/>
      <c r="K76" s="2706"/>
      <c r="L76" s="2707"/>
      <c r="M76" s="2706"/>
      <c r="N76" s="2706"/>
      <c r="O76" s="2707"/>
      <c r="P76" s="2706"/>
      <c r="Q76" s="2706"/>
      <c r="R76" s="2708"/>
    </row>
    <row r="77" spans="2:18" s="901" customFormat="1">
      <c r="B77" s="2706"/>
      <c r="C77" s="2706"/>
      <c r="D77" s="2706"/>
      <c r="E77" s="2706"/>
      <c r="F77" s="2706"/>
      <c r="G77" s="2707"/>
      <c r="H77" s="2706"/>
      <c r="I77" s="2707"/>
      <c r="J77" s="2706"/>
      <c r="K77" s="2706"/>
      <c r="L77" s="2707"/>
      <c r="M77" s="2706"/>
      <c r="N77" s="2706"/>
      <c r="O77" s="2707"/>
      <c r="P77" s="2706"/>
      <c r="Q77" s="2706"/>
      <c r="R77" s="2708"/>
    </row>
    <row r="78" spans="2:18" s="901" customFormat="1">
      <c r="B78" s="2706"/>
      <c r="C78" s="2706"/>
      <c r="D78" s="2706"/>
      <c r="E78" s="2706"/>
      <c r="F78" s="2706"/>
      <c r="G78" s="2707"/>
      <c r="H78" s="2706"/>
      <c r="I78" s="2707"/>
      <c r="J78" s="2706"/>
      <c r="K78" s="2706"/>
      <c r="L78" s="2707"/>
      <c r="M78" s="2706"/>
      <c r="N78" s="2706"/>
      <c r="O78" s="2707"/>
      <c r="P78" s="2706"/>
      <c r="Q78" s="2706"/>
      <c r="R78" s="2708"/>
    </row>
    <row r="79" spans="2:18" s="901" customFormat="1">
      <c r="B79" s="2706"/>
      <c r="C79" s="2706"/>
      <c r="D79" s="2706"/>
      <c r="E79" s="2706"/>
      <c r="F79" s="2706"/>
      <c r="G79" s="2707"/>
      <c r="H79" s="2706"/>
      <c r="I79" s="2707"/>
      <c r="J79" s="2706"/>
      <c r="K79" s="2706"/>
      <c r="L79" s="2707"/>
      <c r="M79" s="2706"/>
      <c r="N79" s="2706"/>
      <c r="O79" s="2707"/>
      <c r="P79" s="2706"/>
      <c r="Q79" s="2706"/>
      <c r="R79" s="2708"/>
    </row>
    <row r="80" spans="2:18" s="901" customFormat="1">
      <c r="B80" s="2706"/>
      <c r="C80" s="2706"/>
      <c r="D80" s="2706"/>
      <c r="E80" s="2706"/>
      <c r="F80" s="2706"/>
      <c r="G80" s="2707"/>
      <c r="H80" s="2706"/>
      <c r="I80" s="2707"/>
      <c r="J80" s="2706"/>
      <c r="K80" s="2706"/>
      <c r="L80" s="2707"/>
      <c r="M80" s="2706"/>
      <c r="N80" s="2706"/>
      <c r="O80" s="2707"/>
      <c r="P80" s="2706"/>
      <c r="Q80" s="2706"/>
      <c r="R80" s="2708"/>
    </row>
    <row r="81" spans="2:18" s="901" customFormat="1">
      <c r="B81" s="2706"/>
      <c r="C81" s="2706"/>
      <c r="D81" s="2706"/>
      <c r="E81" s="2706"/>
      <c r="F81" s="2706"/>
      <c r="G81" s="2707"/>
      <c r="H81" s="2706"/>
      <c r="I81" s="2707"/>
      <c r="J81" s="2706"/>
      <c r="K81" s="2706"/>
      <c r="L81" s="2707"/>
      <c r="M81" s="2706"/>
      <c r="N81" s="2706"/>
      <c r="O81" s="2707"/>
      <c r="P81" s="2706"/>
      <c r="Q81" s="2706"/>
      <c r="R81" s="2708"/>
    </row>
    <row r="82" spans="2:18" s="901" customFormat="1">
      <c r="B82" s="2706"/>
      <c r="C82" s="2706"/>
      <c r="D82" s="2706"/>
      <c r="E82" s="2706"/>
      <c r="F82" s="2706"/>
      <c r="G82" s="2707"/>
      <c r="H82" s="2706"/>
      <c r="I82" s="2707"/>
      <c r="J82" s="2706"/>
      <c r="K82" s="2706"/>
      <c r="L82" s="2707"/>
      <c r="M82" s="2706"/>
      <c r="N82" s="2706"/>
      <c r="O82" s="2707"/>
      <c r="P82" s="2706"/>
      <c r="Q82" s="2706"/>
      <c r="R82" s="2708"/>
    </row>
    <row r="83" spans="2:18" s="901" customFormat="1">
      <c r="B83" s="2706"/>
      <c r="C83" s="2706"/>
      <c r="D83" s="2706"/>
      <c r="E83" s="2706"/>
      <c r="F83" s="2706"/>
      <c r="G83" s="2707"/>
      <c r="H83" s="2706"/>
      <c r="I83" s="2707"/>
      <c r="J83" s="2706"/>
      <c r="K83" s="2706"/>
      <c r="L83" s="2707"/>
      <c r="M83" s="2706"/>
      <c r="N83" s="2706"/>
      <c r="O83" s="2707"/>
      <c r="P83" s="2706"/>
      <c r="Q83" s="2706"/>
      <c r="R83" s="2708"/>
    </row>
    <row r="84" spans="2:18" s="901" customFormat="1">
      <c r="B84" s="2706"/>
      <c r="C84" s="2706"/>
      <c r="D84" s="2706"/>
      <c r="E84" s="2706"/>
      <c r="F84" s="2706"/>
      <c r="G84" s="2707"/>
      <c r="H84" s="2706"/>
      <c r="I84" s="2707"/>
      <c r="J84" s="2706"/>
      <c r="K84" s="2706"/>
      <c r="L84" s="2707"/>
      <c r="M84" s="2706"/>
      <c r="N84" s="2706"/>
      <c r="O84" s="2707"/>
      <c r="P84" s="2706"/>
      <c r="Q84" s="2706"/>
      <c r="R84" s="2708"/>
    </row>
    <row r="85" spans="2:18" s="901" customFormat="1">
      <c r="B85" s="2706"/>
      <c r="C85" s="2706"/>
      <c r="D85" s="2706"/>
      <c r="E85" s="2706"/>
      <c r="F85" s="2706"/>
      <c r="G85" s="2707"/>
      <c r="H85" s="2706"/>
      <c r="I85" s="2707"/>
      <c r="J85" s="2706"/>
      <c r="K85" s="2706"/>
      <c r="L85" s="2707"/>
      <c r="M85" s="2706"/>
      <c r="N85" s="2706"/>
      <c r="O85" s="2707"/>
      <c r="P85" s="2706"/>
      <c r="Q85" s="2706"/>
      <c r="R85" s="2708"/>
    </row>
    <row r="86" spans="2:18" s="901" customFormat="1">
      <c r="B86" s="2706"/>
      <c r="C86" s="2706"/>
      <c r="D86" s="2706"/>
      <c r="E86" s="2706"/>
      <c r="F86" s="2706"/>
      <c r="G86" s="2707"/>
      <c r="H86" s="2706"/>
      <c r="I86" s="2707"/>
      <c r="J86" s="2706"/>
      <c r="K86" s="2706"/>
      <c r="L86" s="2707"/>
      <c r="M86" s="2706"/>
      <c r="N86" s="2706"/>
      <c r="O86" s="2707"/>
      <c r="P86" s="2706"/>
      <c r="Q86" s="2706"/>
      <c r="R86" s="2708"/>
    </row>
    <row r="87" spans="2:18" s="901" customFormat="1">
      <c r="B87" s="2706"/>
      <c r="C87" s="2706"/>
      <c r="D87" s="2706"/>
      <c r="E87" s="2706"/>
      <c r="F87" s="2706"/>
      <c r="G87" s="2707"/>
      <c r="H87" s="2706"/>
      <c r="I87" s="2707"/>
      <c r="J87" s="2706"/>
      <c r="K87" s="2706"/>
      <c r="L87" s="2707"/>
      <c r="M87" s="2706"/>
      <c r="N87" s="2706"/>
      <c r="O87" s="2707"/>
      <c r="P87" s="2706"/>
      <c r="Q87" s="2706"/>
      <c r="R87" s="2708"/>
    </row>
    <row r="88" spans="2:18" s="901" customFormat="1">
      <c r="B88" s="2706"/>
      <c r="C88" s="2706"/>
      <c r="D88" s="2706"/>
      <c r="E88" s="2706"/>
      <c r="F88" s="2706"/>
      <c r="G88" s="2707"/>
      <c r="H88" s="2706"/>
      <c r="I88" s="2707"/>
      <c r="J88" s="2706"/>
      <c r="K88" s="2706"/>
      <c r="L88" s="2707"/>
      <c r="M88" s="2706"/>
      <c r="N88" s="2706"/>
      <c r="O88" s="2707"/>
      <c r="P88" s="2706"/>
      <c r="Q88" s="2706"/>
      <c r="R88" s="2708"/>
    </row>
    <row r="89" spans="2:18" s="901" customFormat="1">
      <c r="B89" s="2706"/>
      <c r="C89" s="2706"/>
      <c r="D89" s="2706"/>
      <c r="E89" s="2706"/>
      <c r="F89" s="2706"/>
      <c r="G89" s="2707"/>
      <c r="H89" s="2706"/>
      <c r="I89" s="2707"/>
      <c r="J89" s="2706"/>
      <c r="K89" s="2706"/>
      <c r="L89" s="2707"/>
      <c r="M89" s="2706"/>
      <c r="N89" s="2706"/>
      <c r="O89" s="2707"/>
      <c r="P89" s="2706"/>
      <c r="Q89" s="2706"/>
      <c r="R89" s="2708"/>
    </row>
    <row r="90" spans="2:18" s="901" customFormat="1">
      <c r="B90" s="2706"/>
      <c r="C90" s="2706"/>
      <c r="D90" s="2706"/>
      <c r="E90" s="2706"/>
      <c r="F90" s="2706"/>
      <c r="G90" s="2707"/>
      <c r="H90" s="2706"/>
      <c r="I90" s="2707"/>
      <c r="J90" s="2706"/>
      <c r="K90" s="2706"/>
      <c r="L90" s="2707"/>
      <c r="M90" s="2706"/>
      <c r="N90" s="2706"/>
      <c r="O90" s="2707"/>
      <c r="P90" s="2706"/>
      <c r="Q90" s="2706"/>
      <c r="R90" s="2708"/>
    </row>
    <row r="91" spans="2:18" s="901" customFormat="1">
      <c r="B91" s="2706"/>
      <c r="C91" s="2706"/>
      <c r="D91" s="2706"/>
      <c r="E91" s="2706"/>
      <c r="F91" s="2706"/>
      <c r="G91" s="2707"/>
      <c r="H91" s="2706"/>
      <c r="I91" s="2707"/>
      <c r="J91" s="2706"/>
      <c r="K91" s="2706"/>
      <c r="L91" s="2707"/>
      <c r="M91" s="2706"/>
      <c r="N91" s="2706"/>
      <c r="O91" s="2707"/>
      <c r="P91" s="2706"/>
      <c r="Q91" s="2706"/>
      <c r="R91" s="2708"/>
    </row>
    <row r="92" spans="2:18" s="901" customFormat="1">
      <c r="B92" s="2706"/>
      <c r="C92" s="2706"/>
      <c r="D92" s="2706"/>
      <c r="E92" s="2706"/>
      <c r="F92" s="2706"/>
      <c r="G92" s="2707"/>
      <c r="H92" s="2706"/>
      <c r="I92" s="2707"/>
      <c r="J92" s="2706"/>
      <c r="K92" s="2706"/>
      <c r="L92" s="2707"/>
      <c r="M92" s="2706"/>
      <c r="N92" s="2706"/>
      <c r="O92" s="2707"/>
      <c r="P92" s="2706"/>
      <c r="Q92" s="2706"/>
      <c r="R92" s="2708"/>
    </row>
    <row r="93" spans="2:18" s="901" customFormat="1">
      <c r="B93" s="2706"/>
      <c r="C93" s="2706"/>
      <c r="D93" s="2706"/>
      <c r="E93" s="2706"/>
      <c r="F93" s="2706"/>
      <c r="G93" s="2707"/>
      <c r="H93" s="2706"/>
      <c r="I93" s="2707"/>
      <c r="J93" s="2706"/>
      <c r="K93" s="2706"/>
      <c r="L93" s="2707"/>
      <c r="M93" s="2706"/>
      <c r="N93" s="2706"/>
      <c r="O93" s="2707"/>
      <c r="P93" s="2706"/>
      <c r="Q93" s="2706"/>
      <c r="R93" s="2708"/>
    </row>
    <row r="94" spans="2:18" s="901" customFormat="1">
      <c r="B94" s="2706"/>
      <c r="C94" s="2706"/>
      <c r="D94" s="2706"/>
      <c r="E94" s="2706"/>
      <c r="F94" s="2706"/>
      <c r="G94" s="2707"/>
      <c r="H94" s="2706"/>
      <c r="I94" s="2707"/>
      <c r="J94" s="2706"/>
      <c r="K94" s="2706"/>
      <c r="L94" s="2707"/>
      <c r="M94" s="2706"/>
      <c r="N94" s="2706"/>
      <c r="O94" s="2707"/>
      <c r="P94" s="2706"/>
      <c r="Q94" s="2706"/>
      <c r="R94" s="2708"/>
    </row>
    <row r="95" spans="2:18" s="901" customFormat="1">
      <c r="B95" s="2706"/>
      <c r="C95" s="2706"/>
      <c r="D95" s="2706"/>
      <c r="E95" s="2706"/>
      <c r="F95" s="2706"/>
      <c r="G95" s="2707"/>
      <c r="H95" s="2706"/>
      <c r="I95" s="2707"/>
      <c r="J95" s="2706"/>
      <c r="K95" s="2706"/>
      <c r="L95" s="2707"/>
      <c r="M95" s="2706"/>
      <c r="N95" s="2706"/>
      <c r="O95" s="2707"/>
      <c r="P95" s="2706"/>
      <c r="Q95" s="2706"/>
      <c r="R95" s="2708"/>
    </row>
    <row r="96" spans="2:18" s="901" customFormat="1">
      <c r="B96" s="2706"/>
      <c r="C96" s="2706"/>
      <c r="D96" s="2706"/>
      <c r="E96" s="2706"/>
      <c r="F96" s="2706"/>
      <c r="G96" s="2707"/>
      <c r="H96" s="2706"/>
      <c r="I96" s="2707"/>
      <c r="J96" s="2706"/>
      <c r="K96" s="2706"/>
      <c r="L96" s="2707"/>
      <c r="M96" s="2706"/>
      <c r="N96" s="2706"/>
      <c r="O96" s="2707"/>
      <c r="P96" s="2706"/>
      <c r="Q96" s="2706"/>
      <c r="R96" s="2708"/>
    </row>
    <row r="97" spans="2:18" s="901" customFormat="1">
      <c r="B97" s="2706"/>
      <c r="C97" s="2706"/>
      <c r="D97" s="2706"/>
      <c r="E97" s="2706"/>
      <c r="F97" s="2706"/>
      <c r="G97" s="2707"/>
      <c r="H97" s="2706"/>
      <c r="I97" s="2707"/>
      <c r="J97" s="2706"/>
      <c r="K97" s="2706"/>
      <c r="L97" s="2707"/>
      <c r="M97" s="2706"/>
      <c r="N97" s="2706"/>
      <c r="O97" s="2707"/>
      <c r="P97" s="2706"/>
      <c r="Q97" s="2706"/>
      <c r="R97" s="2708"/>
    </row>
    <row r="98" spans="2:18" s="901" customFormat="1">
      <c r="B98" s="2706"/>
      <c r="C98" s="2706"/>
      <c r="D98" s="2706"/>
      <c r="E98" s="2706"/>
      <c r="F98" s="2706"/>
      <c r="G98" s="2707"/>
      <c r="H98" s="2706"/>
      <c r="I98" s="2707"/>
      <c r="J98" s="2706"/>
      <c r="K98" s="2706"/>
      <c r="L98" s="2707"/>
      <c r="M98" s="2706"/>
      <c r="N98" s="2706"/>
      <c r="O98" s="2707"/>
      <c r="P98" s="2706"/>
      <c r="Q98" s="2706"/>
      <c r="R98" s="2708"/>
    </row>
    <row r="99" spans="2:18" s="901" customFormat="1">
      <c r="B99" s="2706"/>
      <c r="C99" s="2706"/>
      <c r="D99" s="2706"/>
      <c r="E99" s="2706"/>
      <c r="F99" s="2706"/>
      <c r="G99" s="2707"/>
      <c r="H99" s="2706"/>
      <c r="I99" s="2707"/>
      <c r="J99" s="2706"/>
      <c r="K99" s="2706"/>
      <c r="L99" s="2707"/>
      <c r="M99" s="2706"/>
      <c r="N99" s="2706"/>
      <c r="O99" s="2707"/>
      <c r="P99" s="2706"/>
      <c r="Q99" s="2706"/>
      <c r="R99" s="2708"/>
    </row>
    <row r="100" spans="2:18" s="901" customFormat="1">
      <c r="B100" s="2706"/>
      <c r="C100" s="2706"/>
      <c r="D100" s="2706"/>
      <c r="E100" s="2706"/>
      <c r="F100" s="2706"/>
      <c r="G100" s="2707"/>
      <c r="H100" s="2706"/>
      <c r="I100" s="2707"/>
      <c r="J100" s="2706"/>
      <c r="K100" s="2706"/>
      <c r="L100" s="2707"/>
      <c r="M100" s="2706"/>
      <c r="N100" s="2706"/>
      <c r="O100" s="2707"/>
      <c r="P100" s="2706"/>
      <c r="Q100" s="2706"/>
      <c r="R100" s="2708"/>
    </row>
    <row r="101" spans="2:18" s="901" customFormat="1">
      <c r="B101" s="2706"/>
      <c r="C101" s="2706"/>
      <c r="D101" s="2706"/>
      <c r="E101" s="2706"/>
      <c r="F101" s="2706"/>
      <c r="G101" s="2707"/>
      <c r="H101" s="2706"/>
      <c r="I101" s="2707"/>
      <c r="J101" s="2706"/>
      <c r="K101" s="2706"/>
      <c r="L101" s="2707"/>
      <c r="M101" s="2706"/>
      <c r="N101" s="2706"/>
      <c r="O101" s="2707"/>
      <c r="P101" s="2706"/>
      <c r="Q101" s="2706"/>
      <c r="R101" s="2708"/>
    </row>
    <row r="102" spans="2:18" s="901" customFormat="1">
      <c r="B102" s="2706"/>
      <c r="C102" s="2706"/>
      <c r="D102" s="2706"/>
      <c r="E102" s="2706"/>
      <c r="F102" s="2706"/>
      <c r="G102" s="2707"/>
      <c r="H102" s="2706"/>
      <c r="I102" s="2707"/>
      <c r="J102" s="2706"/>
      <c r="K102" s="2706"/>
      <c r="L102" s="2707"/>
      <c r="M102" s="2706"/>
      <c r="N102" s="2706"/>
      <c r="O102" s="2707"/>
      <c r="P102" s="2706"/>
      <c r="Q102" s="2706"/>
      <c r="R102" s="2708"/>
    </row>
    <row r="103" spans="2:18" s="901" customFormat="1">
      <c r="B103" s="2706"/>
      <c r="C103" s="2706"/>
      <c r="D103" s="2706"/>
      <c r="E103" s="2706"/>
      <c r="F103" s="2706"/>
      <c r="G103" s="2707"/>
      <c r="H103" s="2706"/>
      <c r="I103" s="2707"/>
      <c r="J103" s="2706"/>
      <c r="K103" s="2706"/>
      <c r="L103" s="2707"/>
      <c r="M103" s="2706"/>
      <c r="N103" s="2706"/>
      <c r="O103" s="2707"/>
      <c r="P103" s="2706"/>
      <c r="Q103" s="2706"/>
      <c r="R103" s="2708"/>
    </row>
    <row r="104" spans="2:18" s="901" customFormat="1">
      <c r="B104" s="2706"/>
      <c r="C104" s="2706"/>
      <c r="D104" s="2706"/>
      <c r="E104" s="2706"/>
      <c r="F104" s="2706"/>
      <c r="G104" s="2707"/>
      <c r="H104" s="2706"/>
      <c r="I104" s="2707"/>
      <c r="J104" s="2706"/>
      <c r="K104" s="2706"/>
      <c r="L104" s="2707"/>
      <c r="M104" s="2706"/>
      <c r="N104" s="2706"/>
      <c r="O104" s="2707"/>
      <c r="P104" s="2706"/>
      <c r="Q104" s="2706"/>
      <c r="R104" s="2708"/>
    </row>
    <row r="105" spans="2:18" s="901" customFormat="1">
      <c r="B105" s="2706"/>
      <c r="C105" s="2706"/>
      <c r="D105" s="2706"/>
      <c r="E105" s="2706"/>
      <c r="F105" s="2706"/>
      <c r="G105" s="2707"/>
      <c r="H105" s="2706"/>
      <c r="I105" s="2707"/>
      <c r="J105" s="2706"/>
      <c r="K105" s="2706"/>
      <c r="L105" s="2707"/>
      <c r="M105" s="2706"/>
      <c r="N105" s="2706"/>
      <c r="O105" s="2707"/>
      <c r="P105" s="2706"/>
      <c r="Q105" s="2706"/>
      <c r="R105" s="2708"/>
    </row>
    <row r="106" spans="2:18" s="901" customFormat="1">
      <c r="B106" s="2706"/>
      <c r="C106" s="2706"/>
      <c r="D106" s="2706"/>
      <c r="E106" s="2706"/>
      <c r="F106" s="2706"/>
      <c r="G106" s="2707"/>
      <c r="H106" s="2706"/>
      <c r="I106" s="2707"/>
      <c r="J106" s="2706"/>
      <c r="K106" s="2706"/>
      <c r="L106" s="2707"/>
      <c r="M106" s="2706"/>
      <c r="N106" s="2706"/>
      <c r="O106" s="2707"/>
      <c r="P106" s="2706"/>
      <c r="Q106" s="2706"/>
      <c r="R106" s="2708"/>
    </row>
    <row r="107" spans="2:18" s="901" customFormat="1">
      <c r="B107" s="2706"/>
      <c r="C107" s="2706"/>
      <c r="D107" s="2706"/>
      <c r="E107" s="2706"/>
      <c r="F107" s="2706"/>
      <c r="G107" s="2707"/>
      <c r="H107" s="2706"/>
      <c r="I107" s="2707"/>
      <c r="J107" s="2706"/>
      <c r="K107" s="2706"/>
      <c r="L107" s="2707"/>
      <c r="M107" s="2706"/>
      <c r="N107" s="2706"/>
      <c r="O107" s="2707"/>
      <c r="P107" s="2706"/>
      <c r="Q107" s="2706"/>
      <c r="R107" s="2708"/>
    </row>
    <row r="108" spans="2:18" s="901" customFormat="1">
      <c r="B108" s="2706"/>
      <c r="C108" s="2706"/>
      <c r="D108" s="2706"/>
      <c r="E108" s="2706"/>
      <c r="F108" s="2706"/>
      <c r="G108" s="2707"/>
      <c r="H108" s="2706"/>
      <c r="I108" s="2707"/>
      <c r="J108" s="2706"/>
      <c r="K108" s="2706"/>
      <c r="L108" s="2707"/>
      <c r="M108" s="2706"/>
      <c r="N108" s="2706"/>
      <c r="O108" s="2707"/>
      <c r="P108" s="2706"/>
      <c r="Q108" s="2706"/>
      <c r="R108" s="2708"/>
    </row>
    <row r="109" spans="2:18" s="901" customFormat="1">
      <c r="B109" s="2706"/>
      <c r="C109" s="2706"/>
      <c r="D109" s="2706"/>
      <c r="E109" s="2706"/>
      <c r="F109" s="2706"/>
      <c r="G109" s="2707"/>
      <c r="H109" s="2706"/>
      <c r="I109" s="2707"/>
      <c r="J109" s="2706"/>
      <c r="K109" s="2706"/>
      <c r="L109" s="2707"/>
      <c r="M109" s="2706"/>
      <c r="N109" s="2706"/>
      <c r="O109" s="2707"/>
      <c r="P109" s="2706"/>
      <c r="Q109" s="2706"/>
      <c r="R109" s="2708"/>
    </row>
    <row r="110" spans="2:18" s="901" customFormat="1">
      <c r="B110" s="2706"/>
      <c r="C110" s="2706"/>
      <c r="D110" s="2706"/>
      <c r="E110" s="2706"/>
      <c r="F110" s="2706"/>
      <c r="G110" s="2707"/>
      <c r="H110" s="2706"/>
      <c r="I110" s="2707"/>
      <c r="J110" s="2706"/>
      <c r="K110" s="2706"/>
      <c r="L110" s="2707"/>
      <c r="M110" s="2706"/>
      <c r="N110" s="2706"/>
      <c r="O110" s="2707"/>
      <c r="P110" s="2706"/>
      <c r="Q110" s="2706"/>
      <c r="R110" s="2708"/>
    </row>
    <row r="111" spans="2:18" s="901" customFormat="1">
      <c r="B111" s="2706"/>
      <c r="C111" s="2706"/>
      <c r="D111" s="2706"/>
      <c r="E111" s="2706"/>
      <c r="F111" s="2706"/>
      <c r="G111" s="2707"/>
      <c r="H111" s="2706"/>
      <c r="I111" s="2707"/>
      <c r="J111" s="2706"/>
      <c r="K111" s="2706"/>
      <c r="L111" s="2707"/>
      <c r="M111" s="2706"/>
      <c r="N111" s="2706"/>
      <c r="O111" s="2707"/>
      <c r="P111" s="2706"/>
      <c r="Q111" s="2706"/>
      <c r="R111" s="2708"/>
    </row>
    <row r="112" spans="2:18" s="901" customFormat="1">
      <c r="B112" s="2706"/>
      <c r="C112" s="2706"/>
      <c r="D112" s="2706"/>
      <c r="E112" s="2706"/>
      <c r="F112" s="2706"/>
      <c r="G112" s="2707"/>
      <c r="H112" s="2706"/>
      <c r="I112" s="2707"/>
      <c r="J112" s="2706"/>
      <c r="K112" s="2706"/>
      <c r="L112" s="2707"/>
      <c r="M112" s="2706"/>
      <c r="N112" s="2706"/>
      <c r="O112" s="2707"/>
      <c r="P112" s="2706"/>
      <c r="Q112" s="2706"/>
      <c r="R112" s="2708"/>
    </row>
    <row r="113" spans="2:18" s="901" customFormat="1">
      <c r="B113" s="2706"/>
      <c r="C113" s="2706"/>
      <c r="D113" s="2706"/>
      <c r="E113" s="2706"/>
      <c r="F113" s="2706"/>
      <c r="G113" s="2707"/>
      <c r="H113" s="2706"/>
      <c r="I113" s="2707"/>
      <c r="J113" s="2706"/>
      <c r="K113" s="2706"/>
      <c r="L113" s="2707"/>
      <c r="M113" s="2706"/>
      <c r="N113" s="2706"/>
      <c r="O113" s="2707"/>
      <c r="P113" s="2706"/>
      <c r="Q113" s="2706"/>
      <c r="R113" s="2708"/>
    </row>
    <row r="114" spans="2:18" s="901" customFormat="1">
      <c r="B114" s="2706"/>
      <c r="C114" s="2706"/>
      <c r="D114" s="2706"/>
      <c r="E114" s="2706"/>
      <c r="F114" s="2706"/>
      <c r="G114" s="2707"/>
      <c r="H114" s="2706"/>
      <c r="I114" s="2707"/>
      <c r="J114" s="2706"/>
      <c r="K114" s="2706"/>
      <c r="L114" s="2707"/>
      <c r="M114" s="2706"/>
      <c r="N114" s="2706"/>
      <c r="O114" s="2707"/>
      <c r="P114" s="2706"/>
      <c r="Q114" s="2706"/>
      <c r="R114" s="2708"/>
    </row>
    <row r="115" spans="2:18" s="901" customFormat="1">
      <c r="B115" s="2706"/>
      <c r="C115" s="2706"/>
      <c r="D115" s="2706"/>
      <c r="E115" s="2706"/>
      <c r="F115" s="2706"/>
      <c r="G115" s="2707"/>
      <c r="H115" s="2706"/>
      <c r="I115" s="2707"/>
      <c r="J115" s="2706"/>
      <c r="K115" s="2706"/>
      <c r="L115" s="2707"/>
      <c r="M115" s="2706"/>
      <c r="N115" s="2706"/>
      <c r="O115" s="2707"/>
      <c r="P115" s="2706"/>
      <c r="Q115" s="2706"/>
      <c r="R115" s="2708"/>
    </row>
    <row r="116" spans="2:18" s="901" customFormat="1">
      <c r="B116" s="2706"/>
      <c r="C116" s="2706"/>
      <c r="D116" s="2706"/>
      <c r="E116" s="2706"/>
      <c r="F116" s="2706"/>
      <c r="G116" s="2707"/>
      <c r="H116" s="2706"/>
      <c r="I116" s="2707"/>
      <c r="J116" s="2706"/>
      <c r="K116" s="2706"/>
      <c r="L116" s="2707"/>
      <c r="M116" s="2706"/>
      <c r="N116" s="2706"/>
      <c r="O116" s="2707"/>
      <c r="P116" s="2706"/>
      <c r="Q116" s="2706"/>
      <c r="R116" s="2708"/>
    </row>
    <row r="117" spans="2:18" s="901" customFormat="1">
      <c r="B117" s="2706"/>
      <c r="C117" s="2706"/>
      <c r="D117" s="2706"/>
      <c r="E117" s="2706"/>
      <c r="F117" s="2706"/>
      <c r="G117" s="2707"/>
      <c r="H117" s="2706"/>
      <c r="I117" s="2707"/>
      <c r="J117" s="2706"/>
      <c r="K117" s="2706"/>
      <c r="L117" s="2707"/>
      <c r="M117" s="2706"/>
      <c r="N117" s="2706"/>
      <c r="O117" s="2707"/>
      <c r="P117" s="2706"/>
      <c r="Q117" s="2706"/>
      <c r="R117" s="2708"/>
    </row>
    <row r="118" spans="2:18" s="901" customFormat="1">
      <c r="B118" s="2706"/>
      <c r="C118" s="2706"/>
      <c r="D118" s="2706"/>
      <c r="E118" s="2706"/>
      <c r="F118" s="2706"/>
      <c r="G118" s="2707"/>
      <c r="H118" s="2706"/>
      <c r="I118" s="2707"/>
      <c r="J118" s="2706"/>
      <c r="K118" s="2706"/>
      <c r="L118" s="2707"/>
      <c r="M118" s="2706"/>
      <c r="N118" s="2706"/>
      <c r="O118" s="2707"/>
      <c r="P118" s="2706"/>
      <c r="Q118" s="2706"/>
      <c r="R118" s="2708"/>
    </row>
    <row r="119" spans="2:18" s="901" customFormat="1">
      <c r="B119" s="2706"/>
      <c r="C119" s="2706"/>
      <c r="D119" s="2706"/>
      <c r="E119" s="2706"/>
      <c r="F119" s="2706"/>
      <c r="G119" s="2707"/>
      <c r="H119" s="2706"/>
      <c r="I119" s="2707"/>
      <c r="J119" s="2706"/>
      <c r="K119" s="2706"/>
      <c r="L119" s="2707"/>
      <c r="M119" s="2706"/>
      <c r="N119" s="2706"/>
      <c r="O119" s="2707"/>
      <c r="P119" s="2706"/>
      <c r="Q119" s="2706"/>
      <c r="R119" s="2708"/>
    </row>
    <row r="120" spans="2:18" s="901" customFormat="1">
      <c r="B120" s="2706"/>
      <c r="C120" s="2706"/>
      <c r="D120" s="2706"/>
      <c r="E120" s="2706"/>
      <c r="F120" s="2706"/>
      <c r="G120" s="2707"/>
      <c r="H120" s="2706"/>
      <c r="I120" s="2707"/>
      <c r="J120" s="2706"/>
      <c r="K120" s="2706"/>
      <c r="L120" s="2707"/>
      <c r="M120" s="2706"/>
      <c r="N120" s="2706"/>
      <c r="O120" s="2707"/>
      <c r="P120" s="2706"/>
      <c r="Q120" s="2706"/>
      <c r="R120" s="2708"/>
    </row>
    <row r="121" spans="2:18" s="901" customFormat="1">
      <c r="B121" s="2706"/>
      <c r="C121" s="2706"/>
      <c r="D121" s="2706"/>
      <c r="E121" s="2706"/>
      <c r="F121" s="2706"/>
      <c r="G121" s="2707"/>
      <c r="H121" s="2706"/>
      <c r="I121" s="2707"/>
      <c r="J121" s="2706"/>
      <c r="K121" s="2706"/>
      <c r="L121" s="2707"/>
      <c r="M121" s="2706"/>
      <c r="N121" s="2706"/>
      <c r="O121" s="2707"/>
      <c r="P121" s="2706"/>
      <c r="Q121" s="2706"/>
      <c r="R121" s="2708"/>
    </row>
    <row r="122" spans="2:18" s="901" customFormat="1">
      <c r="B122" s="2706"/>
      <c r="C122" s="2706"/>
      <c r="D122" s="2706"/>
      <c r="E122" s="2706"/>
      <c r="F122" s="2706"/>
      <c r="G122" s="2707"/>
      <c r="H122" s="2706"/>
      <c r="I122" s="2707"/>
      <c r="J122" s="2706"/>
      <c r="K122" s="2706"/>
      <c r="L122" s="2707"/>
      <c r="M122" s="2706"/>
      <c r="N122" s="2706"/>
      <c r="O122" s="2707"/>
      <c r="P122" s="2706"/>
      <c r="Q122" s="2706"/>
      <c r="R122" s="2708"/>
    </row>
    <row r="123" spans="2:18" s="901" customFormat="1">
      <c r="B123" s="2706"/>
      <c r="C123" s="2706"/>
      <c r="D123" s="2706"/>
      <c r="E123" s="2706"/>
      <c r="F123" s="2706"/>
      <c r="G123" s="2707"/>
      <c r="H123" s="2706"/>
      <c r="I123" s="2707"/>
      <c r="J123" s="2706"/>
      <c r="K123" s="2706"/>
      <c r="L123" s="2707"/>
      <c r="M123" s="2706"/>
      <c r="N123" s="2706"/>
      <c r="O123" s="2707"/>
      <c r="P123" s="2706"/>
      <c r="Q123" s="2706"/>
      <c r="R123" s="2708"/>
    </row>
    <row r="124" spans="2:18" s="901" customFormat="1">
      <c r="B124" s="2706"/>
      <c r="C124" s="2706"/>
      <c r="D124" s="2706"/>
      <c r="E124" s="2706"/>
      <c r="F124" s="2706"/>
      <c r="G124" s="2707"/>
      <c r="H124" s="2706"/>
      <c r="I124" s="2707"/>
      <c r="J124" s="2706"/>
      <c r="K124" s="2706"/>
      <c r="L124" s="2707"/>
      <c r="M124" s="2706"/>
      <c r="N124" s="2706"/>
      <c r="O124" s="2707"/>
      <c r="P124" s="2706"/>
      <c r="Q124" s="2706"/>
      <c r="R124" s="2708"/>
    </row>
    <row r="125" spans="2:18" s="901" customFormat="1">
      <c r="B125" s="2706"/>
      <c r="C125" s="2706"/>
      <c r="D125" s="2706"/>
      <c r="E125" s="2706"/>
      <c r="F125" s="2706"/>
      <c r="G125" s="2707"/>
      <c r="H125" s="2706"/>
      <c r="I125" s="2707"/>
      <c r="J125" s="2706"/>
      <c r="K125" s="2706"/>
      <c r="L125" s="2707"/>
      <c r="M125" s="2706"/>
      <c r="N125" s="2706"/>
      <c r="O125" s="2707"/>
      <c r="P125" s="2706"/>
      <c r="Q125" s="2706"/>
      <c r="R125" s="2708"/>
    </row>
    <row r="126" spans="2:18" s="901" customFormat="1">
      <c r="B126" s="2706"/>
      <c r="C126" s="2706"/>
      <c r="D126" s="2706"/>
      <c r="E126" s="2706"/>
      <c r="F126" s="2706"/>
      <c r="G126" s="2707"/>
      <c r="H126" s="2706"/>
      <c r="I126" s="2707"/>
      <c r="J126" s="2706"/>
      <c r="K126" s="2706"/>
      <c r="L126" s="2707"/>
      <c r="M126" s="2706"/>
      <c r="N126" s="2706"/>
      <c r="O126" s="2707"/>
      <c r="P126" s="2706"/>
      <c r="Q126" s="2706"/>
      <c r="R126" s="2708"/>
    </row>
    <row r="127" spans="2:18" s="901" customFormat="1">
      <c r="B127" s="2706"/>
      <c r="C127" s="2706"/>
      <c r="D127" s="2706"/>
      <c r="E127" s="2706"/>
      <c r="F127" s="2706"/>
      <c r="G127" s="2707"/>
      <c r="H127" s="2706"/>
      <c r="I127" s="2707"/>
      <c r="J127" s="2706"/>
      <c r="K127" s="2706"/>
      <c r="L127" s="2707"/>
      <c r="M127" s="2706"/>
      <c r="N127" s="2706"/>
      <c r="O127" s="2707"/>
      <c r="P127" s="2706"/>
      <c r="Q127" s="2706"/>
      <c r="R127" s="2708"/>
    </row>
    <row r="128" spans="2:18" s="901" customFormat="1">
      <c r="B128" s="2706"/>
      <c r="C128" s="2706"/>
      <c r="D128" s="2706"/>
      <c r="E128" s="2706"/>
      <c r="F128" s="2706"/>
      <c r="G128" s="2707"/>
      <c r="H128" s="2706"/>
      <c r="I128" s="2707"/>
      <c r="J128" s="2706"/>
      <c r="K128" s="2706"/>
      <c r="L128" s="2707"/>
      <c r="M128" s="2706"/>
      <c r="N128" s="2706"/>
      <c r="O128" s="2707"/>
      <c r="P128" s="2706"/>
      <c r="Q128" s="2706"/>
      <c r="R128" s="2708"/>
    </row>
    <row r="129" spans="2:18" s="901" customFormat="1">
      <c r="B129" s="2706"/>
      <c r="C129" s="2706"/>
      <c r="D129" s="2706"/>
      <c r="E129" s="2706"/>
      <c r="F129" s="2706"/>
      <c r="G129" s="2707"/>
      <c r="H129" s="2706"/>
      <c r="I129" s="2707"/>
      <c r="J129" s="2706"/>
      <c r="K129" s="2706"/>
      <c r="L129" s="2707"/>
      <c r="M129" s="2706"/>
      <c r="N129" s="2706"/>
      <c r="O129" s="2707"/>
      <c r="P129" s="2706"/>
      <c r="Q129" s="2706"/>
      <c r="R129" s="2708"/>
    </row>
    <row r="130" spans="2:18" s="901" customFormat="1">
      <c r="B130" s="2706"/>
      <c r="C130" s="2706"/>
      <c r="D130" s="2706"/>
      <c r="E130" s="2706"/>
      <c r="F130" s="2706"/>
      <c r="G130" s="2707"/>
      <c r="H130" s="2706"/>
      <c r="I130" s="2707"/>
      <c r="J130" s="2706"/>
      <c r="K130" s="2706"/>
      <c r="L130" s="2707"/>
      <c r="M130" s="2706"/>
      <c r="N130" s="2706"/>
      <c r="O130" s="2707"/>
      <c r="P130" s="2706"/>
      <c r="Q130" s="2706"/>
      <c r="R130" s="2708"/>
    </row>
    <row r="131" spans="2:18" s="901" customFormat="1">
      <c r="B131" s="2706"/>
      <c r="C131" s="2706"/>
      <c r="D131" s="2706"/>
      <c r="E131" s="2706"/>
      <c r="F131" s="2706"/>
      <c r="G131" s="2707"/>
      <c r="H131" s="2706"/>
      <c r="I131" s="2707"/>
      <c r="J131" s="2706"/>
      <c r="K131" s="2706"/>
      <c r="L131" s="2707"/>
      <c r="M131" s="2706"/>
      <c r="N131" s="2706"/>
      <c r="O131" s="2707"/>
      <c r="P131" s="2706"/>
      <c r="Q131" s="2706"/>
      <c r="R131" s="2708"/>
    </row>
    <row r="132" spans="2:18" s="901" customFormat="1">
      <c r="B132" s="2706"/>
      <c r="C132" s="2706"/>
      <c r="D132" s="2706"/>
      <c r="E132" s="2706"/>
      <c r="F132" s="2706"/>
      <c r="G132" s="2707"/>
      <c r="H132" s="2706"/>
      <c r="I132" s="2707"/>
      <c r="J132" s="2706"/>
      <c r="K132" s="2706"/>
      <c r="L132" s="2707"/>
      <c r="M132" s="2706"/>
      <c r="N132" s="2706"/>
      <c r="O132" s="2707"/>
      <c r="P132" s="2706"/>
      <c r="Q132" s="2706"/>
      <c r="R132" s="2708"/>
    </row>
    <row r="133" spans="2:18" s="901" customFormat="1">
      <c r="B133" s="2706"/>
      <c r="C133" s="2706"/>
      <c r="D133" s="2706"/>
      <c r="E133" s="2706"/>
      <c r="F133" s="2706"/>
      <c r="G133" s="2707"/>
      <c r="H133" s="2706"/>
      <c r="I133" s="2707"/>
      <c r="J133" s="2706"/>
      <c r="K133" s="2706"/>
      <c r="L133" s="2707"/>
      <c r="M133" s="2706"/>
      <c r="N133" s="2706"/>
      <c r="O133" s="2707"/>
      <c r="P133" s="2706"/>
      <c r="Q133" s="2706"/>
      <c r="R133" s="2708"/>
    </row>
    <row r="134" spans="2:18" s="901" customFormat="1">
      <c r="B134" s="2706"/>
      <c r="C134" s="2706"/>
      <c r="D134" s="2706"/>
      <c r="E134" s="2706"/>
      <c r="F134" s="2706"/>
      <c r="G134" s="2707"/>
      <c r="H134" s="2706"/>
      <c r="I134" s="2707"/>
      <c r="J134" s="2706"/>
      <c r="K134" s="2706"/>
      <c r="L134" s="2707"/>
      <c r="M134" s="2706"/>
      <c r="N134" s="2706"/>
      <c r="O134" s="2707"/>
      <c r="P134" s="2706"/>
      <c r="Q134" s="2706"/>
      <c r="R134" s="2708"/>
    </row>
    <row r="135" spans="2:18" s="901" customFormat="1">
      <c r="B135" s="2706"/>
      <c r="C135" s="2706"/>
      <c r="D135" s="2706"/>
      <c r="E135" s="2706"/>
      <c r="F135" s="2706"/>
      <c r="G135" s="2707"/>
      <c r="H135" s="2706"/>
      <c r="I135" s="2707"/>
      <c r="J135" s="2706"/>
      <c r="K135" s="2706"/>
      <c r="L135" s="2707"/>
      <c r="M135" s="2706"/>
      <c r="N135" s="2706"/>
      <c r="O135" s="2707"/>
      <c r="P135" s="2706"/>
      <c r="Q135" s="2706"/>
      <c r="R135" s="2708"/>
    </row>
    <row r="136" spans="2:18" s="901" customFormat="1">
      <c r="B136" s="2706"/>
      <c r="C136" s="2706"/>
      <c r="D136" s="2706"/>
      <c r="E136" s="2706"/>
      <c r="F136" s="2706"/>
      <c r="G136" s="2707"/>
      <c r="H136" s="2706"/>
      <c r="I136" s="2707"/>
      <c r="J136" s="2706"/>
      <c r="K136" s="2706"/>
      <c r="L136" s="2707"/>
      <c r="M136" s="2706"/>
      <c r="N136" s="2706"/>
      <c r="O136" s="2707"/>
      <c r="P136" s="2706"/>
      <c r="Q136" s="2706"/>
      <c r="R136" s="2708"/>
    </row>
    <row r="137" spans="2:18" s="901" customFormat="1">
      <c r="B137" s="2706"/>
      <c r="C137" s="2706"/>
      <c r="D137" s="2706"/>
      <c r="E137" s="2706"/>
      <c r="F137" s="2706"/>
      <c r="G137" s="2707"/>
      <c r="H137" s="2706"/>
      <c r="I137" s="2707"/>
      <c r="J137" s="2706"/>
      <c r="K137" s="2706"/>
      <c r="L137" s="2707"/>
      <c r="M137" s="2706"/>
      <c r="N137" s="2706"/>
      <c r="O137" s="2707"/>
      <c r="P137" s="2706"/>
      <c r="Q137" s="2706"/>
      <c r="R137" s="2708"/>
    </row>
    <row r="138" spans="2:18" s="901" customFormat="1">
      <c r="B138" s="2706"/>
      <c r="C138" s="2706"/>
      <c r="D138" s="2706"/>
      <c r="E138" s="2706"/>
      <c r="F138" s="2706"/>
      <c r="G138" s="2707"/>
      <c r="H138" s="2706"/>
      <c r="I138" s="2707"/>
      <c r="J138" s="2706"/>
      <c r="K138" s="2706"/>
      <c r="L138" s="2707"/>
      <c r="M138" s="2706"/>
      <c r="N138" s="2706"/>
      <c r="O138" s="2707"/>
      <c r="P138" s="2706"/>
      <c r="Q138" s="2706"/>
      <c r="R138" s="2708"/>
    </row>
    <row r="139" spans="2:18" s="901" customFormat="1">
      <c r="B139" s="2706"/>
      <c r="C139" s="2706"/>
      <c r="D139" s="2706"/>
      <c r="E139" s="2706"/>
      <c r="F139" s="2706"/>
      <c r="G139" s="2707"/>
      <c r="H139" s="2706"/>
      <c r="I139" s="2707"/>
      <c r="J139" s="2706"/>
      <c r="K139" s="2706"/>
      <c r="L139" s="2707"/>
      <c r="M139" s="2706"/>
      <c r="N139" s="2706"/>
      <c r="O139" s="2707"/>
      <c r="P139" s="2706"/>
      <c r="Q139" s="2706"/>
      <c r="R139" s="2708"/>
    </row>
    <row r="140" spans="2:18" s="901" customFormat="1">
      <c r="B140" s="2706"/>
      <c r="C140" s="2706"/>
      <c r="D140" s="2706"/>
      <c r="E140" s="2706"/>
      <c r="F140" s="2706"/>
      <c r="G140" s="2707"/>
      <c r="H140" s="2706"/>
      <c r="I140" s="2707"/>
      <c r="J140" s="2706"/>
      <c r="K140" s="2706"/>
      <c r="L140" s="2707"/>
      <c r="M140" s="2706"/>
      <c r="N140" s="2706"/>
      <c r="O140" s="2707"/>
      <c r="P140" s="2706"/>
      <c r="Q140" s="2706"/>
      <c r="R140" s="2708"/>
    </row>
    <row r="141" spans="2:18" s="901" customFormat="1">
      <c r="B141" s="2706"/>
      <c r="C141" s="2706"/>
      <c r="D141" s="2706"/>
      <c r="E141" s="2706"/>
      <c r="F141" s="2706"/>
      <c r="G141" s="2707"/>
      <c r="H141" s="2706"/>
      <c r="I141" s="2707"/>
      <c r="J141" s="2706"/>
      <c r="K141" s="2706"/>
      <c r="L141" s="2707"/>
      <c r="M141" s="2706"/>
      <c r="N141" s="2706"/>
      <c r="O141" s="2707"/>
      <c r="P141" s="2706"/>
      <c r="Q141" s="2706"/>
      <c r="R141" s="2708"/>
    </row>
    <row r="142" spans="2:18" s="901" customFormat="1">
      <c r="B142" s="2706"/>
      <c r="C142" s="2706"/>
      <c r="D142" s="2706"/>
      <c r="E142" s="2706"/>
      <c r="F142" s="2706"/>
      <c r="G142" s="2707"/>
      <c r="H142" s="2706"/>
      <c r="I142" s="2707"/>
      <c r="J142" s="2706"/>
      <c r="K142" s="2706"/>
      <c r="L142" s="2707"/>
      <c r="M142" s="2706"/>
      <c r="N142" s="2706"/>
      <c r="O142" s="2707"/>
      <c r="P142" s="2706"/>
      <c r="Q142" s="2706"/>
      <c r="R142" s="2708"/>
    </row>
    <row r="143" spans="2:18" s="901" customFormat="1">
      <c r="B143" s="2706"/>
      <c r="C143" s="2706"/>
      <c r="D143" s="2706"/>
      <c r="E143" s="2706"/>
      <c r="F143" s="2706"/>
      <c r="G143" s="2707"/>
      <c r="H143" s="2706"/>
      <c r="I143" s="2707"/>
      <c r="J143" s="2706"/>
      <c r="K143" s="2706"/>
      <c r="L143" s="2707"/>
      <c r="M143" s="2706"/>
      <c r="N143" s="2706"/>
      <c r="O143" s="2707"/>
      <c r="P143" s="2706"/>
      <c r="Q143" s="2706"/>
      <c r="R143" s="2708"/>
    </row>
    <row r="144" spans="2:18" s="901" customFormat="1">
      <c r="B144" s="2706"/>
      <c r="C144" s="2706"/>
      <c r="D144" s="2706"/>
      <c r="E144" s="2706"/>
      <c r="F144" s="2706"/>
      <c r="G144" s="2707"/>
      <c r="H144" s="2706"/>
      <c r="I144" s="2707"/>
      <c r="J144" s="2706"/>
      <c r="K144" s="2706"/>
      <c r="L144" s="2707"/>
      <c r="M144" s="2706"/>
      <c r="N144" s="2706"/>
      <c r="O144" s="2707"/>
      <c r="P144" s="2706"/>
      <c r="Q144" s="2706"/>
      <c r="R144" s="2708"/>
    </row>
    <row r="145" spans="2:18" s="901" customFormat="1">
      <c r="B145" s="2706"/>
      <c r="C145" s="2706"/>
      <c r="D145" s="2706"/>
      <c r="E145" s="2706"/>
      <c r="F145" s="2706"/>
      <c r="G145" s="2707"/>
      <c r="H145" s="2706"/>
      <c r="I145" s="2707"/>
      <c r="J145" s="2706"/>
      <c r="K145" s="2706"/>
      <c r="L145" s="2707"/>
      <c r="M145" s="2706"/>
      <c r="N145" s="2706"/>
      <c r="O145" s="2707"/>
      <c r="P145" s="2706"/>
      <c r="Q145" s="2706"/>
      <c r="R145" s="2708"/>
    </row>
    <row r="146" spans="2:18" s="901" customFormat="1">
      <c r="B146" s="2706"/>
      <c r="C146" s="2706"/>
      <c r="D146" s="2706"/>
      <c r="E146" s="2706"/>
      <c r="F146" s="2706"/>
      <c r="G146" s="2707"/>
      <c r="H146" s="2706"/>
      <c r="I146" s="2707"/>
      <c r="J146" s="2706"/>
      <c r="K146" s="2706"/>
      <c r="L146" s="2707"/>
      <c r="M146" s="2706"/>
      <c r="N146" s="2706"/>
      <c r="O146" s="2707"/>
      <c r="P146" s="2706"/>
      <c r="Q146" s="2706"/>
      <c r="R146" s="2708"/>
    </row>
    <row r="147" spans="2:18" s="901" customFormat="1">
      <c r="B147" s="2706"/>
      <c r="C147" s="2706"/>
      <c r="D147" s="2706"/>
      <c r="E147" s="2706"/>
      <c r="F147" s="2706"/>
      <c r="G147" s="2707"/>
      <c r="H147" s="2706"/>
      <c r="I147" s="2707"/>
      <c r="J147" s="2706"/>
      <c r="K147" s="2706"/>
      <c r="L147" s="2707"/>
      <c r="M147" s="2706"/>
      <c r="N147" s="2706"/>
      <c r="O147" s="2707"/>
      <c r="P147" s="2706"/>
      <c r="Q147" s="2706"/>
      <c r="R147" s="2708"/>
    </row>
    <row r="148" spans="2:18" s="901" customFormat="1">
      <c r="B148" s="2706"/>
      <c r="C148" s="2706"/>
      <c r="D148" s="2706"/>
      <c r="E148" s="2706"/>
      <c r="F148" s="2706"/>
      <c r="G148" s="2707"/>
      <c r="H148" s="2706"/>
      <c r="I148" s="2707"/>
      <c r="J148" s="2706"/>
      <c r="K148" s="2706"/>
      <c r="L148" s="2707"/>
      <c r="M148" s="2706"/>
      <c r="N148" s="2706"/>
      <c r="O148" s="2707"/>
      <c r="P148" s="2706"/>
      <c r="Q148" s="2706"/>
      <c r="R148" s="2708"/>
    </row>
    <row r="149" spans="2:18" s="901" customFormat="1">
      <c r="B149" s="2706"/>
      <c r="C149" s="2706"/>
      <c r="D149" s="2706"/>
      <c r="E149" s="2706"/>
      <c r="F149" s="2706"/>
      <c r="G149" s="2707"/>
      <c r="H149" s="2706"/>
      <c r="I149" s="2707"/>
      <c r="J149" s="2706"/>
      <c r="K149" s="2706"/>
      <c r="L149" s="2707"/>
      <c r="M149" s="2706"/>
      <c r="N149" s="2706"/>
      <c r="O149" s="2707"/>
      <c r="P149" s="2706"/>
      <c r="Q149" s="2706"/>
      <c r="R149" s="2708"/>
    </row>
    <row r="150" spans="2:18" s="901" customFormat="1">
      <c r="B150" s="2706"/>
      <c r="C150" s="2706"/>
      <c r="D150" s="2706"/>
      <c r="E150" s="2706"/>
      <c r="F150" s="2706"/>
      <c r="G150" s="2707"/>
      <c r="H150" s="2706"/>
      <c r="I150" s="2707"/>
      <c r="J150" s="2706"/>
      <c r="K150" s="2706"/>
      <c r="L150" s="2707"/>
      <c r="M150" s="2706"/>
      <c r="N150" s="2706"/>
      <c r="O150" s="2707"/>
      <c r="P150" s="2706"/>
      <c r="Q150" s="2706"/>
      <c r="R150" s="2708"/>
    </row>
    <row r="151" spans="2:18" s="901" customFormat="1">
      <c r="B151" s="2706"/>
      <c r="C151" s="2706"/>
      <c r="D151" s="2706"/>
      <c r="E151" s="2706"/>
      <c r="F151" s="2706"/>
      <c r="G151" s="2707"/>
      <c r="H151" s="2706"/>
      <c r="I151" s="2707"/>
      <c r="J151" s="2706"/>
      <c r="K151" s="2706"/>
      <c r="L151" s="2707"/>
      <c r="M151" s="2706"/>
      <c r="N151" s="2706"/>
      <c r="O151" s="2707"/>
      <c r="P151" s="2706"/>
      <c r="Q151" s="2706"/>
      <c r="R151" s="2708"/>
    </row>
    <row r="152" spans="2:18" s="901" customFormat="1">
      <c r="B152" s="2706"/>
      <c r="C152" s="2706"/>
      <c r="D152" s="2706"/>
      <c r="E152" s="2706"/>
      <c r="F152" s="2706"/>
      <c r="G152" s="2707"/>
      <c r="H152" s="2706"/>
      <c r="I152" s="2707"/>
      <c r="J152" s="2706"/>
      <c r="K152" s="2706"/>
      <c r="L152" s="2707"/>
      <c r="M152" s="2706"/>
      <c r="N152" s="2706"/>
      <c r="O152" s="2707"/>
      <c r="P152" s="2706"/>
      <c r="Q152" s="2706"/>
      <c r="R152" s="2708"/>
    </row>
    <row r="153" spans="2:18" s="901" customFormat="1">
      <c r="B153" s="2706"/>
      <c r="C153" s="2706"/>
      <c r="D153" s="2706"/>
      <c r="E153" s="2706"/>
      <c r="F153" s="2706"/>
      <c r="G153" s="2707"/>
      <c r="H153" s="2706"/>
      <c r="I153" s="2707"/>
      <c r="J153" s="2706"/>
      <c r="K153" s="2706"/>
      <c r="L153" s="2707"/>
      <c r="M153" s="2706"/>
      <c r="N153" s="2706"/>
      <c r="O153" s="2707"/>
      <c r="P153" s="2706"/>
      <c r="Q153" s="2706"/>
      <c r="R153" s="2708"/>
    </row>
    <row r="154" spans="2:18" s="901" customFormat="1">
      <c r="B154" s="2706"/>
      <c r="C154" s="2706"/>
      <c r="D154" s="2706"/>
      <c r="E154" s="2706"/>
      <c r="F154" s="2706"/>
      <c r="G154" s="2707"/>
      <c r="H154" s="2706"/>
      <c r="I154" s="2707"/>
      <c r="J154" s="2706"/>
      <c r="K154" s="2706"/>
      <c r="L154" s="2707"/>
      <c r="M154" s="2706"/>
      <c r="N154" s="2706"/>
      <c r="O154" s="2707"/>
      <c r="P154" s="2706"/>
      <c r="Q154" s="2706"/>
      <c r="R154" s="2708"/>
    </row>
    <row r="155" spans="2:18" s="901" customFormat="1">
      <c r="B155" s="2706"/>
      <c r="C155" s="2706"/>
      <c r="D155" s="2706"/>
      <c r="E155" s="2706"/>
      <c r="F155" s="2706"/>
      <c r="G155" s="2707"/>
      <c r="H155" s="2706"/>
      <c r="I155" s="2707"/>
      <c r="J155" s="2706"/>
      <c r="K155" s="2706"/>
      <c r="L155" s="2707"/>
      <c r="M155" s="2706"/>
      <c r="N155" s="2706"/>
      <c r="O155" s="2707"/>
      <c r="P155" s="2706"/>
      <c r="Q155" s="2706"/>
      <c r="R155" s="2708"/>
    </row>
    <row r="156" spans="2:18" s="901" customFormat="1">
      <c r="B156" s="2706"/>
      <c r="C156" s="2706"/>
      <c r="D156" s="2706"/>
      <c r="E156" s="2706"/>
      <c r="F156" s="2706"/>
      <c r="G156" s="2707"/>
      <c r="H156" s="2706"/>
      <c r="I156" s="2707"/>
      <c r="J156" s="2706"/>
      <c r="K156" s="2706"/>
      <c r="L156" s="2707"/>
      <c r="M156" s="2706"/>
      <c r="N156" s="2706"/>
      <c r="O156" s="2707"/>
      <c r="P156" s="2706"/>
      <c r="Q156" s="2706"/>
      <c r="R156" s="2708"/>
    </row>
    <row r="157" spans="2:18" s="901" customFormat="1">
      <c r="B157" s="2706"/>
      <c r="C157" s="2706"/>
      <c r="D157" s="2706"/>
      <c r="E157" s="2706"/>
      <c r="F157" s="2706"/>
      <c r="G157" s="2707"/>
      <c r="H157" s="2706"/>
      <c r="I157" s="2707"/>
      <c r="J157" s="2706"/>
      <c r="K157" s="2706"/>
      <c r="L157" s="2707"/>
      <c r="M157" s="2706"/>
      <c r="N157" s="2706"/>
      <c r="O157" s="2707"/>
      <c r="P157" s="2706"/>
      <c r="Q157" s="2706"/>
      <c r="R157" s="2708"/>
    </row>
    <row r="158" spans="2:18" s="901" customFormat="1">
      <c r="B158" s="2706"/>
      <c r="C158" s="2706"/>
      <c r="D158" s="2706"/>
      <c r="E158" s="2706"/>
      <c r="F158" s="2706"/>
      <c r="G158" s="2707"/>
      <c r="H158" s="2706"/>
      <c r="I158" s="2707"/>
      <c r="J158" s="2706"/>
      <c r="K158" s="2706"/>
      <c r="L158" s="2707"/>
      <c r="M158" s="2706"/>
      <c r="N158" s="2706"/>
      <c r="O158" s="2707"/>
      <c r="P158" s="2706"/>
      <c r="Q158" s="2706"/>
      <c r="R158" s="2708"/>
    </row>
    <row r="159" spans="2:18" s="901" customFormat="1">
      <c r="B159" s="2706"/>
      <c r="C159" s="2706"/>
      <c r="D159" s="2706"/>
      <c r="E159" s="2706"/>
      <c r="F159" s="2706"/>
      <c r="G159" s="2707"/>
      <c r="H159" s="2706"/>
      <c r="I159" s="2707"/>
      <c r="J159" s="2706"/>
      <c r="K159" s="2706"/>
      <c r="L159" s="2707"/>
      <c r="M159" s="2706"/>
      <c r="N159" s="2706"/>
      <c r="O159" s="2707"/>
      <c r="P159" s="2706"/>
      <c r="Q159" s="2706"/>
      <c r="R159" s="2708"/>
    </row>
    <row r="160" spans="2:18" s="901" customFormat="1">
      <c r="B160" s="2706"/>
      <c r="C160" s="2706"/>
      <c r="D160" s="2706"/>
      <c r="E160" s="2706"/>
      <c r="F160" s="2706"/>
      <c r="G160" s="2707"/>
      <c r="H160" s="2706"/>
      <c r="I160" s="2707"/>
      <c r="J160" s="2706"/>
      <c r="K160" s="2706"/>
      <c r="L160" s="2707"/>
      <c r="M160" s="2706"/>
      <c r="N160" s="2706"/>
      <c r="O160" s="2707"/>
      <c r="P160" s="2706"/>
      <c r="Q160" s="2706"/>
      <c r="R160" s="2708"/>
    </row>
    <row r="161" spans="2:18" s="901" customFormat="1">
      <c r="B161" s="2706"/>
      <c r="C161" s="2706"/>
      <c r="D161" s="2706"/>
      <c r="E161" s="2706"/>
      <c r="F161" s="2706"/>
      <c r="G161" s="2707"/>
      <c r="H161" s="2706"/>
      <c r="I161" s="2707"/>
      <c r="J161" s="2706"/>
      <c r="K161" s="2706"/>
      <c r="L161" s="2707"/>
      <c r="M161" s="2706"/>
      <c r="N161" s="2706"/>
      <c r="O161" s="2707"/>
      <c r="P161" s="2706"/>
      <c r="Q161" s="2706"/>
      <c r="R161" s="2708"/>
    </row>
    <row r="162" spans="2:18" s="901" customFormat="1">
      <c r="B162" s="2706"/>
      <c r="C162" s="2706"/>
      <c r="D162" s="2706"/>
      <c r="E162" s="2706"/>
      <c r="F162" s="2706"/>
      <c r="G162" s="2707"/>
      <c r="H162" s="2706"/>
      <c r="I162" s="2707"/>
      <c r="J162" s="2706"/>
      <c r="K162" s="2706"/>
      <c r="L162" s="2707"/>
      <c r="M162" s="2706"/>
      <c r="N162" s="2706"/>
      <c r="O162" s="2707"/>
      <c r="P162" s="2706"/>
      <c r="Q162" s="2706"/>
      <c r="R162" s="2708"/>
    </row>
    <row r="163" spans="2:18" s="901" customFormat="1">
      <c r="B163" s="2706"/>
      <c r="C163" s="2706"/>
      <c r="D163" s="2706"/>
      <c r="E163" s="2706"/>
      <c r="F163" s="2706"/>
      <c r="G163" s="2707"/>
      <c r="H163" s="2706"/>
      <c r="I163" s="2707"/>
      <c r="J163" s="2706"/>
      <c r="K163" s="2706"/>
      <c r="L163" s="2707"/>
      <c r="M163" s="2706"/>
      <c r="N163" s="2706"/>
      <c r="O163" s="2707"/>
      <c r="P163" s="2706"/>
      <c r="Q163" s="2706"/>
      <c r="R163" s="2708"/>
    </row>
    <row r="164" spans="2:18" s="901" customFormat="1">
      <c r="B164" s="2706"/>
      <c r="C164" s="2706"/>
      <c r="D164" s="2706"/>
      <c r="E164" s="2706"/>
      <c r="F164" s="2706"/>
      <c r="G164" s="2707"/>
      <c r="H164" s="2706"/>
      <c r="I164" s="2707"/>
      <c r="J164" s="2706"/>
      <c r="K164" s="2706"/>
      <c r="L164" s="2707"/>
      <c r="M164" s="2706"/>
      <c r="N164" s="2706"/>
      <c r="O164" s="2707"/>
      <c r="P164" s="2706"/>
      <c r="Q164" s="2706"/>
      <c r="R164" s="2708"/>
    </row>
    <row r="165" spans="2:18" s="901" customFormat="1">
      <c r="B165" s="2706"/>
      <c r="C165" s="2706"/>
      <c r="D165" s="2706"/>
      <c r="E165" s="2706"/>
      <c r="F165" s="2706"/>
      <c r="G165" s="2707"/>
      <c r="H165" s="2706"/>
      <c r="I165" s="2707"/>
      <c r="J165" s="2706"/>
      <c r="K165" s="2706"/>
      <c r="L165" s="2707"/>
      <c r="M165" s="2706"/>
      <c r="N165" s="2706"/>
      <c r="O165" s="2707"/>
      <c r="P165" s="2706"/>
      <c r="Q165" s="2706"/>
      <c r="R165" s="2708"/>
    </row>
    <row r="166" spans="2:18" s="901" customFormat="1">
      <c r="B166" s="2706"/>
      <c r="C166" s="2706"/>
      <c r="D166" s="2706"/>
      <c r="E166" s="2706"/>
      <c r="F166" s="2706"/>
      <c r="G166" s="2707"/>
      <c r="H166" s="2706"/>
      <c r="I166" s="2707"/>
      <c r="J166" s="2706"/>
      <c r="K166" s="2706"/>
      <c r="L166" s="2707"/>
      <c r="M166" s="2706"/>
      <c r="N166" s="2706"/>
      <c r="O166" s="2707"/>
      <c r="P166" s="2706"/>
      <c r="Q166" s="2706"/>
      <c r="R166" s="2708"/>
    </row>
    <row r="167" spans="2:18" s="901" customFormat="1">
      <c r="B167" s="2706"/>
      <c r="C167" s="2706"/>
      <c r="D167" s="2706"/>
      <c r="E167" s="2706"/>
      <c r="F167" s="2706"/>
      <c r="G167" s="2707"/>
      <c r="H167" s="2706"/>
      <c r="I167" s="2707"/>
      <c r="J167" s="2706"/>
      <c r="K167" s="2706"/>
      <c r="L167" s="2707"/>
      <c r="M167" s="2706"/>
      <c r="N167" s="2706"/>
      <c r="O167" s="2707"/>
      <c r="P167" s="2706"/>
      <c r="Q167" s="2706"/>
      <c r="R167" s="2708"/>
    </row>
    <row r="168" spans="2:18" s="901" customFormat="1">
      <c r="B168" s="2706"/>
      <c r="C168" s="2706"/>
      <c r="D168" s="2706"/>
      <c r="E168" s="2706"/>
      <c r="F168" s="2706"/>
      <c r="G168" s="2707"/>
      <c r="H168" s="2706"/>
      <c r="I168" s="2707"/>
      <c r="J168" s="2706"/>
      <c r="K168" s="2706"/>
      <c r="L168" s="2707"/>
      <c r="M168" s="2706"/>
      <c r="N168" s="2706"/>
      <c r="O168" s="2707"/>
      <c r="P168" s="2706"/>
      <c r="Q168" s="2706"/>
      <c r="R168" s="2708"/>
    </row>
    <row r="169" spans="2:18" s="901" customFormat="1">
      <c r="B169" s="2706"/>
      <c r="C169" s="2706"/>
      <c r="D169" s="2706"/>
      <c r="E169" s="2706"/>
      <c r="F169" s="2706"/>
      <c r="G169" s="2707"/>
      <c r="H169" s="2706"/>
      <c r="I169" s="2707"/>
      <c r="J169" s="2706"/>
      <c r="K169" s="2706"/>
      <c r="L169" s="2707"/>
      <c r="M169" s="2706"/>
      <c r="N169" s="2706"/>
      <c r="O169" s="2707"/>
      <c r="P169" s="2706"/>
      <c r="Q169" s="2706"/>
      <c r="R169" s="2708"/>
    </row>
    <row r="170" spans="2:18" s="901" customFormat="1">
      <c r="B170" s="2706"/>
      <c r="C170" s="2706"/>
      <c r="D170" s="2706"/>
      <c r="E170" s="2706"/>
      <c r="F170" s="2706"/>
      <c r="G170" s="2707"/>
      <c r="H170" s="2706"/>
      <c r="I170" s="2707"/>
      <c r="J170" s="2706"/>
      <c r="K170" s="2706"/>
      <c r="L170" s="2707"/>
      <c r="M170" s="2706"/>
      <c r="N170" s="2706"/>
      <c r="O170" s="2707"/>
      <c r="P170" s="2706"/>
      <c r="Q170" s="2706"/>
      <c r="R170" s="2708"/>
    </row>
    <row r="171" spans="2:18" s="901" customFormat="1">
      <c r="B171" s="2706"/>
      <c r="C171" s="2706"/>
      <c r="D171" s="2706"/>
      <c r="E171" s="2706"/>
      <c r="F171" s="2706"/>
      <c r="G171" s="2707"/>
      <c r="H171" s="2706"/>
      <c r="I171" s="2707"/>
      <c r="J171" s="2706"/>
      <c r="K171" s="2706"/>
      <c r="L171" s="2707"/>
      <c r="M171" s="2706"/>
      <c r="N171" s="2706"/>
      <c r="O171" s="2707"/>
      <c r="P171" s="2706"/>
      <c r="Q171" s="2706"/>
      <c r="R171" s="2708"/>
    </row>
    <row r="172" spans="2:18" s="901" customFormat="1">
      <c r="B172" s="2706"/>
      <c r="C172" s="2706"/>
      <c r="D172" s="2706"/>
      <c r="E172" s="2706"/>
      <c r="F172" s="2706"/>
      <c r="G172" s="2707"/>
      <c r="H172" s="2706"/>
      <c r="I172" s="2707"/>
      <c r="J172" s="2706"/>
      <c r="K172" s="2706"/>
      <c r="L172" s="2707"/>
      <c r="M172" s="2706"/>
      <c r="N172" s="2706"/>
      <c r="O172" s="2707"/>
      <c r="P172" s="2706"/>
      <c r="Q172" s="2706"/>
      <c r="R172" s="2708"/>
    </row>
    <row r="173" spans="2:18" s="901" customFormat="1">
      <c r="B173" s="2706"/>
      <c r="C173" s="2706"/>
      <c r="D173" s="2706"/>
      <c r="E173" s="2706"/>
      <c r="F173" s="2706"/>
      <c r="G173" s="2707"/>
      <c r="H173" s="2706"/>
      <c r="I173" s="2707"/>
      <c r="J173" s="2706"/>
      <c r="K173" s="2706"/>
      <c r="L173" s="2707"/>
      <c r="M173" s="2706"/>
      <c r="N173" s="2706"/>
      <c r="O173" s="2707"/>
      <c r="P173" s="2706"/>
      <c r="Q173" s="2706"/>
      <c r="R173" s="2708"/>
    </row>
    <row r="174" spans="2:18" s="901" customFormat="1">
      <c r="B174" s="2706"/>
      <c r="C174" s="2706"/>
      <c r="D174" s="2706"/>
      <c r="E174" s="2706"/>
      <c r="F174" s="2706"/>
      <c r="G174" s="2707"/>
      <c r="H174" s="2706"/>
      <c r="I174" s="2707"/>
      <c r="J174" s="2706"/>
      <c r="K174" s="2706"/>
      <c r="L174" s="2707"/>
      <c r="M174" s="2706"/>
      <c r="N174" s="2706"/>
      <c r="O174" s="2707"/>
      <c r="P174" s="2706"/>
      <c r="Q174" s="2706"/>
      <c r="R174" s="2708"/>
    </row>
    <row r="175" spans="2:18" s="901" customFormat="1">
      <c r="B175" s="2706"/>
      <c r="C175" s="2706"/>
      <c r="D175" s="2706"/>
      <c r="E175" s="2706"/>
      <c r="F175" s="2706"/>
      <c r="G175" s="2707"/>
      <c r="H175" s="2706"/>
      <c r="I175" s="2707"/>
      <c r="J175" s="2706"/>
      <c r="K175" s="2706"/>
      <c r="L175" s="2707"/>
      <c r="M175" s="2706"/>
      <c r="N175" s="2706"/>
      <c r="O175" s="2707"/>
      <c r="P175" s="2706"/>
      <c r="Q175" s="2706"/>
      <c r="R175" s="2708"/>
    </row>
    <row r="176" spans="2:18" s="901" customFormat="1">
      <c r="B176" s="2706"/>
      <c r="C176" s="2706"/>
      <c r="D176" s="2706"/>
      <c r="E176" s="2706"/>
      <c r="F176" s="2706"/>
      <c r="G176" s="2707"/>
      <c r="H176" s="2706"/>
      <c r="I176" s="2707"/>
      <c r="J176" s="2706"/>
      <c r="K176" s="2706"/>
      <c r="L176" s="2707"/>
      <c r="M176" s="2706"/>
      <c r="N176" s="2706"/>
      <c r="O176" s="2707"/>
      <c r="P176" s="2706"/>
      <c r="Q176" s="2706"/>
      <c r="R176" s="2708"/>
    </row>
    <row r="177" spans="1:18" s="901" customFormat="1">
      <c r="B177" s="2706"/>
      <c r="C177" s="2706"/>
      <c r="D177" s="2706"/>
      <c r="E177" s="2706"/>
      <c r="F177" s="2706"/>
      <c r="G177" s="2707"/>
      <c r="H177" s="2706"/>
      <c r="I177" s="2707"/>
      <c r="J177" s="2706"/>
      <c r="K177" s="2706"/>
      <c r="L177" s="2707"/>
      <c r="M177" s="2706"/>
      <c r="N177" s="2706"/>
      <c r="O177" s="2707"/>
      <c r="P177" s="2706"/>
      <c r="Q177" s="2706"/>
      <c r="R177" s="2708"/>
    </row>
    <row r="178" spans="1:18" s="901" customFormat="1">
      <c r="B178" s="2706"/>
      <c r="C178" s="2706"/>
      <c r="D178" s="2706"/>
      <c r="E178" s="2706"/>
      <c r="F178" s="2706"/>
      <c r="G178" s="2707"/>
      <c r="H178" s="2706"/>
      <c r="I178" s="2707"/>
      <c r="J178" s="2706"/>
      <c r="K178" s="2706"/>
      <c r="L178" s="2707"/>
      <c r="M178" s="2706"/>
      <c r="N178" s="2706"/>
      <c r="O178" s="2707"/>
      <c r="P178" s="2706"/>
      <c r="Q178" s="2706"/>
      <c r="R178" s="2708"/>
    </row>
    <row r="179" spans="1:18" s="901" customFormat="1">
      <c r="B179" s="2706"/>
      <c r="C179" s="2706"/>
      <c r="D179" s="2706"/>
      <c r="E179" s="2706"/>
      <c r="F179" s="2706"/>
      <c r="G179" s="2707"/>
      <c r="H179" s="2706"/>
      <c r="I179" s="2707"/>
      <c r="J179" s="2706"/>
      <c r="K179" s="2706"/>
      <c r="L179" s="2707"/>
      <c r="M179" s="2706"/>
      <c r="N179" s="2706"/>
      <c r="O179" s="2707"/>
      <c r="P179" s="2706"/>
      <c r="Q179" s="2706"/>
      <c r="R179" s="2708"/>
    </row>
    <row r="180" spans="1:18" s="901" customFormat="1">
      <c r="B180" s="2706"/>
      <c r="C180" s="2706"/>
      <c r="D180" s="2706"/>
      <c r="E180" s="2706"/>
      <c r="F180" s="2706"/>
      <c r="G180" s="2707"/>
      <c r="H180" s="2706"/>
      <c r="I180" s="2707"/>
      <c r="J180" s="2706"/>
      <c r="K180" s="2706"/>
      <c r="L180" s="2707"/>
      <c r="M180" s="2706"/>
      <c r="N180" s="2706"/>
      <c r="O180" s="2707"/>
      <c r="P180" s="2706"/>
      <c r="Q180" s="2706"/>
      <c r="R180" s="2708"/>
    </row>
    <row r="181" spans="1:18" s="901" customFormat="1">
      <c r="B181" s="2706"/>
      <c r="C181" s="2706"/>
      <c r="D181" s="2706"/>
      <c r="E181" s="2706"/>
      <c r="F181" s="2706"/>
      <c r="G181" s="2707"/>
      <c r="H181" s="2706"/>
      <c r="I181" s="2707"/>
      <c r="J181" s="2706"/>
      <c r="K181" s="2706"/>
      <c r="L181" s="2707"/>
      <c r="M181" s="2706"/>
      <c r="N181" s="2706"/>
      <c r="O181" s="2707"/>
      <c r="P181" s="2706"/>
      <c r="Q181" s="2706"/>
      <c r="R181" s="2708"/>
    </row>
    <row r="182" spans="1:18" s="901" customFormat="1">
      <c r="B182" s="2706"/>
      <c r="C182" s="2706"/>
      <c r="D182" s="2706"/>
      <c r="E182" s="2706"/>
      <c r="F182" s="2706"/>
      <c r="G182" s="2707"/>
      <c r="H182" s="2706"/>
      <c r="I182" s="2707"/>
      <c r="J182" s="2706"/>
      <c r="K182" s="2706"/>
      <c r="L182" s="2707"/>
      <c r="M182" s="2706"/>
      <c r="N182" s="2706"/>
      <c r="O182" s="2707"/>
      <c r="P182" s="2706"/>
      <c r="Q182" s="2706"/>
      <c r="R182" s="2708"/>
    </row>
    <row r="183" spans="1:18" s="901" customFormat="1">
      <c r="B183" s="2706"/>
      <c r="C183" s="2706"/>
      <c r="D183" s="2706"/>
      <c r="E183" s="2706"/>
      <c r="F183" s="2706"/>
      <c r="G183" s="2707"/>
      <c r="H183" s="2706"/>
      <c r="I183" s="2707"/>
      <c r="J183" s="2706"/>
      <c r="K183" s="2706"/>
      <c r="L183" s="2707"/>
      <c r="M183" s="2706"/>
      <c r="N183" s="2706"/>
      <c r="O183" s="2707"/>
      <c r="P183" s="2706"/>
      <c r="Q183" s="2706"/>
      <c r="R183" s="2708"/>
    </row>
    <row r="184" spans="1:18" s="901" customFormat="1">
      <c r="B184" s="2706"/>
      <c r="C184" s="2706"/>
      <c r="D184" s="2706"/>
      <c r="E184" s="2706"/>
      <c r="F184" s="2706"/>
      <c r="G184" s="2707"/>
      <c r="H184" s="2706"/>
      <c r="I184" s="2707"/>
      <c r="J184" s="2706"/>
      <c r="K184" s="2706"/>
      <c r="L184" s="2707"/>
      <c r="M184" s="2706"/>
      <c r="N184" s="2706"/>
      <c r="O184" s="2707"/>
      <c r="P184" s="2706"/>
      <c r="Q184" s="2706"/>
      <c r="R184" s="2708"/>
    </row>
    <row r="185" spans="1:18" s="901"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1"/>
      <c r="B186" s="2706"/>
      <c r="C186" s="2706"/>
      <c r="E186" s="2706"/>
      <c r="F186" s="2706"/>
      <c r="G186" s="2707"/>
    </row>
    <row r="187" spans="1:18">
      <c r="A187" s="901"/>
      <c r="B187" s="2706"/>
      <c r="C187" s="2706"/>
      <c r="E187" s="2706"/>
      <c r="F187" s="2706"/>
      <c r="G187" s="270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Normal="80" zoomScaleSheetLayoutView="100" workbookViewId="0">
      <selection activeCell="B5" sqref="B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223895.21000000005</v>
      </c>
      <c r="C1" s="2903"/>
      <c r="D1" s="2903"/>
      <c r="E1" s="2903"/>
      <c r="F1" s="2903"/>
      <c r="G1" s="2904"/>
      <c r="H1" s="2905"/>
      <c r="I1" s="2905"/>
      <c r="J1" s="2905"/>
      <c r="K1" s="2905"/>
    </row>
    <row r="2" spans="1:11" ht="16.5">
      <c r="A2" s="2727" t="s">
        <v>1319</v>
      </c>
      <c r="B2" s="2727">
        <f>SUM(C14:C23)</f>
        <v>88333.299999999988</v>
      </c>
      <c r="C2" s="2903"/>
      <c r="D2" s="2903"/>
      <c r="E2" s="2903"/>
      <c r="F2" s="2903"/>
      <c r="G2" s="2904"/>
      <c r="H2" s="2905"/>
      <c r="I2" s="2905"/>
      <c r="J2" s="2905"/>
      <c r="K2" s="2905"/>
    </row>
    <row r="3" spans="1:11" ht="16.5">
      <c r="A3" s="2727" t="s">
        <v>1328</v>
      </c>
      <c r="B3" s="2729">
        <f>项目基本情况!D3</f>
        <v>44568</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508478</v>
      </c>
      <c r="C5" s="2727">
        <f ca="1">ROUND(B5*10000/$B$1,0)</f>
        <v>22711</v>
      </c>
      <c r="D5" s="2727">
        <f ca="1">ROUND(B5*10000/$B$2,0)</f>
        <v>57564</v>
      </c>
      <c r="E5" s="2903"/>
      <c r="F5" s="2904"/>
      <c r="G5" s="2904"/>
      <c r="H5" s="2905"/>
      <c r="I5" s="2905"/>
      <c r="J5" s="2905"/>
      <c r="K5" s="2905"/>
    </row>
    <row r="6" spans="1:11" ht="16.5">
      <c r="A6" s="2727" t="s">
        <v>1322</v>
      </c>
      <c r="B6" s="2727">
        <f ca="1">SUM(G14:G23)</f>
        <v>508478</v>
      </c>
      <c r="C6" s="2727">
        <f ca="1">ROUND(B6*10000/$B$1,0)</f>
        <v>22711</v>
      </c>
      <c r="D6" s="2727">
        <f ca="1">ROUND(B6*10000/$B$2,0)</f>
        <v>57564</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86417.1</v>
      </c>
      <c r="C14" s="2733">
        <f>结果表!C118</f>
        <v>35230.35</v>
      </c>
      <c r="D14" s="2733">
        <f ca="1">结果表!H118</f>
        <v>179944</v>
      </c>
      <c r="E14" s="2733">
        <f ca="1">ROUND(D14*10000/B14,0)</f>
        <v>20823</v>
      </c>
      <c r="F14" s="2733">
        <f ca="1">ROUND(D14*10000/C14,0)</f>
        <v>51076</v>
      </c>
      <c r="G14" s="2733">
        <f ca="1">结果表!D122</f>
        <v>179944</v>
      </c>
      <c r="H14" s="2733" t="str">
        <f>结果表!D124</f>
        <v>——</v>
      </c>
      <c r="I14" s="2733" t="str">
        <f>结果表!D126</f>
        <v>——</v>
      </c>
      <c r="J14" s="2904"/>
      <c r="K14" s="2905"/>
    </row>
    <row r="15" spans="1:11" ht="16.5">
      <c r="A15" s="2732" t="s">
        <v>1315</v>
      </c>
      <c r="B15" s="2734">
        <f>[1]系统读取表!$B$14</f>
        <v>137478.11000000004</v>
      </c>
      <c r="C15" s="2734">
        <f>[1]系统读取表!$C$14</f>
        <v>53102.95</v>
      </c>
      <c r="D15" s="2734">
        <f ca="1">[1]系统读取表!$D$14</f>
        <v>328534</v>
      </c>
      <c r="E15" s="2733">
        <f t="shared" ref="E15:E23" ca="1" si="0">ROUND(D15*10000/B15,0)</f>
        <v>23897</v>
      </c>
      <c r="F15" s="2733">
        <f t="shared" ref="F15:F23" ca="1" si="1">ROUND(D15*10000/C15,0)</f>
        <v>61867</v>
      </c>
      <c r="G15" s="1493">
        <f ca="1">D15</f>
        <v>328534</v>
      </c>
      <c r="H15" s="1493"/>
      <c r="I15" s="3254" t="s">
        <v>5686</v>
      </c>
      <c r="J15" s="2904"/>
      <c r="K15" s="2905"/>
    </row>
    <row r="16" spans="1:11" ht="16.5">
      <c r="A16" s="2732" t="s">
        <v>1314</v>
      </c>
      <c r="B16" s="2734"/>
      <c r="C16" s="2734"/>
      <c r="D16" s="2734"/>
      <c r="E16" s="2733" t="e">
        <f t="shared" si="0"/>
        <v>#DIV/0!</v>
      </c>
      <c r="F16" s="2733" t="e">
        <f t="shared" si="1"/>
        <v>#DIV/0!</v>
      </c>
      <c r="G16" s="1493">
        <f>D16</f>
        <v>0</v>
      </c>
      <c r="H16" s="1493"/>
      <c r="I16" s="2734"/>
      <c r="J16" s="2905"/>
      <c r="K16" s="2905"/>
    </row>
    <row r="17" spans="1:11" ht="16.5">
      <c r="A17" s="2732" t="s">
        <v>1313</v>
      </c>
      <c r="B17" s="2734"/>
      <c r="C17" s="2734"/>
      <c r="D17" s="2734"/>
      <c r="E17" s="2733" t="e">
        <f t="shared" si="0"/>
        <v>#DIV/0!</v>
      </c>
      <c r="F17" s="2733" t="e">
        <f t="shared" si="1"/>
        <v>#DIV/0!</v>
      </c>
      <c r="G17" s="1493">
        <f>D17</f>
        <v>0</v>
      </c>
      <c r="H17" s="1493"/>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34" zoomScale="80" zoomScaleNormal="100" zoomScaleSheetLayoutView="80" zoomScalePageLayoutView="80" workbookViewId="0">
      <selection activeCell="C14" sqref="C14:C16"/>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c r="D1" s="1925"/>
      <c r="E1" s="1925"/>
      <c r="F1" s="1927" t="s">
        <v>1948</v>
      </c>
      <c r="G1" s="1739" t="s">
        <v>5412</v>
      </c>
      <c r="H1" s="1928" t="str">
        <f>IF(G1="现房","——","估价对象范围")</f>
        <v>估价对象范围</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3246</v>
      </c>
      <c r="D4" s="1934" t="s">
        <v>5413</v>
      </c>
      <c r="E4" s="3529" t="s">
        <v>1952</v>
      </c>
      <c r="F4" s="3530"/>
      <c r="G4" s="3530"/>
      <c r="H4" s="3530"/>
      <c r="I4" s="35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42">
        <v>4</v>
      </c>
      <c r="D14" s="3513">
        <f>10-C14</f>
        <v>6</v>
      </c>
      <c r="E14" s="131" t="s">
        <v>1967</v>
      </c>
      <c r="F14" s="1935"/>
      <c r="G14" s="1935"/>
      <c r="H14" s="1935"/>
      <c r="I14" s="1550"/>
    </row>
    <row r="15" spans="1:12" ht="12.75">
      <c r="A15" s="3464"/>
      <c r="B15" s="3522"/>
      <c r="C15" s="3543"/>
      <c r="D15" s="3513"/>
      <c r="E15" s="131" t="s">
        <v>1968</v>
      </c>
      <c r="F15" s="1935"/>
      <c r="G15" s="1935"/>
      <c r="H15" s="1935"/>
      <c r="I15" s="1550"/>
    </row>
    <row r="16" spans="1:12" ht="12.75">
      <c r="A16" s="3464"/>
      <c r="B16" s="3522"/>
      <c r="C16" s="3544"/>
      <c r="D16" s="3513"/>
      <c r="E16" s="131" t="s">
        <v>1969</v>
      </c>
      <c r="F16" s="1935"/>
      <c r="G16" s="1935"/>
      <c r="H16" s="1935"/>
      <c r="I16" s="1550"/>
    </row>
    <row r="17" spans="1:36" ht="15">
      <c r="A17" s="1936" t="s">
        <v>1970</v>
      </c>
      <c r="B17" s="56"/>
      <c r="C17" s="132">
        <f>SUM(C5:C16)</f>
        <v>4</v>
      </c>
      <c r="D17" s="132">
        <f>SUM(D5:D16)</f>
        <v>6</v>
      </c>
      <c r="E17" s="129"/>
      <c r="F17" s="129"/>
      <c r="G17" s="129"/>
      <c r="H17" s="129"/>
      <c r="I17" s="129"/>
      <c r="K17" s="303"/>
      <c r="L17" s="303" t="s">
        <v>1971</v>
      </c>
      <c r="M17" s="303" t="s">
        <v>1972</v>
      </c>
    </row>
    <row r="18" spans="1:36" ht="31.9" customHeight="1" thickBot="1">
      <c r="A18" s="1937" t="s">
        <v>1973</v>
      </c>
      <c r="B18" s="1938"/>
      <c r="C18" s="133">
        <f>ROUND(C17/SUM(C17:D17),2)</f>
        <v>0.4</v>
      </c>
      <c r="D18" s="133">
        <f>1-C18</f>
        <v>0.6</v>
      </c>
      <c r="E18" s="3548" t="s">
        <v>2870</v>
      </c>
      <c r="F18" s="3549"/>
      <c r="G18" s="3549"/>
      <c r="H18" s="3549"/>
      <c r="I18" s="3549"/>
      <c r="K18" s="303" t="s">
        <v>1974</v>
      </c>
      <c r="L18" s="303">
        <f>IF(C1="",'数据-汇总表'!E3,SUMIF(项目类型,C1,'数据-汇总表'!E17:E26)+SUMIF(项目类型,C1,'数据-汇总表'!I17:I26))</f>
        <v>86417.1</v>
      </c>
      <c r="M18" s="303">
        <f>IF(C1="",'数据-汇总表'!E3,SUMIF(项目类型,C1,'数据-汇总表'!E17:E26))</f>
        <v>86417.1</v>
      </c>
    </row>
    <row r="19" spans="1:36" ht="15">
      <c r="A19" s="1939" t="s">
        <v>1975</v>
      </c>
      <c r="B19" s="1940" t="s">
        <v>1976</v>
      </c>
      <c r="C19" s="134">
        <f ca="1">SUMIF(INDIRECT("'"&amp;C4&amp;"'"&amp;"!A:A"),结果表!B19,INDIRECT("'"&amp;C4&amp;"'"&amp;"!B:B"))</f>
        <v>251578</v>
      </c>
      <c r="D19" s="135">
        <f ca="1">SUMIF(INDIRECT("'"&amp;D4&amp;"'"&amp;"!A:A"),结果表!B19,INDIRECT("'"&amp;D4&amp;"'"&amp;"!B:B"))</f>
        <v>132188</v>
      </c>
      <c r="E19" s="1939" t="s">
        <v>1977</v>
      </c>
      <c r="F19" s="1940" t="s">
        <v>1976</v>
      </c>
      <c r="G19" s="136">
        <f ca="1">ROUND(C19*$C$18+D19*$D$18,0)</f>
        <v>179944</v>
      </c>
      <c r="H19" s="1941" t="s">
        <v>1978</v>
      </c>
      <c r="I19" s="129"/>
      <c r="K19" s="303" t="s">
        <v>1979</v>
      </c>
      <c r="L19" s="303">
        <f>IF(C1="",'数据-汇总表'!D3,SUMIF(项目类型,C1,'数据-汇总表'!D17:D26)+SUMIF(项目类型,C1,'数据-汇总表'!H17:H27))</f>
        <v>35230.35</v>
      </c>
      <c r="M19" s="303">
        <f>IF(C1="",'数据-汇总表'!D3,SUMIF(项目类型,C1,'数据-汇总表'!D17:D26))</f>
        <v>35230.35</v>
      </c>
    </row>
    <row r="20" spans="1:36" ht="15">
      <c r="A20" s="1942"/>
      <c r="B20" s="1151" t="s">
        <v>1980</v>
      </c>
      <c r="C20" s="137">
        <f ca="1">SUMIF(INDIRECT("'"&amp;C4&amp;"'"&amp;"!A:A"),结果表!B20,INDIRECT("'"&amp;C4&amp;"'"&amp;"!B:B"))</f>
        <v>29112</v>
      </c>
      <c r="D20" s="138">
        <f ca="1">SUMIF(INDIRECT("'"&amp;D4&amp;"'"&amp;"!A:A"),结果表!B20,INDIRECT("'"&amp;D4&amp;"'"&amp;"!B:B"))</f>
        <v>15297</v>
      </c>
      <c r="E20" s="1942"/>
      <c r="F20" s="1151" t="s">
        <v>1980</v>
      </c>
      <c r="G20" s="139">
        <f ca="1">ROUND(C20*$C$18+D20*$D$18,0)</f>
        <v>20823</v>
      </c>
      <c r="H20" s="911" t="s">
        <v>1981</v>
      </c>
      <c r="I20" s="129"/>
    </row>
    <row r="21" spans="1:36" ht="15" customHeight="1" thickBot="1">
      <c r="A21" s="931"/>
      <c r="B21" s="1943" t="s">
        <v>1982</v>
      </c>
      <c r="C21" s="723">
        <f ca="1">ROUND(C19*10000/L19,0)</f>
        <v>71409</v>
      </c>
      <c r="D21" s="724">
        <f ca="1">ROUND(D19*10000/L19,0)</f>
        <v>37521</v>
      </c>
      <c r="E21" s="931"/>
      <c r="F21" s="1943" t="s">
        <v>1982</v>
      </c>
      <c r="G21" s="140">
        <f ca="1">ROUND(G19*10000/L19,0)</f>
        <v>51076</v>
      </c>
      <c r="H21" s="1944" t="s">
        <v>1981</v>
      </c>
      <c r="I21" s="129"/>
    </row>
    <row r="22" spans="1:36" ht="15" thickBot="1">
      <c r="A22" s="1866" t="s">
        <v>1983</v>
      </c>
      <c r="B22" s="1945"/>
      <c r="C22" s="1946"/>
      <c r="D22" s="725">
        <f ca="1">IF(C19&lt;D19,D19/C19-1,C19/D19-1)</f>
        <v>0.90318334493297425</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f ca="1">IF(D32="总价",G19-C24,G20-C25)</f>
        <v>179944</v>
      </c>
      <c r="D32" s="1953" t="s">
        <v>3253</v>
      </c>
      <c r="E32" s="129"/>
      <c r="F32" s="129"/>
      <c r="G32" s="129"/>
      <c r="H32" s="129"/>
      <c r="I32" s="129"/>
    </row>
    <row r="33" spans="1:15" ht="15">
      <c r="A33" s="888" t="s">
        <v>1991</v>
      </c>
      <c r="B33" s="1954"/>
      <c r="C33" s="1955" t="s">
        <v>5419</v>
      </c>
      <c r="D33" s="1956" t="s">
        <v>3246</v>
      </c>
      <c r="E33" s="1957" t="s">
        <v>1992</v>
      </c>
      <c r="F33" s="1958" t="str">
        <f>IF(D32="楼面单价","取值（单价）","取值（总价）")</f>
        <v>取值（总价）</v>
      </c>
      <c r="G33" s="129"/>
      <c r="H33" s="129"/>
      <c r="I33" s="129"/>
    </row>
    <row r="34" spans="1:15" ht="15">
      <c r="A34" s="1959"/>
      <c r="B34" s="1960" t="s">
        <v>1993</v>
      </c>
      <c r="C34" s="148">
        <f ca="1">IF(C33="自定义",F34,C32-C35)</f>
        <v>160839</v>
      </c>
      <c r="D34" s="964">
        <f ca="1">IF(C33="自定义",ROUND(C34/C32,3),IF(C33="收益比率",SUMIF(INDIRECT("'"&amp;D33&amp;"'"&amp;"!b:b"),"土地收益比率",INDIRECT("'"&amp;D33&amp;"'"&amp;"!c:c")),SUMIF(INDIRECT("'"&amp;D33&amp;"'"&amp;"!b:b"),"土地成本比率",INDIRECT("'"&amp;D33&amp;"'"&amp;"!c:c"))))</f>
        <v>0.89400000000000002</v>
      </c>
      <c r="E34" s="1961" t="s">
        <v>1994</v>
      </c>
      <c r="F34" s="1491">
        <f ca="1">G19-F35</f>
        <v>160839</v>
      </c>
      <c r="G34" s="129"/>
      <c r="H34" s="129"/>
      <c r="I34" s="129"/>
    </row>
    <row r="35" spans="1:15" ht="15.75" thickBot="1">
      <c r="A35" s="1962"/>
      <c r="B35" s="1963" t="s">
        <v>1995</v>
      </c>
      <c r="C35" s="1326">
        <f ca="1">IF(C33="自定义",F35,ROUND(C32*D35,0))</f>
        <v>19105</v>
      </c>
      <c r="D35" s="1327">
        <f ca="1">IF(C33="自定义",ROUND(C35/C32,3),IF(C33="收益比率",SUMIF(INDIRECT("'"&amp;D33&amp;"'"&amp;"!b:b"),"建筑物收益比率",INDIRECT("'"&amp;D33&amp;"'"&amp;"!c:c")),SUMIF(INDIRECT("'"&amp;D33&amp;"'"&amp;"!b:b"),"建筑物成本比率",INDIRECT("'"&amp;D33&amp;"'"&amp;"!c:c"))))</f>
        <v>0.106</v>
      </c>
      <c r="E35" s="1964" t="s">
        <v>1996</v>
      </c>
      <c r="F35" s="154">
        <f ca="1">成本法!C51</f>
        <v>19105</v>
      </c>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2003</v>
      </c>
      <c r="C39" s="1972" t="s">
        <v>2004</v>
      </c>
      <c r="D39" s="1972" t="s">
        <v>2005</v>
      </c>
      <c r="E39" s="1973" t="s">
        <v>2006</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f ca="1">ROUND(H101*F45,0)</f>
        <v>179944</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2738">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2738">
        <v>2</v>
      </c>
      <c r="K47" s="3452" t="s">
        <v>2022</v>
      </c>
      <c r="L47" s="3452"/>
      <c r="M47" s="3454">
        <f>'数据-取费表'!B2</f>
        <v>44568</v>
      </c>
      <c r="N47" s="3454"/>
      <c r="O47" s="3454"/>
    </row>
    <row r="48" spans="1:15" ht="25.5">
      <c r="A48" s="3517" t="s">
        <v>2023</v>
      </c>
      <c r="B48" s="3518"/>
      <c r="C48" s="3518"/>
      <c r="D48" s="2539" t="b">
        <f>IF(H48="情况1",0,IF(H48="情况2",D52,IF(H48="情况3",D53,IF(H48="情况4",D54))))</f>
        <v>0</v>
      </c>
      <c r="E48" s="2549" t="str">
        <f>IF(H48="情况4","(销售额-原购置价)×税（费）率","销售额×税（费）率")</f>
        <v>销售额×税（费）率</v>
      </c>
      <c r="F48" s="2763">
        <f>IF(H48="情况1","免征",'数据-取费表'!B41)</f>
        <v>5.5000000000000007E-2</v>
      </c>
      <c r="G48" s="2764" t="s">
        <v>2024</v>
      </c>
      <c r="H48" s="2765"/>
      <c r="I48" s="1984"/>
      <c r="J48" s="2738">
        <v>3</v>
      </c>
      <c r="K48" s="3452" t="s">
        <v>2025</v>
      </c>
      <c r="L48" s="3452"/>
      <c r="M48" s="3455">
        <f ca="1">H101</f>
        <v>179944</v>
      </c>
      <c r="N48" s="3455"/>
      <c r="O48" s="3455"/>
    </row>
    <row r="49" spans="1:35" ht="25.5" customHeight="1">
      <c r="A49" s="2548" t="s">
        <v>2026</v>
      </c>
      <c r="B49" s="3500" t="s">
        <v>2027</v>
      </c>
      <c r="C49" s="3500"/>
      <c r="D49" s="1768">
        <v>0</v>
      </c>
      <c r="E49" s="325" t="s">
        <v>2028</v>
      </c>
      <c r="F49" s="2642" t="s">
        <v>34</v>
      </c>
      <c r="G49" s="3483"/>
      <c r="H49" s="2520" t="s">
        <v>2873</v>
      </c>
      <c r="I49" s="2521"/>
      <c r="J49" s="2738">
        <v>4</v>
      </c>
      <c r="K49" s="3452" t="str">
        <f>IF(项目基本情况!E8="房地产抵押价值","房地产抵押价值","抵押担保权已注销时的房地产抵押价值")</f>
        <v>房地产抵押价值</v>
      </c>
      <c r="L49" s="3452"/>
      <c r="M49" s="3455">
        <f ca="1">IF(项目基本情况!E8="房地产抵押价值",H107,H109)</f>
        <v>179944</v>
      </c>
      <c r="N49" s="3455"/>
      <c r="O49" s="3455"/>
    </row>
    <row r="50" spans="1:35" ht="25.5" customHeight="1">
      <c r="A50" s="2766"/>
      <c r="B50" s="3500" t="s">
        <v>2029</v>
      </c>
      <c r="C50" s="3500"/>
      <c r="D50" s="2767"/>
      <c r="E50" s="333"/>
      <c r="F50" s="2642"/>
      <c r="G50" s="3484"/>
      <c r="H50" s="2522" t="s">
        <v>2874</v>
      </c>
      <c r="I50" s="2521"/>
      <c r="J50" s="3451" t="s">
        <v>2030</v>
      </c>
      <c r="K50" s="3451"/>
      <c r="L50" s="3451"/>
      <c r="M50" s="3451"/>
      <c r="N50" s="3451"/>
      <c r="O50" s="3451"/>
    </row>
    <row r="51" spans="1:35" ht="20.45" customHeight="1">
      <c r="A51" s="2768"/>
      <c r="B51" s="3500" t="s">
        <v>2031</v>
      </c>
      <c r="C51" s="3500"/>
      <c r="D51" s="1241"/>
      <c r="E51" s="328"/>
      <c r="F51" s="2642"/>
      <c r="G51" s="3485"/>
      <c r="H51" s="2522" t="s">
        <v>2875</v>
      </c>
      <c r="I51" s="2521"/>
      <c r="J51" s="2739" t="s">
        <v>2032</v>
      </c>
      <c r="K51" s="3452" t="s">
        <v>2033</v>
      </c>
      <c r="L51" s="3452"/>
      <c r="M51" s="2739" t="s">
        <v>2034</v>
      </c>
      <c r="N51" s="2739" t="s">
        <v>2035</v>
      </c>
      <c r="O51" s="2739" t="s">
        <v>2036</v>
      </c>
    </row>
    <row r="52" spans="1:35" ht="24" customHeight="1">
      <c r="A52" s="2550" t="s">
        <v>2037</v>
      </c>
      <c r="B52" s="3500" t="s">
        <v>2038</v>
      </c>
      <c r="C52" s="3500"/>
      <c r="D52" s="1241">
        <f ca="1">ROUND(D45*'数据-取费表'!B41/(1+'数据-取费表'!C42),0)</f>
        <v>9426</v>
      </c>
      <c r="E52" s="2549" t="s">
        <v>2039</v>
      </c>
      <c r="F52" s="2769">
        <f>'数据-取费表'!B41</f>
        <v>5.5000000000000007E-2</v>
      </c>
      <c r="G52" s="2770"/>
      <c r="H52" s="2759"/>
      <c r="I52" s="1985"/>
      <c r="J52" s="2738">
        <v>1</v>
      </c>
      <c r="K52" s="3477" t="s">
        <v>2040</v>
      </c>
      <c r="L52" s="3477"/>
      <c r="M52" s="2740" t="b">
        <f>D48</f>
        <v>0</v>
      </c>
      <c r="N52" s="2738" t="str">
        <f>E48</f>
        <v>销售额×税（费）率</v>
      </c>
      <c r="O52" s="2741">
        <f>F48</f>
        <v>5.5000000000000007E-2</v>
      </c>
    </row>
    <row r="53" spans="1:35" ht="12" customHeight="1">
      <c r="A53" s="2550" t="s">
        <v>2041</v>
      </c>
      <c r="B53" s="3501" t="s">
        <v>3028</v>
      </c>
      <c r="C53" s="3502"/>
      <c r="D53" s="1241">
        <f ca="1">ROUND(D45*'数据-取费表'!B41/(1+'数据-取费表'!C42),0)</f>
        <v>9426</v>
      </c>
      <c r="E53" s="2549" t="s">
        <v>2039</v>
      </c>
      <c r="F53" s="2769">
        <f>'数据-取费表'!B41</f>
        <v>5.5000000000000007E-2</v>
      </c>
      <c r="G53" s="2770"/>
      <c r="H53" s="2759"/>
      <c r="I53" s="1985"/>
      <c r="J53" s="2738">
        <v>2</v>
      </c>
      <c r="K53" s="3477" t="s">
        <v>2042</v>
      </c>
      <c r="L53" s="3477"/>
      <c r="M53" s="2740">
        <f t="shared" ref="M53:O54" ca="1" si="0">D55</f>
        <v>90</v>
      </c>
      <c r="N53" s="2738" t="str">
        <f t="shared" si="0"/>
        <v>销售额×税（费）率</v>
      </c>
      <c r="O53" s="2741" t="str">
        <f t="shared" si="0"/>
        <v>免征</v>
      </c>
    </row>
    <row r="54" spans="1:35" ht="12" customHeight="1">
      <c r="A54" s="2550" t="s">
        <v>2043</v>
      </c>
      <c r="B54" s="3501" t="s">
        <v>3029</v>
      </c>
      <c r="C54" s="3502"/>
      <c r="D54" s="1241">
        <f ca="1">C68</f>
        <v>9426</v>
      </c>
      <c r="E54" s="328" t="s">
        <v>2044</v>
      </c>
      <c r="F54" s="2769">
        <f>'数据-取费表'!B41</f>
        <v>5.5000000000000007E-2</v>
      </c>
      <c r="G54" s="2770"/>
      <c r="H54" s="2771"/>
      <c r="I54" s="1985"/>
      <c r="J54" s="2738">
        <v>3</v>
      </c>
      <c r="K54" s="3477" t="s">
        <v>2045</v>
      </c>
      <c r="L54" s="3477"/>
      <c r="M54" s="2740">
        <f t="shared" ca="1" si="0"/>
        <v>102011</v>
      </c>
      <c r="N54" s="2738" t="str">
        <f t="shared" si="0"/>
        <v>增值额×税（费）率</v>
      </c>
      <c r="O54" s="2742" t="str">
        <f t="shared" si="0"/>
        <v>免征</v>
      </c>
    </row>
    <row r="55" spans="1:35" ht="24" customHeight="1">
      <c r="A55" s="3541" t="s">
        <v>2046</v>
      </c>
      <c r="B55" s="3518"/>
      <c r="C55" s="3518"/>
      <c r="D55" s="2539">
        <f ca="1">IF(H55="个人住宅",0,ROUND(D45*I55,0))</f>
        <v>90</v>
      </c>
      <c r="E55" s="2549" t="s">
        <v>2047</v>
      </c>
      <c r="F55" s="2769" t="str">
        <f>IF(H55="正常",I55,"免征")</f>
        <v>免征</v>
      </c>
      <c r="G55" s="2770"/>
      <c r="H55" s="2765"/>
      <c r="I55" s="165">
        <f>'数据-取费表'!B49</f>
        <v>5.0000000000000001E-4</v>
      </c>
      <c r="J55" s="2738">
        <f>IF(H59="非个人房产","",4)</f>
        <v>4</v>
      </c>
      <c r="K55" s="3477" t="str">
        <f>IF(H59="非个人房产","——","个人所得税")</f>
        <v>个人所得税</v>
      </c>
      <c r="L55" s="3477"/>
      <c r="M55" s="2743">
        <f ca="1">D59</f>
        <v>1714</v>
      </c>
      <c r="N55" s="2220" t="str">
        <f>E59</f>
        <v>差额计税</v>
      </c>
      <c r="O55" s="2744">
        <f>F59</f>
        <v>0.01</v>
      </c>
    </row>
    <row r="56" spans="1:35" ht="24.75">
      <c r="A56" s="3541" t="s">
        <v>2048</v>
      </c>
      <c r="B56" s="3518"/>
      <c r="C56" s="3518"/>
      <c r="D56" s="2539">
        <f ca="1">IF(H56="个人住宅",D57,D58)</f>
        <v>102011</v>
      </c>
      <c r="E56" s="2549" t="s">
        <v>2049</v>
      </c>
      <c r="F56" s="2769" t="str">
        <f>IF(H56="正常",F58,"免征")</f>
        <v>免征</v>
      </c>
      <c r="G56" s="2772" t="s">
        <v>2050</v>
      </c>
      <c r="H56" s="2773"/>
      <c r="I56" s="1986"/>
      <c r="J56" s="2738"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2550" t="s">
        <v>2026</v>
      </c>
      <c r="B57" s="3501" t="s">
        <v>2051</v>
      </c>
      <c r="C57" s="3502"/>
      <c r="D57" s="1768">
        <v>0</v>
      </c>
      <c r="E57" s="325" t="s">
        <v>2028</v>
      </c>
      <c r="F57" s="303"/>
      <c r="G57" s="2770"/>
      <c r="H57" s="2774"/>
      <c r="I57" s="1986"/>
      <c r="J57" s="3477">
        <f>IF(AND(J55="",J56=""),4,IF(项目基本情况!K6="上海银行",结果表!J56+1,结果表!J55+1))</f>
        <v>5</v>
      </c>
      <c r="K57" s="3477" t="s">
        <v>2052</v>
      </c>
      <c r="L57" s="2745" t="s">
        <v>2053</v>
      </c>
      <c r="M57" s="2746"/>
      <c r="N57" s="2747">
        <f ca="1">SUMIF(M52:M56,"&lt;9e307")</f>
        <v>103815</v>
      </c>
      <c r="O57" s="2748"/>
      <c r="P57" s="2907">
        <f ca="1">N57/M49</f>
        <v>0.57692948917440978</v>
      </c>
    </row>
    <row r="58" spans="1:35" ht="24.75">
      <c r="A58" s="2550" t="s">
        <v>2037</v>
      </c>
      <c r="B58" s="3501" t="s">
        <v>2054</v>
      </c>
      <c r="C58" s="3500"/>
      <c r="D58" s="2539">
        <f ca="1">IF(H58="转让取得",C81,C97)</f>
        <v>102011</v>
      </c>
      <c r="E58" s="2549" t="s">
        <v>2049</v>
      </c>
      <c r="F58" s="303" t="s">
        <v>34</v>
      </c>
      <c r="G58" s="2770"/>
      <c r="H58" s="2773"/>
      <c r="I58" s="1986"/>
      <c r="J58" s="3477"/>
      <c r="K58" s="3477"/>
      <c r="L58" s="2745" t="s">
        <v>2055</v>
      </c>
      <c r="M58" s="2749"/>
      <c r="N58" s="2750" t="str">
        <f ca="1">NUMBERSTRING(INT(N57*10000),2)&amp;"元整"</f>
        <v>壹拾亿叁仟捌佰壹拾伍万元整</v>
      </c>
      <c r="O58" s="2751"/>
    </row>
    <row r="59" spans="1:35" ht="24.75" thickBot="1">
      <c r="A59" s="3481" t="s">
        <v>2056</v>
      </c>
      <c r="B59" s="3482"/>
      <c r="C59" s="3482"/>
      <c r="D59" s="2775">
        <f ca="1">IF(H59="非个人房产","——",IF(H59="个人住宅（满五唯一有凭证）",0,IF(H59="个人其他（无凭证）",ROUND(D45*F59,0),ROUND(C67*F59,0))))</f>
        <v>1714</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2738" t="s">
        <v>2053</v>
      </c>
      <c r="M59" s="2752"/>
      <c r="N59" s="2753">
        <f ca="1">M49-N57</f>
        <v>76129</v>
      </c>
      <c r="O59" s="2754"/>
    </row>
    <row r="60" spans="1:35" ht="12" customHeight="1">
      <c r="A60" s="1987"/>
      <c r="B60" s="1925"/>
      <c r="C60" s="1925"/>
      <c r="D60" s="1925"/>
      <c r="E60" s="1756"/>
      <c r="F60" s="1986"/>
      <c r="G60" s="1986"/>
      <c r="H60" s="1988"/>
      <c r="I60" s="129"/>
      <c r="J60" s="3480"/>
      <c r="K60" s="3477"/>
      <c r="L60" s="2745" t="s">
        <v>2055</v>
      </c>
      <c r="M60" s="2749"/>
      <c r="N60" s="2750" t="str">
        <f ca="1">NUMBERSTRING(INT(N59*10000),2)&amp;"元整"</f>
        <v>柒亿陆仟壹佰贰拾玖万元整</v>
      </c>
      <c r="O60" s="2751"/>
    </row>
    <row r="61" spans="1:35" ht="13.5" thickBot="1">
      <c r="A61" s="3540" t="s">
        <v>2058</v>
      </c>
      <c r="B61" s="3540"/>
      <c r="C61" s="3540"/>
      <c r="D61" s="3540"/>
      <c r="E61" s="3540"/>
      <c r="F61" s="1986"/>
      <c r="G61" s="1986"/>
      <c r="H61" s="1988"/>
      <c r="I61" s="129"/>
      <c r="J61" s="2738">
        <f>J59+1</f>
        <v>7</v>
      </c>
      <c r="K61" s="3477" t="s">
        <v>2059</v>
      </c>
      <c r="L61" s="3477"/>
      <c r="M61" s="2755"/>
      <c r="N61" s="2756">
        <f ca="1">ROUND(N59*10000/'数据-汇总表'!E3,0)</f>
        <v>8809</v>
      </c>
      <c r="O61" s="2757"/>
    </row>
    <row r="62" spans="1:35" ht="12.75">
      <c r="A62" s="3496" t="s">
        <v>2060</v>
      </c>
      <c r="B62" s="3497"/>
      <c r="C62" s="2201"/>
      <c r="D62" s="2201" t="s">
        <v>2061</v>
      </c>
      <c r="E62" s="166" t="s">
        <v>2062</v>
      </c>
      <c r="F62" s="1986"/>
      <c r="G62" s="1986"/>
      <c r="H62" s="1988"/>
      <c r="I62" s="129"/>
    </row>
    <row r="63" spans="1:35" ht="12.75">
      <c r="A63" s="173" t="s">
        <v>775</v>
      </c>
      <c r="B63" s="167" t="s">
        <v>2063</v>
      </c>
      <c r="C63" s="2779">
        <f ca="1">ROUND((C64+C65)/(1+'数据-取费表'!C42),0)</f>
        <v>171375</v>
      </c>
      <c r="D63" s="167"/>
      <c r="E63" s="168"/>
      <c r="F63" s="1986"/>
      <c r="G63" s="1986"/>
      <c r="H63" s="1988"/>
      <c r="I63" s="129"/>
      <c r="J63" s="3460" t="s">
        <v>2064</v>
      </c>
      <c r="K63" s="1494" t="s">
        <v>2065</v>
      </c>
      <c r="L63" s="1494">
        <f ca="1">IF(M49&gt;10000,M49*0.5%,IF(AND(M49&gt;1000,M49&lt;=10000),M49*1%,IF(AND(M49&gt;100,M49&lt;=1000),M49*3%,IF(AND(M49&gt;10,M49&lt;=100),M49*5%,M49*8%))))</f>
        <v>899.72</v>
      </c>
      <c r="M63" s="303">
        <f ca="1">ROUND(L63,1)</f>
        <v>899.7</v>
      </c>
      <c r="N63" s="2758"/>
      <c r="Z63" s="1930"/>
      <c r="AI63" s="1931"/>
    </row>
    <row r="64" spans="1:35" ht="14.25" customHeight="1">
      <c r="A64" s="169" t="s">
        <v>770</v>
      </c>
      <c r="B64" s="170" t="s">
        <v>2066</v>
      </c>
      <c r="C64" s="2780">
        <f ca="1">D45</f>
        <v>179944</v>
      </c>
      <c r="D64" s="170" t="s">
        <v>32</v>
      </c>
      <c r="E64" s="172"/>
      <c r="F64" s="1986"/>
      <c r="G64" s="1986"/>
      <c r="H64" s="1988"/>
      <c r="I64" s="129"/>
      <c r="J64" s="3460"/>
      <c r="K64" s="1494" t="s">
        <v>2067</v>
      </c>
      <c r="L64" s="1494">
        <f ca="1">IF(M49&gt;2000,M49*0.5%,IF(AND(M49&gt;1000,M49&lt;=2000),M49*0.6%,IF(AND(M49&gt;500,M49&lt;=1000),M49*0.7%,IF(AND(M49&gt;200,M49&lt;=500),M49*0.8%,IF(AND(M49&gt;100,M49&lt;=200),M49*0.9%,IF(AND(M49&gt;50,M49&lt;=100),M49*1%,IF(AND(M49&gt;20,M49&lt;=50),M49*1.5%,IF(AND(M49&gt;10,M49&lt;=20),M49*2%,IF(AND(M49&gt;1,M49&lt;=10),M49*2.5%)))))))))</f>
        <v>899.72</v>
      </c>
      <c r="M64" s="303">
        <f t="shared" ref="M64:M65" ca="1" si="1">ROUND(L64,1)</f>
        <v>899.7</v>
      </c>
      <c r="N64" s="2759" t="s">
        <v>2068</v>
      </c>
      <c r="Z64" s="1930"/>
      <c r="AI64" s="1931"/>
    </row>
    <row r="65" spans="1:35" ht="14.25" customHeight="1">
      <c r="A65" s="169" t="s">
        <v>771</v>
      </c>
      <c r="B65" s="170" t="s">
        <v>2069</v>
      </c>
      <c r="C65" s="2781"/>
      <c r="D65" s="170"/>
      <c r="E65" s="172"/>
      <c r="F65" s="1986"/>
      <c r="G65" s="1986"/>
      <c r="H65" s="1988"/>
      <c r="I65" s="129"/>
      <c r="J65" s="3460"/>
      <c r="K65" s="1494" t="s">
        <v>2070</v>
      </c>
      <c r="L65" s="1494">
        <f ca="1">IF(M49&gt;1000,M49*0.1%,IF(AND(M49&gt;500,M49&lt;=1000),M49*0.5%,IF(AND(M49&gt;50,M49&lt;=500),M49*1%,IF(AND(M49&gt;1,M49&lt;=50),M49*1.5%))))</f>
        <v>179.94400000000002</v>
      </c>
      <c r="M65" s="303">
        <f t="shared" ca="1" si="1"/>
        <v>179.9</v>
      </c>
      <c r="N65" s="2759" t="s">
        <v>2068</v>
      </c>
      <c r="Z65" s="1930"/>
      <c r="AI65" s="1931"/>
    </row>
    <row r="66" spans="1:35" ht="14.25" customHeight="1">
      <c r="A66" s="173" t="s">
        <v>772</v>
      </c>
      <c r="B66" s="174" t="s">
        <v>2071</v>
      </c>
      <c r="C66" s="2782"/>
      <c r="D66" s="174" t="s">
        <v>32</v>
      </c>
      <c r="E66" s="1502" t="s">
        <v>1337</v>
      </c>
      <c r="F66" s="1986"/>
      <c r="G66" s="1986"/>
      <c r="H66" s="1988"/>
      <c r="I66" s="129"/>
      <c r="J66" s="3460"/>
      <c r="K66" s="1494" t="s">
        <v>2072</v>
      </c>
      <c r="L66" s="1494">
        <f ca="1">M49*0.5%</f>
        <v>899.72</v>
      </c>
      <c r="M66" s="303">
        <f ca="1">IF(L66&gt;0.5,0.5,ROUND(L66,0))</f>
        <v>0.5</v>
      </c>
      <c r="N66" s="2759" t="s">
        <v>2073</v>
      </c>
      <c r="Z66" s="1930"/>
      <c r="AI66" s="1931"/>
    </row>
    <row r="67" spans="1:35" ht="14.25" customHeight="1">
      <c r="A67" s="173" t="s">
        <v>773</v>
      </c>
      <c r="B67" s="174" t="s">
        <v>2074</v>
      </c>
      <c r="C67" s="2783">
        <f ca="1">C63-C66</f>
        <v>171375</v>
      </c>
      <c r="D67" s="170" t="s">
        <v>32</v>
      </c>
      <c r="E67" s="172"/>
      <c r="F67" s="1986"/>
      <c r="G67" s="1986"/>
      <c r="H67" s="1988"/>
      <c r="I67" s="129"/>
      <c r="J67" s="3460"/>
      <c r="K67" s="1494" t="s">
        <v>2075</v>
      </c>
      <c r="L67" s="1494">
        <f ca="1">IF(M49&gt;=10000,(8.25+(M49-10000)*0.01%),IF(AND(M49&gt;=8000,M49&lt;10000),(7.85+(M49-8000)*0.02%),IF(AND(M49&gt;=5000,M49&lt;8000),(6.65+(M49-5000)*0.04%),IF(AND(M49&gt;=2000,M49&lt;5000),(4.25+(PM49-2000)*0.08%),IF(AND(M49&gt;=1000,M49&lt;2000),(2.75+(M49-1000)*0.15%),IF(AND(M49&gt;=100,M49&lt;1000),(0.5+(M49-100)*0.25%),IF(AND(M49&gt;0,M49&lt;100),M49*0.5%)))))))</f>
        <v>25.244400000000002</v>
      </c>
      <c r="M67" s="303">
        <f ca="1">ROUND(L67*0.9,1)</f>
        <v>22.7</v>
      </c>
      <c r="N67" s="2758"/>
      <c r="Z67" s="1930"/>
      <c r="AI67" s="1931"/>
    </row>
    <row r="68" spans="1:35" ht="14.25" customHeight="1" thickBot="1">
      <c r="A68" s="176" t="s">
        <v>774</v>
      </c>
      <c r="B68" s="177" t="s">
        <v>2076</v>
      </c>
      <c r="C68" s="2784">
        <f ca="1">IF(C67&lt;=0,0,ROUND(C67*D68,0))</f>
        <v>9426</v>
      </c>
      <c r="D68" s="2785">
        <f>'数据-取费表'!B41</f>
        <v>5.5000000000000007E-2</v>
      </c>
      <c r="E68" s="179"/>
      <c r="F68" s="1986"/>
      <c r="G68" s="1986"/>
      <c r="H68" s="1988"/>
      <c r="I68" s="129"/>
      <c r="J68" s="3460"/>
      <c r="K68" s="1494" t="s">
        <v>2077</v>
      </c>
      <c r="L68" s="1494">
        <f ca="1">IF(M49&gt;10000,M49*0.5%,IF(AND(M49&gt;5000,M49&lt;=10000),M49*1%,IF(AND(M49&gt;1000,M49&lt;=5000),M49*2%,IF(AND(M49&gt;200,M49&lt;=1000),M49*3%,M49*5%))))</f>
        <v>899.72</v>
      </c>
      <c r="M68" s="303">
        <f ca="1">ROUND(L68,1)</f>
        <v>899.7</v>
      </c>
      <c r="N68" s="2758"/>
      <c r="Z68" s="1930"/>
      <c r="AI68" s="1931"/>
    </row>
    <row r="69" spans="1:35" s="1950" customFormat="1" ht="16.5" customHeight="1">
      <c r="A69" s="1989"/>
      <c r="B69" s="1990"/>
      <c r="C69" s="1991"/>
      <c r="D69" s="1992"/>
      <c r="E69" s="1993"/>
      <c r="F69" s="1756"/>
      <c r="G69" s="1756"/>
      <c r="H69" s="1755"/>
      <c r="I69" s="1925"/>
      <c r="J69" s="3460"/>
      <c r="K69" s="1494" t="s">
        <v>2078</v>
      </c>
      <c r="L69" s="1494"/>
      <c r="M69" s="303">
        <f ca="1">ROUND(SUM(M63:M68),0)</f>
        <v>2902</v>
      </c>
      <c r="N69" s="2760">
        <f ca="1">M69/M49</f>
        <v>1.6127239585648868E-2</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2201"/>
      <c r="D71" s="2201"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f ca="1">ROUND(D45/(1+'数据-取费表'!C42),0)</f>
        <v>171375</v>
      </c>
      <c r="D72" s="170" t="s">
        <v>32</v>
      </c>
      <c r="E72" s="2546"/>
      <c r="F72" s="2545"/>
      <c r="G72" s="2545"/>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f ca="1">C74+C78</f>
        <v>857</v>
      </c>
      <c r="D73" s="170" t="s">
        <v>32</v>
      </c>
      <c r="E73" s="2546"/>
      <c r="F73" s="2545"/>
      <c r="G73" s="2545"/>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2546"/>
      <c r="F74" s="2545"/>
      <c r="G74" s="2545"/>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2539" t="s">
        <v>2089</v>
      </c>
      <c r="F77" s="187"/>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f ca="1">ROUND(D45*D78/(1+'数据-取费表'!C42),0)</f>
        <v>857</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779</v>
      </c>
      <c r="B79" s="174" t="s">
        <v>2092</v>
      </c>
      <c r="C79" s="2783">
        <f ca="1">C72-C73</f>
        <v>170518</v>
      </c>
      <c r="D79" s="170" t="s">
        <v>32</v>
      </c>
      <c r="E79" s="2546"/>
      <c r="F79" s="2545"/>
      <c r="G79" s="2545"/>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f ca="1">IF(C79&lt;=0,0,C79/C73)</f>
        <v>198.97082847141189</v>
      </c>
      <c r="D80" s="170"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f ca="1">ROUND(IF(C79&lt;=0,0,IF(C80&gt;=200%,C79*60%-C73*35%,IF(C80&gt;=100%,C79*50%-C73*15%,IF(C80&gt;=50%,C79*40%-C73*5%,IF(C80&lt;50%,C79*30%,0))))),0)</f>
        <v>102011</v>
      </c>
      <c r="D81" s="2795"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2201"/>
      <c r="D84" s="2201"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f ca="1">ROUND(D45/(1+'数据-取费表'!C42),0)</f>
        <v>171375</v>
      </c>
      <c r="D85" s="170" t="s">
        <v>32</v>
      </c>
      <c r="E85" s="2546"/>
      <c r="F85" s="2545"/>
      <c r="G85" s="2545"/>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f ca="1">IF(H88="仅含出让金",C87+C90+C91+C92+C93+C94,C87+C91+C92+C93+C94)</f>
        <v>857</v>
      </c>
      <c r="D86" s="2796"/>
      <c r="E86" s="2546"/>
      <c r="F86" s="2545"/>
      <c r="G86" s="2545"/>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2542"/>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2542"/>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f ca="1">ROUND(D45*D93/(1+'数据-取费表'!C42),0)</f>
        <v>857</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779</v>
      </c>
      <c r="B95" s="174" t="s">
        <v>2092</v>
      </c>
      <c r="C95" s="2783">
        <f ca="1">ROUND(C85-C86,0)</f>
        <v>170518</v>
      </c>
      <c r="D95" s="170" t="s">
        <v>32</v>
      </c>
      <c r="E95" s="2546"/>
      <c r="F95" s="2545"/>
      <c r="G95" s="2545"/>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f ca="1">IF(C95&lt;=0,0,C95/C86)</f>
        <v>198.97082847141189</v>
      </c>
      <c r="D96" s="170"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f ca="1">ROUND(IF(C95&lt;=0,0,IF(C96&gt;=200%,C95*60%-C86*35%,IF(C96&gt;=100%,C95*50%-C86*15%,IF(C96&gt;=50%,C95*40%-C86*5%,IF(C96&lt;50%,C95*30%,0))))),0)</f>
        <v>102011</v>
      </c>
      <c r="D97" s="2795"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v>
      </c>
      <c r="D101" s="2801" t="str">
        <f>D4</f>
        <v>假设开发法</v>
      </c>
      <c r="E101" s="3456" t="s">
        <v>2116</v>
      </c>
      <c r="F101" s="3457"/>
      <c r="G101" s="2005" t="s">
        <v>2117</v>
      </c>
      <c r="H101" s="2810">
        <f ca="1">H118</f>
        <v>179944</v>
      </c>
      <c r="I101" s="129"/>
    </row>
    <row r="102" spans="1:35" ht="18.75" customHeight="1">
      <c r="A102" s="3488" t="s">
        <v>2118</v>
      </c>
      <c r="B102" s="2799" t="s">
        <v>2117</v>
      </c>
      <c r="C102" s="2800">
        <f ca="1">C19</f>
        <v>251578</v>
      </c>
      <c r="D102" s="2801">
        <f ca="1">D19</f>
        <v>132188</v>
      </c>
      <c r="E102" s="3456"/>
      <c r="F102" s="3457"/>
      <c r="G102" s="2005" t="s">
        <v>2119</v>
      </c>
      <c r="H102" s="2770">
        <f ca="1">I118</f>
        <v>20823</v>
      </c>
      <c r="I102" s="129"/>
    </row>
    <row r="103" spans="1:35" ht="42.75" customHeight="1">
      <c r="A103" s="3488"/>
      <c r="B103" s="2799" t="s">
        <v>2119</v>
      </c>
      <c r="C103" s="2802">
        <f ca="1">C20</f>
        <v>29112</v>
      </c>
      <c r="D103" s="2803">
        <f ca="1">D20</f>
        <v>15297</v>
      </c>
      <c r="E103" s="3449" t="s">
        <v>2120</v>
      </c>
      <c r="F103" s="3450"/>
      <c r="G103" s="2006" t="s">
        <v>2121</v>
      </c>
      <c r="H103" s="2810">
        <f>IF(D36="正常操作",H104+H105+H106,H105+H106)</f>
        <v>0</v>
      </c>
      <c r="I103" s="129"/>
    </row>
    <row r="104" spans="1:35" ht="18.75" customHeight="1">
      <c r="A104" s="3488" t="s">
        <v>2122</v>
      </c>
      <c r="B104" s="2804" t="s">
        <v>2117</v>
      </c>
      <c r="C104" s="2805">
        <f ca="1">H118</f>
        <v>179944</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f ca="1">I118</f>
        <v>20823</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f ca="1">IF(E107="——","——",H101-H103)</f>
        <v>179944</v>
      </c>
      <c r="I107" s="129"/>
    </row>
    <row r="108" spans="1:35" ht="18.75" customHeight="1">
      <c r="A108" s="129"/>
      <c r="B108" s="129"/>
      <c r="C108" s="129"/>
      <c r="D108" s="129"/>
      <c r="E108" s="3489"/>
      <c r="F108" s="3457"/>
      <c r="G108" s="2005" t="s">
        <v>2119</v>
      </c>
      <c r="H108" s="2770">
        <f ca="1">ROUND(H107*10000/'数据-汇总表'!E3,0)</f>
        <v>20823</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2544" t="s">
        <v>2134</v>
      </c>
      <c r="E117" s="2544" t="s">
        <v>2135</v>
      </c>
      <c r="F117" s="2544" t="s">
        <v>2134</v>
      </c>
      <c r="G117" s="2544" t="s">
        <v>2136</v>
      </c>
      <c r="H117" s="2544" t="s">
        <v>2134</v>
      </c>
      <c r="I117" s="2544" t="s">
        <v>2136</v>
      </c>
    </row>
    <row r="118" spans="1:27" ht="24.75" customHeight="1">
      <c r="A118" s="2815" t="str">
        <f>项目基本情况!S2</f>
        <v>北京市0331地块部分在建工程出让国有建设用地使用权及在建建筑物房地产</v>
      </c>
      <c r="B118" s="2544">
        <f>M18</f>
        <v>86417.1</v>
      </c>
      <c r="C118" s="2544">
        <f>M19</f>
        <v>35230.35</v>
      </c>
      <c r="D118" s="2544">
        <f ca="1">ROUND(IF(D32="总价",C34,E118*B118/10000),0)</f>
        <v>160839</v>
      </c>
      <c r="E118" s="2544">
        <f ca="1">ROUND(IF(C33="自定义",IF(D32="楼面单价",C34,D118*10000/B118),I118-G118),0)</f>
        <v>18612</v>
      </c>
      <c r="F118" s="2544">
        <f ca="1">ROUND(IF(D32="总价",C35,G118*B118/10000),0)</f>
        <v>19105</v>
      </c>
      <c r="G118" s="2544">
        <f ca="1">ROUND(IF(D32="楼面单价",C35,F118*10000/B118),0)</f>
        <v>2211</v>
      </c>
      <c r="H118" s="2544">
        <f ca="1">ROUND(IF(D32="总价",C32,I118*B118/10000),0)</f>
        <v>179944</v>
      </c>
      <c r="I118" s="2544">
        <f ca="1">ROUND(IF(D32="楼面单价",C32,H118*10000/B118),0)</f>
        <v>20823</v>
      </c>
    </row>
    <row r="119" spans="1:27" ht="18.75" customHeight="1">
      <c r="A119" s="3464" t="s">
        <v>2137</v>
      </c>
      <c r="B119" s="3464"/>
      <c r="C119" s="3464"/>
      <c r="D119" s="3470" t="str">
        <f ca="1">NUMBERSTRING(INT(D118*10000),2)&amp;"元整"</f>
        <v>壹拾陆亿零捌佰叁拾玖万元整</v>
      </c>
      <c r="E119" s="3471"/>
      <c r="F119" s="3470" t="str">
        <f ca="1">NUMBERSTRING(INT(F118*10000),2)&amp;"元整"</f>
        <v>壹亿玖仟壹佰零伍万元整</v>
      </c>
      <c r="G119" s="3471"/>
      <c r="H119" s="3470" t="str">
        <f ca="1">NUMBERSTRING(INT(H118*10000),2)&amp;"元整"</f>
        <v>壹拾柒亿玖仟玖佰肆拾肆万元整</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f ca="1">H107</f>
        <v>179944</v>
      </c>
      <c r="E122" s="3466"/>
      <c r="F122" s="3466"/>
      <c r="G122" s="3466"/>
      <c r="H122" s="3466"/>
      <c r="I122" s="3467"/>
      <c r="AA122" s="729"/>
    </row>
    <row r="123" spans="1:27" ht="18.75" customHeight="1">
      <c r="A123" s="3464" t="s">
        <v>2137</v>
      </c>
      <c r="B123" s="3464"/>
      <c r="C123" s="3464"/>
      <c r="D123" s="3470" t="str">
        <f ca="1">NUMBERSTRING(INT(D122*10000),2)&amp;"元整"</f>
        <v>壹拾柒亿玖仟玖佰肆拾肆万元整</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23" priority="21" stopIfTrue="1" operator="equal">
      <formula>25</formula>
    </cfRule>
  </conditionalFormatting>
  <conditionalFormatting sqref="C8:C9">
    <cfRule type="cellIs" dxfId="222" priority="19" stopIfTrue="1" operator="equal">
      <formula>15</formula>
    </cfRule>
  </conditionalFormatting>
  <conditionalFormatting sqref="C14:C16">
    <cfRule type="cellIs" dxfId="221" priority="13" stopIfTrue="1" operator="equal">
      <formula>30</formula>
    </cfRule>
  </conditionalFormatting>
  <conditionalFormatting sqref="D5:D7">
    <cfRule type="cellIs" dxfId="220" priority="10" stopIfTrue="1" operator="equal">
      <formula>25</formula>
    </cfRule>
  </conditionalFormatting>
  <conditionalFormatting sqref="D8:D9">
    <cfRule type="cellIs" dxfId="219" priority="9" stopIfTrue="1" operator="equal">
      <formula>15</formula>
    </cfRule>
  </conditionalFormatting>
  <conditionalFormatting sqref="C10:D13">
    <cfRule type="cellIs" dxfId="218" priority="8" stopIfTrue="1" operator="equal">
      <formula>15</formula>
    </cfRule>
  </conditionalFormatting>
  <conditionalFormatting sqref="D14:D16">
    <cfRule type="cellIs" dxfId="217" priority="6" stopIfTrue="1" operator="equal">
      <formula>30</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"100%,80%,60%,64%"</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Normal="70" zoomScaleSheetLayoutView="100" workbookViewId="0">
      <selection activeCell="B25" sqref="B25"/>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c r="C1" s="199"/>
      <c r="D1" s="199"/>
      <c r="E1" s="199"/>
      <c r="F1" s="199"/>
      <c r="G1" s="1282" t="e">
        <f>MATCH(B1,'数据-取费表'!A6:A16,0)+5</f>
        <v>#N/A</v>
      </c>
    </row>
    <row r="2" spans="1:9" s="201" customFormat="1" ht="18" customHeight="1">
      <c r="A2" s="202" t="s">
        <v>2147</v>
      </c>
      <c r="B2" s="203">
        <f ca="1">IF(D2="——",C52,C52-E2)</f>
        <v>251578</v>
      </c>
      <c r="C2" s="200" t="s">
        <v>2148</v>
      </c>
      <c r="D2" s="2031" t="s">
        <v>70</v>
      </c>
      <c r="E2" s="1325" t="e">
        <f ca="1">SUMIF(INDIRECT("'"&amp;G2&amp;"'"&amp;"!A:A"),"承租人权益价值",INDIRECT("'"&amp;G2&amp;"'"&amp;"!c:c"))</f>
        <v>#REF!</v>
      </c>
      <c r="F2" s="2032" t="s">
        <v>2148</v>
      </c>
      <c r="G2" s="2033"/>
    </row>
    <row r="3" spans="1:9" s="201" customFormat="1" ht="18" customHeight="1" thickBot="1">
      <c r="A3" s="204" t="s">
        <v>2149</v>
      </c>
      <c r="B3" s="205">
        <f ca="1">ROUND(B2*10000/(IF(B1="",'数据-汇总表'!E3,INDIRECT("'数据-取费表'!k"&amp;$G$1))),0)</f>
        <v>29112</v>
      </c>
      <c r="C3" s="200" t="s">
        <v>2150</v>
      </c>
      <c r="D3" s="200"/>
      <c r="E3" s="200"/>
      <c r="F3" s="200"/>
      <c r="G3" s="200"/>
    </row>
    <row r="4" spans="1:9" s="209" customFormat="1" ht="15.75">
      <c r="A4" s="206" t="s">
        <v>2151</v>
      </c>
      <c r="B4" s="207"/>
      <c r="C4" s="207"/>
      <c r="D4" s="207"/>
      <c r="E4" s="207"/>
      <c r="F4" s="207"/>
      <c r="G4" s="208"/>
    </row>
    <row r="5" spans="1:9" s="215" customFormat="1" ht="13.5" customHeight="1">
      <c r="A5" s="256" t="s">
        <v>2152</v>
      </c>
      <c r="B5" s="211" t="s">
        <v>2153</v>
      </c>
      <c r="C5" s="212">
        <f>C6+C7+C8</f>
        <v>197686</v>
      </c>
      <c r="D5" s="212" t="s">
        <v>2154</v>
      </c>
      <c r="E5" s="213" t="s">
        <v>2155</v>
      </c>
      <c r="F5" s="213" t="s">
        <v>2156</v>
      </c>
      <c r="G5" s="214"/>
    </row>
    <row r="6" spans="1:9" s="215" customFormat="1" ht="13.5" customHeight="1">
      <c r="A6" s="880" t="s">
        <v>2157</v>
      </c>
      <c r="B6" s="216" t="s">
        <v>2158</v>
      </c>
      <c r="C6" s="217">
        <f>'土地比较法-住宅、综合'!F66</f>
        <v>191835</v>
      </c>
      <c r="D6" s="218"/>
      <c r="E6" s="219"/>
      <c r="F6" s="219"/>
      <c r="G6" s="220"/>
    </row>
    <row r="7" spans="1:9" s="215" customFormat="1" ht="13.5" customHeight="1">
      <c r="A7" s="880" t="s">
        <v>2159</v>
      </c>
      <c r="B7" s="216" t="s">
        <v>2160</v>
      </c>
      <c r="C7" s="221">
        <f>ROUND(C6*F7,0)</f>
        <v>5851</v>
      </c>
      <c r="D7" s="221"/>
      <c r="E7" s="219"/>
      <c r="F7" s="222">
        <f>IF(项目基本情况!B8="出让",0,'数据-取费表'!B48+'数据-取费表'!B49)</f>
        <v>3.0499999999999999E-2</v>
      </c>
      <c r="G7" s="220"/>
    </row>
    <row r="8" spans="1:9" s="224" customFormat="1">
      <c r="A8" s="880" t="s">
        <v>2161</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f ca="1">ROUND(D9*E9/10000,0)</f>
        <v>0</v>
      </c>
      <c r="D9" s="948">
        <f ca="1">IF(B1="",'数据-汇总表'!E5,IF(INDIRECT("'数据-取费表'!c"&amp;$G$1)="住宅",INDIRECT("'数据-取费表'!k"&amp;$G$1),0))</f>
        <v>49719.61</v>
      </c>
      <c r="E9" s="226">
        <f>'数据-取费表'!B27</f>
        <v>0</v>
      </c>
      <c r="F9" s="222"/>
      <c r="G9" s="2035"/>
      <c r="H9" s="1293"/>
      <c r="I9" s="2036" t="s">
        <v>2164</v>
      </c>
    </row>
    <row r="10" spans="1:9" s="215" customFormat="1" ht="13.5" customHeight="1">
      <c r="A10" s="881" t="s">
        <v>801</v>
      </c>
      <c r="B10" s="225" t="s">
        <v>2165</v>
      </c>
      <c r="C10" s="226">
        <f ca="1">ROUND(D10*E10/10000,0)</f>
        <v>0</v>
      </c>
      <c r="D10" s="948">
        <f ca="1">IF(B1="",'数据-汇总表'!E6,IF(INDIRECT("'数据-取费表'!c"&amp;$G$1)="住宅",INDIRECT("'数据-取费表'!s"&amp;$G$1),INDIRECT("'数据-取费表'!k"&amp;$G$1)+INDIRECT("'数据-取费表'!s"&amp;$G$1)))</f>
        <v>36697.490000000005</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2169</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2169</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f ca="1">D9+D10</f>
        <v>86417.1</v>
      </c>
      <c r="E19" s="212">
        <f>'数据-取费表'!B31</f>
        <v>200</v>
      </c>
      <c r="F19" s="232"/>
      <c r="G19" s="2034" t="s">
        <v>3256</v>
      </c>
    </row>
    <row r="20" spans="1:7" s="215" customFormat="1" ht="13.5" customHeight="1">
      <c r="A20" s="256" t="s">
        <v>2178</v>
      </c>
      <c r="B20" s="211" t="s">
        <v>2179</v>
      </c>
      <c r="C20" s="233">
        <f>ROUND((C5+C19)*F20,0)</f>
        <v>5931</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5192</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2187</v>
      </c>
      <c r="B23" s="216" t="s">
        <v>2188</v>
      </c>
      <c r="C23" s="1259">
        <f ca="1">ROUND(IF('数据-取费表'!B22&lt;=1,C5*F22*'数据-取费表'!B23,C5*(POWER((1+F22),'数据-取费表'!B23)-1)),0)</f>
        <v>5116</v>
      </c>
      <c r="D23" s="239"/>
      <c r="E23" s="239"/>
      <c r="F23" s="240"/>
      <c r="G23" s="241" t="s">
        <v>2189</v>
      </c>
    </row>
    <row r="24" spans="1:7" s="215" customFormat="1" ht="13.5" customHeight="1">
      <c r="A24" s="882" t="s">
        <v>2190</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2193</v>
      </c>
      <c r="B25" s="216" t="s">
        <v>2194</v>
      </c>
      <c r="C25" s="1259">
        <f ca="1">ROUND(IF('数据-取费表'!B22&lt;=1,C20*F22*'数据-取费表'!B23/2,C20*(POWER((1+F22),'数据-取费表'!B23/2)-1)),0)</f>
        <v>76</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f ca="1">C28</f>
        <v>4276</v>
      </c>
      <c r="D27" s="236">
        <f ca="1">C29</f>
        <v>5.9999999999999995E-4</v>
      </c>
      <c r="E27" s="237" t="s">
        <v>2199</v>
      </c>
      <c r="F27" s="247">
        <f ca="1">IF(B1="",'数据-取费表'!Q16,INDIRECT("'数据-取费表'!q"&amp;$G$1))</f>
        <v>7.0000000000000007E-2</v>
      </c>
      <c r="G27" s="248" t="s">
        <v>2200</v>
      </c>
    </row>
    <row r="28" spans="1:7" s="215" customFormat="1" ht="13.5" customHeight="1">
      <c r="A28" s="882" t="s">
        <v>791</v>
      </c>
      <c r="B28" s="249" t="s">
        <v>2201</v>
      </c>
      <c r="C28" s="250">
        <f ca="1">ROUND((C5+C19+C20)*F27*'数据-取费表'!B21/'数据-取费表'!B20,0)</f>
        <v>4276</v>
      </c>
      <c r="D28" s="236"/>
      <c r="E28" s="237"/>
      <c r="F28" s="247"/>
      <c r="G28" s="248"/>
    </row>
    <row r="29" spans="1:7" s="215" customFormat="1" ht="13.5" customHeight="1">
      <c r="A29" s="882" t="s">
        <v>792</v>
      </c>
      <c r="B29" s="249" t="s">
        <v>2202</v>
      </c>
      <c r="C29" s="239">
        <f ca="1">ROUND(C21*F27*'数据-取费表'!B21/'数据-取费表'!B20,4)</f>
        <v>5.9999999999999995E-4</v>
      </c>
      <c r="D29" s="236"/>
      <c r="E29" s="237"/>
      <c r="F29" s="247"/>
      <c r="G29" s="248"/>
    </row>
    <row r="30" spans="1:7" s="215" customFormat="1" ht="13.5" customHeight="1">
      <c r="A30" s="256" t="s">
        <v>2203</v>
      </c>
      <c r="B30" s="211" t="s">
        <v>2204</v>
      </c>
      <c r="C30" s="236">
        <f>ROUND(F30/(1+'数据-取费表'!C42),4)</f>
        <v>5.2400000000000002E-2</v>
      </c>
      <c r="D30" s="237" t="s">
        <v>2199</v>
      </c>
      <c r="E30" s="242"/>
      <c r="F30" s="238">
        <f>'数据-取费表'!B41</f>
        <v>5.5000000000000007E-2</v>
      </c>
      <c r="G30" s="235" t="s">
        <v>2205</v>
      </c>
    </row>
    <row r="31" spans="1:7" ht="16.5" customHeight="1">
      <c r="A31" s="210">
        <v>1</v>
      </c>
      <c r="B31" s="211" t="s">
        <v>2206</v>
      </c>
      <c r="C31" s="212">
        <f ca="1">ROUND((C5+C19+C20+C22+C27)/(1-C21-D22-D27-C30),0)</f>
        <v>232473</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f ca="1">SUM(C34:C38)</f>
        <v>15675</v>
      </c>
      <c r="D33" s="233"/>
      <c r="E33" s="213"/>
      <c r="F33" s="242"/>
      <c r="G33" s="235"/>
    </row>
    <row r="34" spans="1:7" s="259" customFormat="1" ht="13.5" customHeight="1">
      <c r="A34" s="882" t="s">
        <v>791</v>
      </c>
      <c r="B34" s="216" t="s">
        <v>2210</v>
      </c>
      <c r="C34" s="221">
        <f ca="1">IF(B1="",IF(F34=100%,'数据-取费表'!M16,'数据-取费表'!O16),IF(F34=100%,INDIRECT("'数据-取费表'!m"&amp;$G$1)+INDIRECT("'数据-取费表'!t"&amp;$G$1),INDIRECT("'数据-取费表'!o"&amp;$G$1)+INDIRECT("'数据-取费表'!aq"&amp;$G$1)))</f>
        <v>13826</v>
      </c>
      <c r="D34" s="218"/>
      <c r="E34" s="221"/>
      <c r="F34" s="258">
        <f ca="1">IF('数据-取费表'!B24=0,1,IF(B1="",'数据-取费表'!N16,INDIRECT("'数据-取费表'!n"&amp;$G$1)))</f>
        <v>0.32</v>
      </c>
      <c r="G34" s="220" t="s">
        <v>2211</v>
      </c>
    </row>
    <row r="35" spans="1:7" ht="13.5" customHeight="1">
      <c r="A35" s="882" t="s">
        <v>796</v>
      </c>
      <c r="B35" s="216" t="s">
        <v>2212</v>
      </c>
      <c r="C35" s="221">
        <f ca="1">ROUND(C34*F35,0)</f>
        <v>691</v>
      </c>
      <c r="D35" s="221"/>
      <c r="E35" s="221"/>
      <c r="F35" s="260">
        <f>'数据-取费表'!B33</f>
        <v>0.05</v>
      </c>
      <c r="G35" s="220" t="s">
        <v>2213</v>
      </c>
    </row>
    <row r="36" spans="1:7" ht="24">
      <c r="A36" s="882" t="s">
        <v>797</v>
      </c>
      <c r="B36" s="216" t="s">
        <v>2214</v>
      </c>
      <c r="C36" s="221">
        <f ca="1">ROUND(IF(B1="",SUMIF('数据-取费表'!C:C,"住宅",IF(F34=100%,'数据-取费表'!M:M,'数据-取费表'!O:O))*F36,IF(INDIRECT("'数据-取费表'!c"&amp;$G$1)="住宅",IF(F34=100%,INDIRECT("'数据-取费表'!m"&amp;$G$1)*F36,INDIRECT("'数据-取费表'!o"&amp;$G$1)*F36),0)),0)</f>
        <v>398</v>
      </c>
      <c r="D36" s="221"/>
      <c r="E36" s="221"/>
      <c r="F36" s="260">
        <f>'数据-取费表'!B34</f>
        <v>0.05</v>
      </c>
      <c r="G36" s="261" t="s">
        <v>2215</v>
      </c>
    </row>
    <row r="37" spans="1:7" s="259" customFormat="1" ht="13.5" customHeight="1">
      <c r="A37" s="882" t="s">
        <v>798</v>
      </c>
      <c r="B37" s="216" t="s">
        <v>2216</v>
      </c>
      <c r="C37" s="250">
        <f ca="1">ROUND(E37*D37*F34/10000,0)</f>
        <v>553</v>
      </c>
      <c r="D37" s="218">
        <f ca="1">D19</f>
        <v>86417.1</v>
      </c>
      <c r="E37" s="250">
        <f>'数据-取费表'!B35</f>
        <v>200</v>
      </c>
      <c r="F37" s="260"/>
      <c r="G37" s="262" t="s">
        <v>2217</v>
      </c>
    </row>
    <row r="38" spans="1:7" ht="13.5" customHeight="1">
      <c r="A38" s="882" t="s">
        <v>799</v>
      </c>
      <c r="B38" s="216" t="s">
        <v>2218</v>
      </c>
      <c r="C38" s="221">
        <f ca="1">ROUND(C34*F38,0)</f>
        <v>207</v>
      </c>
      <c r="D38" s="221"/>
      <c r="E38" s="221"/>
      <c r="F38" s="260">
        <f>'数据-取费表'!B36</f>
        <v>1.4999999999999999E-2</v>
      </c>
      <c r="G38" s="220" t="s">
        <v>2213</v>
      </c>
    </row>
    <row r="39" spans="1:7" s="215" customFormat="1" ht="13.5" customHeight="1">
      <c r="A39" s="256" t="s">
        <v>2219</v>
      </c>
      <c r="B39" s="211" t="s">
        <v>2220</v>
      </c>
      <c r="C39" s="233">
        <f ca="1">ROUND(C33*F20,0)</f>
        <v>470</v>
      </c>
      <c r="D39" s="233"/>
      <c r="E39" s="233"/>
      <c r="F39" s="2527">
        <f>F20</f>
        <v>0.03</v>
      </c>
      <c r="G39" s="235" t="s">
        <v>2221</v>
      </c>
    </row>
    <row r="40" spans="1:7" s="215" customFormat="1" ht="13.5" customHeight="1">
      <c r="A40" s="256" t="s">
        <v>2222</v>
      </c>
      <c r="B40" s="211" t="s">
        <v>2223</v>
      </c>
      <c r="C40" s="1488">
        <f>F21</f>
        <v>0.03</v>
      </c>
      <c r="D40" s="237" t="s">
        <v>2224</v>
      </c>
      <c r="E40" s="233"/>
      <c r="F40" s="2527">
        <f>F21</f>
        <v>0.03</v>
      </c>
      <c r="G40" s="235" t="s">
        <v>2225</v>
      </c>
    </row>
    <row r="41" spans="1:7" s="215" customFormat="1" ht="13.5" customHeight="1">
      <c r="A41" s="256" t="s">
        <v>2226</v>
      </c>
      <c r="B41" s="211" t="s">
        <v>2227</v>
      </c>
      <c r="C41" s="233">
        <f ca="1">ROUND(SUM(C42:C43),0)</f>
        <v>208</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2228</v>
      </c>
      <c r="C42" s="239">
        <f ca="1">ROUND(IF('数据-取费表'!B22&lt;=1,C33*F22*'数据-取费表'!B21/2,C33*(POWER((1+F22),'数据-取费表'!B21/2)-1)),0)</f>
        <v>202</v>
      </c>
      <c r="D42" s="239"/>
      <c r="E42" s="239"/>
      <c r="F42" s="240"/>
      <c r="G42" s="3550" t="s">
        <v>2229</v>
      </c>
    </row>
    <row r="43" spans="1:7" ht="13.5" customHeight="1">
      <c r="A43" s="882" t="s">
        <v>792</v>
      </c>
      <c r="B43" s="216" t="s">
        <v>2230</v>
      </c>
      <c r="C43" s="239">
        <f ca="1">ROUND(IF('数据-取费表'!B22&lt;=1,C39*F22*'数据-取费表'!B21/2,C39*(POWER((1+F22),'数据-取费表'!B21/2)-1)),0)</f>
        <v>6</v>
      </c>
      <c r="D43" s="239"/>
      <c r="E43" s="239"/>
      <c r="F43" s="240"/>
      <c r="G43" s="3551"/>
    </row>
    <row r="44" spans="1:7" ht="13.5" customHeight="1">
      <c r="A44" s="882" t="s">
        <v>793</v>
      </c>
      <c r="B44" s="216" t="s">
        <v>2231</v>
      </c>
      <c r="C44" s="239">
        <f ca="1">ROUND(IF('数据-取费表'!B22&lt;=1,C40*F22*'数据-取费表'!B21/2,C40*(POWER((1+F22),'数据-取费表'!B21/2)-1)),4)</f>
        <v>4.0000000000000002E-4</v>
      </c>
      <c r="D44" s="239"/>
      <c r="E44" s="239"/>
      <c r="F44" s="240"/>
      <c r="G44" s="3552"/>
    </row>
    <row r="45" spans="1:7" s="215" customFormat="1" ht="13.5" customHeight="1">
      <c r="A45" s="256" t="s">
        <v>2232</v>
      </c>
      <c r="B45" s="245" t="s">
        <v>2198</v>
      </c>
      <c r="C45" s="246">
        <f ca="1">C46</f>
        <v>1130</v>
      </c>
      <c r="D45" s="236">
        <f ca="1">C47</f>
        <v>2.0999999999999999E-3</v>
      </c>
      <c r="E45" s="237" t="s">
        <v>2224</v>
      </c>
      <c r="F45" s="2529">
        <f ca="1">F27</f>
        <v>7.0000000000000007E-2</v>
      </c>
      <c r="G45" s="248" t="s">
        <v>2233</v>
      </c>
    </row>
    <row r="46" spans="1:7" s="215" customFormat="1" ht="13.5" customHeight="1">
      <c r="A46" s="882" t="s">
        <v>791</v>
      </c>
      <c r="B46" s="249" t="s">
        <v>2234</v>
      </c>
      <c r="C46" s="250">
        <f ca="1">ROUND((C33+C39)*F27,0)</f>
        <v>1130</v>
      </c>
      <c r="D46" s="264"/>
      <c r="E46" s="237"/>
      <c r="F46" s="247"/>
      <c r="G46" s="248"/>
    </row>
    <row r="47" spans="1:7" s="215" customFormat="1" ht="13.5" customHeight="1">
      <c r="A47" s="882" t="s">
        <v>792</v>
      </c>
      <c r="B47" s="249" t="s">
        <v>2235</v>
      </c>
      <c r="C47" s="239">
        <f ca="1">ROUND(C40*F27,4)</f>
        <v>2.0999999999999999E-3</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f ca="1">ROUND((C33+C39+C41+C45)/(1-C40-D41-D45-C48),0)</f>
        <v>19105</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f ca="1">ROUND(C49*F50,0)</f>
        <v>19105</v>
      </c>
      <c r="D51" s="233"/>
      <c r="E51" s="233"/>
      <c r="F51" s="265"/>
      <c r="G51" s="235" t="s">
        <v>2245</v>
      </c>
    </row>
    <row r="52" spans="1:7" s="209" customFormat="1" ht="16.5" thickBot="1">
      <c r="A52" s="266" t="s">
        <v>2246</v>
      </c>
      <c r="B52" s="267"/>
      <c r="C52" s="268">
        <f ca="1">C31+C51</f>
        <v>251578</v>
      </c>
      <c r="D52" s="267"/>
      <c r="E52" s="267"/>
      <c r="F52" s="267"/>
      <c r="G52" s="269"/>
    </row>
    <row r="55" spans="1:7" ht="15">
      <c r="B55" s="271" t="s">
        <v>2247</v>
      </c>
      <c r="C55" s="272"/>
    </row>
    <row r="56" spans="1:7">
      <c r="B56" s="274" t="s">
        <v>1478</v>
      </c>
      <c r="C56" s="276">
        <f ca="1">1-C57</f>
        <v>0.92400000000000004</v>
      </c>
    </row>
    <row r="57" spans="1:7">
      <c r="B57" s="274" t="s">
        <v>1479</v>
      </c>
      <c r="C57" s="275">
        <f ca="1">ROUND(C51/C52,3)</f>
        <v>7.5999999999999998E-2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J19" sqref="J19"/>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2146</v>
      </c>
      <c r="B1" s="1647"/>
      <c r="C1" s="2037" t="s">
        <v>2248</v>
      </c>
      <c r="D1" s="199"/>
      <c r="E1" s="199"/>
      <c r="F1" s="199"/>
      <c r="G1" s="1282" t="e">
        <f>MATCH(B1,'数据-取费表'!A6:A16,0)+5</f>
        <v>#N/A</v>
      </c>
      <c r="H1" s="1186" t="str">
        <f>IF(ISERROR(FIND("住宅",B1)),"非住宅","住宅")</f>
        <v>非住宅</v>
      </c>
    </row>
    <row r="2" spans="1:8" s="201" customFormat="1" ht="18" customHeight="1">
      <c r="A2" s="202" t="s">
        <v>2147</v>
      </c>
      <c r="B2" s="203">
        <f ca="1">ROUND(IF(D2="——",C52/10000,C52/10000-E2),0)</f>
        <v>63712</v>
      </c>
      <c r="C2" s="200" t="s">
        <v>2148</v>
      </c>
      <c r="D2" s="2031" t="s">
        <v>70</v>
      </c>
      <c r="E2" s="1325" t="e">
        <f ca="1">SUMIF(INDIRECT("'"&amp;G2&amp;"'"&amp;"!A:A"),"承租人权益价值",INDIRECT("'"&amp;G2&amp;"'"&amp;"!c:c"))</f>
        <v>#REF!</v>
      </c>
      <c r="F2" s="2032" t="s">
        <v>2148</v>
      </c>
      <c r="G2" s="2033"/>
    </row>
    <row r="3" spans="1:8" s="201" customFormat="1" ht="18" customHeight="1" thickBot="1">
      <c r="A3" s="204" t="s">
        <v>2149</v>
      </c>
      <c r="B3" s="205">
        <f ca="1">ROUND(B2*10000/(IF(B1="",'数据-汇总表'!E3,INDIRECT("'数据-取费表'!k"&amp;$G$1))),0)</f>
        <v>7373</v>
      </c>
      <c r="C3" s="200" t="s">
        <v>2150</v>
      </c>
      <c r="D3" s="200"/>
      <c r="E3" s="200"/>
      <c r="F3" s="200"/>
      <c r="G3" s="200"/>
    </row>
    <row r="4" spans="1:8" s="209" customFormat="1" ht="15.75">
      <c r="A4" s="206" t="s">
        <v>2151</v>
      </c>
      <c r="B4" s="207"/>
      <c r="C4" s="207"/>
      <c r="D4" s="207"/>
      <c r="E4" s="207"/>
      <c r="F4" s="207"/>
      <c r="G4" s="208"/>
    </row>
    <row r="5" spans="1:8" s="215" customFormat="1" ht="13.5" customHeight="1">
      <c r="A5" s="256" t="s">
        <v>2152</v>
      </c>
      <c r="B5" s="211" t="s">
        <v>2153</v>
      </c>
      <c r="C5" s="212">
        <f ca="1">C6+C7+C8</f>
        <v>0</v>
      </c>
      <c r="D5" s="212" t="s">
        <v>2154</v>
      </c>
      <c r="E5" s="213" t="s">
        <v>2155</v>
      </c>
      <c r="F5" s="213" t="s">
        <v>2156</v>
      </c>
      <c r="G5" s="214"/>
    </row>
    <row r="6" spans="1:8" s="215" customFormat="1" ht="13.5" customHeight="1">
      <c r="A6" s="880" t="s">
        <v>2157</v>
      </c>
      <c r="B6" s="216" t="s">
        <v>2158</v>
      </c>
      <c r="C6" s="217"/>
      <c r="D6" s="218"/>
      <c r="E6" s="219"/>
      <c r="F6" s="219"/>
      <c r="G6" s="220"/>
    </row>
    <row r="7" spans="1:8" s="215" customFormat="1" ht="13.5" customHeight="1">
      <c r="A7" s="880" t="s">
        <v>2159</v>
      </c>
      <c r="B7" s="216" t="s">
        <v>2160</v>
      </c>
      <c r="C7" s="221">
        <f>ROUND(C6*F7,0)</f>
        <v>0</v>
      </c>
      <c r="D7" s="221"/>
      <c r="E7" s="219"/>
      <c r="F7" s="222">
        <f>IF(项目基本情况!B8="出让",0,'数据-取费表'!B48+'数据-取费表'!B49)</f>
        <v>3.0499999999999999E-2</v>
      </c>
      <c r="G7" s="220"/>
    </row>
    <row r="8" spans="1:8" s="224" customFormat="1">
      <c r="A8" s="880" t="s">
        <v>2161</v>
      </c>
      <c r="B8" s="216" t="s">
        <v>2162</v>
      </c>
      <c r="C8" s="221">
        <f ca="1">IF(G8="已包含在土地购买价格中",0,C9+C10)</f>
        <v>0</v>
      </c>
      <c r="D8" s="223"/>
      <c r="E8" s="221"/>
      <c r="F8" s="222"/>
      <c r="G8" s="2034"/>
    </row>
    <row r="9" spans="1:8" s="215" customFormat="1" ht="13.5" customHeight="1">
      <c r="A9" s="881" t="s">
        <v>800</v>
      </c>
      <c r="B9" s="225" t="s">
        <v>2163</v>
      </c>
      <c r="C9" s="226">
        <f ca="1">ROUND(D9*E9,0)</f>
        <v>0</v>
      </c>
      <c r="D9" s="948">
        <f ca="1">IF(B1="",'数据-汇总表'!E5,IF(INDIRECT("'数据-取费表'!c"&amp;$G$1)="住宅",INDIRECT("'数据-取费表'!k"&amp;$G$1),0))</f>
        <v>49719.61</v>
      </c>
      <c r="E9" s="226">
        <f>'数据-取费表'!B27</f>
        <v>0</v>
      </c>
      <c r="F9" s="222"/>
      <c r="G9" s="227"/>
    </row>
    <row r="10" spans="1:8" s="215" customFormat="1" ht="13.5" customHeight="1">
      <c r="A10" s="881" t="s">
        <v>801</v>
      </c>
      <c r="B10" s="225" t="s">
        <v>2165</v>
      </c>
      <c r="C10" s="226">
        <f ca="1">ROUND(D10*E10,0)</f>
        <v>0</v>
      </c>
      <c r="D10" s="948">
        <f ca="1">IF(B1="",'数据-汇总表'!E6,IF(INDIRECT("'数据-取费表'!c"&amp;$G$1)="住宅",INDIRECT("'数据-取费表'!s"&amp;$G$1),INDIRECT("'数据-取费表'!k"&amp;$G$1)+INDIRECT("'数据-取费表'!s"&amp;$G$1)))</f>
        <v>36697.490000000005</v>
      </c>
      <c r="E10" s="226">
        <f>'数据-取费表'!B28</f>
        <v>0</v>
      </c>
      <c r="F10" s="222"/>
      <c r="G10" s="227"/>
    </row>
    <row r="11" spans="1:8" s="215" customFormat="1" ht="13.5" hidden="1" customHeight="1">
      <c r="A11" s="228" t="s">
        <v>7</v>
      </c>
      <c r="B11" s="216" t="s">
        <v>2166</v>
      </c>
      <c r="C11" s="212"/>
      <c r="D11" s="950"/>
      <c r="E11" s="219"/>
      <c r="F11" s="219"/>
      <c r="G11" s="220"/>
    </row>
    <row r="12" spans="1:8" s="215" customFormat="1" ht="13.5" hidden="1" customHeight="1">
      <c r="A12" s="228" t="s">
        <v>8</v>
      </c>
      <c r="B12" s="216" t="s">
        <v>2249</v>
      </c>
      <c r="C12" s="212">
        <v>0</v>
      </c>
      <c r="D12" s="950"/>
      <c r="E12" s="229"/>
      <c r="F12" s="222">
        <v>3.0499999999999999E-2</v>
      </c>
      <c r="G12" s="220"/>
    </row>
    <row r="13" spans="1:8" s="215" customFormat="1" ht="13.5" hidden="1" customHeight="1">
      <c r="A13" s="228" t="s">
        <v>9</v>
      </c>
      <c r="B13" s="216" t="s">
        <v>2250</v>
      </c>
      <c r="C13" s="212"/>
      <c r="D13" s="950"/>
      <c r="E13" s="219"/>
      <c r="F13" s="219"/>
      <c r="G13" s="220"/>
    </row>
    <row r="14" spans="1:8" s="215" customFormat="1" ht="13.5" hidden="1" customHeight="1">
      <c r="A14" s="228" t="s">
        <v>10</v>
      </c>
      <c r="B14" s="216" t="s">
        <v>2162</v>
      </c>
      <c r="C14" s="212"/>
      <c r="D14" s="950"/>
      <c r="E14" s="219"/>
      <c r="F14" s="219"/>
      <c r="G14" s="220" t="s">
        <v>2251</v>
      </c>
    </row>
    <row r="15" spans="1:8" s="215" customFormat="1" ht="13.5" hidden="1" customHeight="1">
      <c r="A15" s="228" t="s">
        <v>11</v>
      </c>
      <c r="B15" s="216" t="s">
        <v>2252</v>
      </c>
      <c r="C15" s="221"/>
      <c r="D15" s="950"/>
      <c r="E15" s="219"/>
      <c r="F15" s="219"/>
      <c r="G15" s="220" t="s">
        <v>2253</v>
      </c>
    </row>
    <row r="16" spans="1:8" s="215" customFormat="1" ht="13.5" hidden="1" customHeight="1">
      <c r="A16" s="228" t="s">
        <v>12</v>
      </c>
      <c r="B16" s="216" t="s">
        <v>2162</v>
      </c>
      <c r="C16" s="221"/>
      <c r="D16" s="950"/>
      <c r="E16" s="219"/>
      <c r="F16" s="219"/>
      <c r="G16" s="220"/>
    </row>
    <row r="17" spans="1:7" s="215" customFormat="1" ht="13.5" hidden="1" customHeight="1">
      <c r="A17" s="228" t="s">
        <v>13</v>
      </c>
      <c r="B17" s="216" t="s">
        <v>2254</v>
      </c>
      <c r="C17" s="230"/>
      <c r="D17" s="951"/>
      <c r="E17" s="230"/>
      <c r="F17" s="230"/>
      <c r="G17" s="220" t="s">
        <v>2253</v>
      </c>
    </row>
    <row r="18" spans="1:7" s="215" customFormat="1" ht="13.5" hidden="1" customHeight="1">
      <c r="A18" s="228" t="s">
        <v>14</v>
      </c>
      <c r="B18" s="216" t="s">
        <v>2255</v>
      </c>
      <c r="C18" s="221">
        <v>0</v>
      </c>
      <c r="D18" s="950"/>
      <c r="E18" s="219"/>
      <c r="F18" s="222">
        <v>3.0499999999999999E-2</v>
      </c>
      <c r="G18" s="220" t="s">
        <v>2256</v>
      </c>
    </row>
    <row r="19" spans="1:7" s="224" customFormat="1" ht="13.5" customHeight="1">
      <c r="A19" s="256" t="s">
        <v>2257</v>
      </c>
      <c r="B19" s="211" t="s">
        <v>2258</v>
      </c>
      <c r="C19" s="212">
        <f ca="1">IF(G19="已包含在土地取得成本中","0",ROUND(D19*E19,0))</f>
        <v>17283420</v>
      </c>
      <c r="D19" s="952">
        <f ca="1">D9+D10</f>
        <v>86417.1</v>
      </c>
      <c r="E19" s="212">
        <f>'数据-取费表'!B31</f>
        <v>200</v>
      </c>
      <c r="F19" s="232"/>
      <c r="G19" s="2034"/>
    </row>
    <row r="20" spans="1:7" s="215" customFormat="1" ht="13.5" customHeight="1">
      <c r="A20" s="256" t="s">
        <v>2259</v>
      </c>
      <c r="B20" s="211" t="s">
        <v>2260</v>
      </c>
      <c r="C20" s="233">
        <f ca="1">ROUND((C5+C19)*F20,0)</f>
        <v>518503</v>
      </c>
      <c r="D20" s="233"/>
      <c r="E20" s="233"/>
      <c r="F20" s="234">
        <f>'数据-取费表'!B37</f>
        <v>0.03</v>
      </c>
      <c r="G20" s="235" t="s">
        <v>2261</v>
      </c>
    </row>
    <row r="21" spans="1:7" s="215" customFormat="1" ht="13.5" customHeight="1">
      <c r="A21" s="256" t="s">
        <v>2262</v>
      </c>
      <c r="B21" s="211" t="s">
        <v>2263</v>
      </c>
      <c r="C21" s="236">
        <f>F21</f>
        <v>0.03</v>
      </c>
      <c r="D21" s="237" t="s">
        <v>2264</v>
      </c>
      <c r="E21" s="233"/>
      <c r="F21" s="234">
        <f>'数据-取费表'!B38</f>
        <v>0.03</v>
      </c>
      <c r="G21" s="235" t="s">
        <v>2265</v>
      </c>
    </row>
    <row r="22" spans="1:7" s="215" customFormat="1" ht="13.5" customHeight="1">
      <c r="A22" s="256" t="s">
        <v>2266</v>
      </c>
      <c r="B22" s="211" t="s">
        <v>2267</v>
      </c>
      <c r="C22" s="1283">
        <f ca="1">ROUND(SUM(C23:C25),0)</f>
        <v>1558917</v>
      </c>
      <c r="D22" s="236">
        <f ca="1">C26</f>
        <v>1.2999999999999999E-3</v>
      </c>
      <c r="E22" s="237" t="s">
        <v>2264</v>
      </c>
      <c r="F22" s="238">
        <f ca="1">'数据-取费表'!B40</f>
        <v>4.3499999999999997E-2</v>
      </c>
      <c r="G22" s="235" t="str">
        <f>IF('数据-取费表'!B22&lt;=1,"单利计息","复利计息")</f>
        <v>复利计息</v>
      </c>
    </row>
    <row r="23" spans="1:7" s="215" customFormat="1" ht="13.5" customHeight="1">
      <c r="A23" s="882" t="s">
        <v>2157</v>
      </c>
      <c r="B23" s="216" t="s">
        <v>2268</v>
      </c>
      <c r="C23" s="1284">
        <f ca="1">ROUND(IF('数据-取费表'!B22&lt;=1,C5*F22*'数据-取费表'!B22,C5*(POWER((1+F22),'数据-取费表'!B22)-1)),0)</f>
        <v>0</v>
      </c>
      <c r="D23" s="239"/>
      <c r="E23" s="239"/>
      <c r="F23" s="240"/>
      <c r="G23" s="241" t="s">
        <v>2269</v>
      </c>
    </row>
    <row r="24" spans="1:7" s="215" customFormat="1" ht="13.5" customHeight="1">
      <c r="A24" s="882" t="s">
        <v>2159</v>
      </c>
      <c r="B24" s="216" t="s">
        <v>2270</v>
      </c>
      <c r="C24" s="1284">
        <f ca="1">ROUND(IF('数据-取费表'!B22&lt;=1,C19*F22*('数据-取费表'!B19/2+'数据-取费表'!B20),C19*(POWER((1+F22),('数据-取费表'!B19/2+'数据-取费表'!B20))-1)),0)</f>
        <v>1536362</v>
      </c>
      <c r="D24" s="239"/>
      <c r="E24" s="239"/>
      <c r="F24" s="240"/>
      <c r="G24" s="241" t="s">
        <v>2271</v>
      </c>
    </row>
    <row r="25" spans="1:7" s="215" customFormat="1" ht="24">
      <c r="A25" s="882" t="s">
        <v>2161</v>
      </c>
      <c r="B25" s="216" t="s">
        <v>2272</v>
      </c>
      <c r="C25" s="1284">
        <f ca="1">ROUND(IF('数据-取费表'!B22&lt;=1,C20*F22*'数据-取费表'!B22/2,C20*(POWER((1+F22),'数据-取费表'!B22/2)-1)),0)</f>
        <v>22555</v>
      </c>
      <c r="D25" s="239"/>
      <c r="E25" s="242"/>
      <c r="F25" s="240"/>
      <c r="G25" s="243" t="s">
        <v>2273</v>
      </c>
    </row>
    <row r="26" spans="1:7" s="215" customFormat="1">
      <c r="A26" s="882" t="s">
        <v>795</v>
      </c>
      <c r="B26" s="216" t="s">
        <v>2196</v>
      </c>
      <c r="C26" s="239">
        <f ca="1">ROUND(IF('数据-取费表'!B22&lt;=1,F21*F22*'数据-取费表'!B22/2,F21*(POWER((1+F22),'数据-取费表'!B22/2)-1)),4)</f>
        <v>1.2999999999999999E-3</v>
      </c>
      <c r="D26" s="239"/>
      <c r="E26" s="242"/>
      <c r="F26" s="240"/>
      <c r="G26" s="244"/>
    </row>
    <row r="27" spans="1:7" s="215" customFormat="1" ht="24.75">
      <c r="A27" s="256" t="s">
        <v>2197</v>
      </c>
      <c r="B27" s="245" t="s">
        <v>2198</v>
      </c>
      <c r="C27" s="246">
        <f ca="1">C28</f>
        <v>1246135</v>
      </c>
      <c r="D27" s="236">
        <f ca="1">C29</f>
        <v>2.0999999999999999E-3</v>
      </c>
      <c r="E27" s="237" t="s">
        <v>2199</v>
      </c>
      <c r="F27" s="247">
        <f ca="1">IF(B1="",'数据-取费表'!Q16,INDIRECT("'数据-取费表'!q"&amp;$G$1))</f>
        <v>7.0000000000000007E-2</v>
      </c>
      <c r="G27" s="248" t="s">
        <v>2200</v>
      </c>
    </row>
    <row r="28" spans="1:7" s="215" customFormat="1" ht="13.5" customHeight="1">
      <c r="A28" s="882" t="s">
        <v>791</v>
      </c>
      <c r="B28" s="249" t="s">
        <v>2201</v>
      </c>
      <c r="C28" s="250">
        <f ca="1">ROUND((C5+C19+C20)*F27,0)</f>
        <v>1246135</v>
      </c>
      <c r="D28" s="236"/>
      <c r="E28" s="237"/>
      <c r="F28" s="247"/>
      <c r="G28" s="248"/>
    </row>
    <row r="29" spans="1:7" s="215" customFormat="1" ht="13.5" customHeight="1">
      <c r="A29" s="882" t="s">
        <v>792</v>
      </c>
      <c r="B29" s="249" t="s">
        <v>2202</v>
      </c>
      <c r="C29" s="239">
        <f ca="1">ROUND(C21*F27,4)</f>
        <v>2.0999999999999999E-3</v>
      </c>
      <c r="D29" s="236"/>
      <c r="E29" s="237"/>
      <c r="F29" s="247"/>
      <c r="G29" s="248"/>
    </row>
    <row r="30" spans="1:7" s="215" customFormat="1" ht="13.5" customHeight="1">
      <c r="A30" s="256" t="s">
        <v>2203</v>
      </c>
      <c r="B30" s="211" t="s">
        <v>2204</v>
      </c>
      <c r="C30" s="236">
        <f>ROUND(F30/(1+'数据-取费表'!C42),4)</f>
        <v>5.2400000000000002E-2</v>
      </c>
      <c r="D30" s="237" t="s">
        <v>2199</v>
      </c>
      <c r="E30" s="242"/>
      <c r="F30" s="238">
        <f>'数据-取费表'!B41</f>
        <v>5.5000000000000007E-2</v>
      </c>
      <c r="G30" s="235" t="s">
        <v>2205</v>
      </c>
    </row>
    <row r="31" spans="1:7" ht="16.5" customHeight="1">
      <c r="A31" s="210">
        <v>1</v>
      </c>
      <c r="B31" s="211" t="s">
        <v>2206</v>
      </c>
      <c r="C31" s="212">
        <f ca="1">ROUND((C5+C19+C20+C22+C27)/(1-C21-D22-D27-C30),0)</f>
        <v>22540992</v>
      </c>
      <c r="D31" s="231"/>
      <c r="E31" s="212"/>
      <c r="F31" s="251"/>
      <c r="G31" s="235" t="s">
        <v>2207</v>
      </c>
    </row>
    <row r="32" spans="1:7" s="209" customFormat="1" ht="15.75">
      <c r="A32" s="253" t="s">
        <v>2274</v>
      </c>
      <c r="B32" s="254"/>
      <c r="C32" s="254"/>
      <c r="D32" s="254"/>
      <c r="E32" s="254"/>
      <c r="F32" s="254"/>
      <c r="G32" s="255"/>
    </row>
    <row r="33" spans="1:7" s="215" customFormat="1" ht="13.5" customHeight="1">
      <c r="A33" s="256" t="s">
        <v>782</v>
      </c>
      <c r="B33" s="211" t="s">
        <v>2275</v>
      </c>
      <c r="C33" s="257">
        <f ca="1">SUM(C34:C38)</f>
        <v>489884381</v>
      </c>
      <c r="D33" s="233"/>
      <c r="E33" s="213"/>
      <c r="F33" s="242"/>
      <c r="G33" s="235"/>
    </row>
    <row r="34" spans="1:7" s="259" customFormat="1" ht="13.5" customHeight="1">
      <c r="A34" s="882" t="s">
        <v>791</v>
      </c>
      <c r="B34" s="216" t="s">
        <v>2210</v>
      </c>
      <c r="C34" s="221">
        <f ca="1">ROUND(IF(B1="",SUMPRODUCT('数据-取费表'!K6:K14,'数据-取费表'!L6:L14),INDIRECT("'数据-取费表'!l"&amp;$G$1)*INDIRECT("'数据-取费表'!k"&amp;$G$1)+'数据-取费表'!L14*INDIRECT("'数据-取费表'!S"&amp;$G$1)),0)</f>
        <v>432085500</v>
      </c>
      <c r="D34" s="218"/>
      <c r="E34" s="221"/>
      <c r="F34" s="258"/>
      <c r="G34" s="220"/>
    </row>
    <row r="35" spans="1:7" ht="13.5" customHeight="1">
      <c r="A35" s="882" t="s">
        <v>796</v>
      </c>
      <c r="B35" s="216" t="s">
        <v>2212</v>
      </c>
      <c r="C35" s="221">
        <f ca="1">ROUND(C34*F35,0)</f>
        <v>21604275</v>
      </c>
      <c r="D35" s="221"/>
      <c r="E35" s="221"/>
      <c r="F35" s="260">
        <f>'数据-取费表'!B33</f>
        <v>0.05</v>
      </c>
      <c r="G35" s="220" t="s">
        <v>2213</v>
      </c>
    </row>
    <row r="36" spans="1:7" ht="24">
      <c r="A36" s="882" t="s">
        <v>797</v>
      </c>
      <c r="B36" s="216" t="s">
        <v>2214</v>
      </c>
      <c r="C36" s="221">
        <f ca="1">ROUND(IF(B1="",SUM('数据-取费表'!AP6:AP13)*F36,IF(INDIRECT("'数据-取费表'!c"&amp;$G$1)="住宅",INDIRECT("'数据-取费表'!k"&amp;$G$1)*INDIRECT("'数据-取费表'!l"&amp;$G$1)*F36,0)),0)</f>
        <v>12429903</v>
      </c>
      <c r="D36" s="221"/>
      <c r="E36" s="221"/>
      <c r="F36" s="260">
        <f>'数据-取费表'!B34</f>
        <v>0.05</v>
      </c>
      <c r="G36" s="261" t="s">
        <v>2215</v>
      </c>
    </row>
    <row r="37" spans="1:7" s="259" customFormat="1" ht="13.5" customHeight="1">
      <c r="A37" s="882" t="s">
        <v>798</v>
      </c>
      <c r="B37" s="216" t="s">
        <v>2216</v>
      </c>
      <c r="C37" s="250">
        <f ca="1">ROUND(E37*D37,0)</f>
        <v>17283420</v>
      </c>
      <c r="D37" s="218">
        <f ca="1">D19</f>
        <v>86417.1</v>
      </c>
      <c r="E37" s="250">
        <f>'数据-取费表'!B35</f>
        <v>200</v>
      </c>
      <c r="F37" s="260"/>
      <c r="G37" s="262"/>
    </row>
    <row r="38" spans="1:7" ht="13.5" customHeight="1">
      <c r="A38" s="882" t="s">
        <v>799</v>
      </c>
      <c r="B38" s="216" t="s">
        <v>2218</v>
      </c>
      <c r="C38" s="221">
        <f ca="1">ROUND(C34*F38,0)</f>
        <v>6481283</v>
      </c>
      <c r="D38" s="221"/>
      <c r="E38" s="221"/>
      <c r="F38" s="260">
        <f>'数据-取费表'!B36</f>
        <v>1.4999999999999999E-2</v>
      </c>
      <c r="G38" s="220" t="s">
        <v>2213</v>
      </c>
    </row>
    <row r="39" spans="1:7" s="215" customFormat="1" ht="13.5" customHeight="1">
      <c r="A39" s="256" t="s">
        <v>2219</v>
      </c>
      <c r="B39" s="211" t="s">
        <v>2220</v>
      </c>
      <c r="C39" s="233">
        <f ca="1">ROUND(C33*F20,0)</f>
        <v>14696531</v>
      </c>
      <c r="D39" s="233"/>
      <c r="E39" s="233"/>
      <c r="F39" s="2527">
        <f>F20</f>
        <v>0.03</v>
      </c>
      <c r="G39" s="235" t="s">
        <v>2221</v>
      </c>
    </row>
    <row r="40" spans="1:7" s="215" customFormat="1" ht="13.5" customHeight="1">
      <c r="A40" s="256" t="s">
        <v>2222</v>
      </c>
      <c r="B40" s="211" t="s">
        <v>2223</v>
      </c>
      <c r="C40" s="1488">
        <f>F21</f>
        <v>0.03</v>
      </c>
      <c r="D40" s="237" t="s">
        <v>2224</v>
      </c>
      <c r="E40" s="233"/>
      <c r="F40" s="2527">
        <f>F21</f>
        <v>0.03</v>
      </c>
      <c r="G40" s="235" t="s">
        <v>2225</v>
      </c>
    </row>
    <row r="41" spans="1:7" s="215" customFormat="1" ht="13.5" customHeight="1">
      <c r="A41" s="256" t="s">
        <v>2226</v>
      </c>
      <c r="B41" s="211" t="s">
        <v>2227</v>
      </c>
      <c r="C41" s="233">
        <f ca="1">ROUND(SUM(C42:C43),0)</f>
        <v>21949270</v>
      </c>
      <c r="D41" s="236">
        <f ca="1">C44</f>
        <v>1.2999999999999999E-3</v>
      </c>
      <c r="E41" s="237" t="s">
        <v>2224</v>
      </c>
      <c r="F41" s="2528">
        <f ca="1">F22</f>
        <v>4.3499999999999997E-2</v>
      </c>
      <c r="G41" s="235" t="str">
        <f>IF('数据-取费表'!B22&lt;=1,"单利计息","复利计息")</f>
        <v>复利计息</v>
      </c>
    </row>
    <row r="42" spans="1:7" ht="13.5" customHeight="1">
      <c r="A42" s="882" t="s">
        <v>791</v>
      </c>
      <c r="B42" s="216" t="s">
        <v>2228</v>
      </c>
      <c r="C42" s="239">
        <f ca="1">ROUND(IF('数据-取费表'!B22&lt;=1,C33*F22*'数据-取费表'!B20/2,C33*(POWER((1+F22),'数据-取费表'!B20/2)-1)),0)</f>
        <v>21309971</v>
      </c>
      <c r="D42" s="239"/>
      <c r="E42" s="239"/>
      <c r="F42" s="240"/>
      <c r="G42" s="3550" t="s">
        <v>2276</v>
      </c>
    </row>
    <row r="43" spans="1:7" ht="13.5" customHeight="1">
      <c r="A43" s="882" t="s">
        <v>792</v>
      </c>
      <c r="B43" s="216" t="s">
        <v>2230</v>
      </c>
      <c r="C43" s="239">
        <f ca="1">ROUND(IF('数据-取费表'!B22&lt;=1,C39*F22*'数据-取费表'!B20/2,C39*(POWER((1+F22),'数据-取费表'!B20/2)-1)),0)</f>
        <v>639299</v>
      </c>
      <c r="D43" s="239"/>
      <c r="E43" s="239"/>
      <c r="F43" s="240"/>
      <c r="G43" s="3551"/>
    </row>
    <row r="44" spans="1:7" ht="13.5" customHeight="1">
      <c r="A44" s="882" t="s">
        <v>793</v>
      </c>
      <c r="B44" s="216" t="s">
        <v>2231</v>
      </c>
      <c r="C44" s="239">
        <f ca="1">ROUND(IF('数据-取费表'!B22&lt;=1,C40*F22*'数据-取费表'!B20/2,C40*(POWER((1+F22),'数据-取费表'!B20/2)-1)),4)</f>
        <v>1.2999999999999999E-3</v>
      </c>
      <c r="D44" s="239"/>
      <c r="E44" s="239"/>
      <c r="F44" s="240"/>
      <c r="G44" s="3552"/>
    </row>
    <row r="45" spans="1:7" s="215" customFormat="1" ht="13.5" customHeight="1">
      <c r="A45" s="256" t="s">
        <v>2232</v>
      </c>
      <c r="B45" s="245" t="s">
        <v>2198</v>
      </c>
      <c r="C45" s="246">
        <f ca="1">C46</f>
        <v>35320664</v>
      </c>
      <c r="D45" s="236">
        <f ca="1">C47</f>
        <v>2.0999999999999999E-3</v>
      </c>
      <c r="E45" s="237" t="s">
        <v>2224</v>
      </c>
      <c r="F45" s="2529">
        <f ca="1">F27</f>
        <v>7.0000000000000007E-2</v>
      </c>
      <c r="G45" s="248" t="s">
        <v>2233</v>
      </c>
    </row>
    <row r="46" spans="1:7" s="215" customFormat="1" ht="13.5" customHeight="1">
      <c r="A46" s="882" t="s">
        <v>791</v>
      </c>
      <c r="B46" s="249" t="s">
        <v>2234</v>
      </c>
      <c r="C46" s="250">
        <f ca="1">ROUND((C33+C39)*F27,0)</f>
        <v>35320664</v>
      </c>
      <c r="D46" s="264"/>
      <c r="E46" s="237"/>
      <c r="F46" s="247"/>
      <c r="G46" s="248"/>
    </row>
    <row r="47" spans="1:7" s="215" customFormat="1" ht="13.5" customHeight="1">
      <c r="A47" s="882" t="s">
        <v>792</v>
      </c>
      <c r="B47" s="249" t="s">
        <v>2235</v>
      </c>
      <c r="C47" s="239">
        <f ca="1">ROUND(C40*F27,4)</f>
        <v>2.0999999999999999E-3</v>
      </c>
      <c r="D47" s="264"/>
      <c r="E47" s="237"/>
      <c r="F47" s="247"/>
      <c r="G47" s="248"/>
    </row>
    <row r="48" spans="1:7" s="215" customFormat="1" ht="13.5" customHeight="1">
      <c r="A48" s="256" t="s">
        <v>2197</v>
      </c>
      <c r="B48" s="211" t="s">
        <v>2236</v>
      </c>
      <c r="C48" s="263">
        <f>ROUND(F30/(1+'数据-取费表'!C42),4)</f>
        <v>5.2400000000000002E-2</v>
      </c>
      <c r="D48" s="237" t="s">
        <v>2224</v>
      </c>
      <c r="E48" s="233"/>
      <c r="F48" s="2528">
        <f>F30</f>
        <v>5.5000000000000007E-2</v>
      </c>
      <c r="G48" s="235" t="s">
        <v>2237</v>
      </c>
    </row>
    <row r="49" spans="1:7" ht="16.5" customHeight="1">
      <c r="A49" s="256" t="s">
        <v>2203</v>
      </c>
      <c r="B49" s="211" t="s">
        <v>2277</v>
      </c>
      <c r="C49" s="233">
        <f ca="1">ROUND((C33+C39+C41+C45)/(1-C40-D41-D45-C48),0)</f>
        <v>614581980</v>
      </c>
      <c r="D49" s="233"/>
      <c r="E49" s="233"/>
      <c r="F49" s="265"/>
      <c r="G49" s="235" t="s">
        <v>2239</v>
      </c>
    </row>
    <row r="50" spans="1:7" s="259" customFormat="1">
      <c r="A50" s="256" t="s">
        <v>2240</v>
      </c>
      <c r="B50" s="211" t="s">
        <v>2241</v>
      </c>
      <c r="C50" s="233"/>
      <c r="D50" s="233"/>
      <c r="E50" s="233"/>
      <c r="F50" s="265">
        <f>IF('数据-取费表'!B24=0,'数据-取费表'!N16,1)</f>
        <v>1</v>
      </c>
      <c r="G50" s="248"/>
    </row>
    <row r="51" spans="1:7" ht="16.5" customHeight="1">
      <c r="A51" s="256" t="s">
        <v>2243</v>
      </c>
      <c r="B51" s="211" t="s">
        <v>2278</v>
      </c>
      <c r="C51" s="233">
        <f ca="1">ROUND(C49*F50,0)</f>
        <v>614581980</v>
      </c>
      <c r="D51" s="233"/>
      <c r="E51" s="233"/>
      <c r="F51" s="265"/>
      <c r="G51" s="235" t="s">
        <v>2245</v>
      </c>
    </row>
    <row r="52" spans="1:7" s="209" customFormat="1" ht="16.5" thickBot="1">
      <c r="A52" s="266" t="s">
        <v>2246</v>
      </c>
      <c r="B52" s="267"/>
      <c r="C52" s="268">
        <f ca="1">C31+C51</f>
        <v>637122972</v>
      </c>
      <c r="D52" s="267"/>
      <c r="E52" s="267"/>
      <c r="F52" s="267"/>
      <c r="G52" s="269"/>
    </row>
    <row r="55" spans="1:7" ht="15">
      <c r="B55" s="271" t="s">
        <v>2247</v>
      </c>
      <c r="C55" s="272"/>
    </row>
    <row r="56" spans="1:7">
      <c r="B56" s="274" t="s">
        <v>1478</v>
      </c>
      <c r="C56" s="276">
        <f ca="1">1-C57</f>
        <v>3.5000000000000031E-2</v>
      </c>
    </row>
    <row r="57" spans="1:7">
      <c r="B57" s="274" t="s">
        <v>1479</v>
      </c>
      <c r="C57" s="275">
        <f ca="1">ROUND(C51/C52,3)</f>
        <v>0.96499999999999997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0" zoomScale="70" zoomScaleNormal="70" zoomScaleSheetLayoutView="70" workbookViewId="0">
      <selection activeCell="C31" sqref="C31"/>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c r="D1" s="1539"/>
      <c r="E1" s="1540" t="s">
        <v>1352</v>
      </c>
      <c r="F1" s="1187" t="e">
        <f ca="1">J53</f>
        <v>#N/A</v>
      </c>
      <c r="G1" s="1555" t="e">
        <f>MATCH(C1,'数据-取费表'!A6:A16,0)+5</f>
        <v>#N/A</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1555</v>
      </c>
      <c r="B2" s="1563" t="e">
        <f ca="1">ROUND(D2/10000,0)</f>
        <v>#N/A</v>
      </c>
      <c r="C2" s="1564" t="s">
        <v>1556</v>
      </c>
      <c r="D2" s="1648" t="e">
        <f ca="1">C40+J29+L46</f>
        <v>#N/A</v>
      </c>
      <c r="E2" s="1565" t="s">
        <v>1557</v>
      </c>
      <c r="F2" s="1566"/>
      <c r="G2" s="2923"/>
      <c r="H2" s="2912"/>
      <c r="I2" s="2912"/>
      <c r="J2" s="2912"/>
      <c r="K2" s="2913"/>
      <c r="L2" s="2912"/>
      <c r="M2" s="2912"/>
    </row>
    <row r="3" spans="1:37" ht="18" customHeight="1" thickBot="1">
      <c r="A3" s="1567" t="s">
        <v>1558</v>
      </c>
      <c r="B3" s="1568">
        <f ca="1">IF(ISERROR(D2/F43),0,ROUND(D2/F43,0))</f>
        <v>0</v>
      </c>
      <c r="C3" s="1564" t="s">
        <v>1559</v>
      </c>
      <c r="D3" s="1564"/>
      <c r="E3" s="1565"/>
      <c r="F3" s="1566"/>
      <c r="G3" s="2923"/>
      <c r="H3" s="687" t="s">
        <v>1553</v>
      </c>
      <c r="I3" s="1559"/>
      <c r="J3" s="1559"/>
      <c r="K3" s="1560"/>
      <c r="L3" s="1559"/>
      <c r="M3" s="1559"/>
    </row>
    <row r="4" spans="1:37" ht="18" customHeight="1">
      <c r="A4" s="296" t="s">
        <v>1560</v>
      </c>
      <c r="B4" s="297" t="s">
        <v>1561</v>
      </c>
      <c r="C4" s="297" t="s">
        <v>1562</v>
      </c>
      <c r="D4" s="297" t="s">
        <v>1563</v>
      </c>
      <c r="E4" s="298" t="s">
        <v>1564</v>
      </c>
      <c r="F4" s="299"/>
      <c r="G4" s="1561"/>
      <c r="H4" s="296" t="s">
        <v>1560</v>
      </c>
      <c r="I4" s="297" t="s">
        <v>1561</v>
      </c>
      <c r="J4" s="297" t="s">
        <v>1562</v>
      </c>
      <c r="K4" s="297" t="s">
        <v>1563</v>
      </c>
      <c r="L4" s="298" t="s">
        <v>1564</v>
      </c>
      <c r="M4" s="299"/>
    </row>
    <row r="5" spans="1:37" ht="18" customHeight="1">
      <c r="A5" s="300">
        <v>1</v>
      </c>
      <c r="B5" s="301" t="s">
        <v>1565</v>
      </c>
      <c r="C5" s="1196" t="e">
        <f ca="1">C6+C10+C12</f>
        <v>#N/A</v>
      </c>
      <c r="D5" s="1541" t="s">
        <v>1566</v>
      </c>
      <c r="E5" s="1197"/>
      <c r="F5" s="1198"/>
      <c r="G5" s="1561"/>
      <c r="H5" s="300">
        <v>1</v>
      </c>
      <c r="I5" s="301" t="s">
        <v>1565</v>
      </c>
      <c r="J5" s="1196" t="e">
        <f ca="1">J6+J10+J12</f>
        <v>#N/A</v>
      </c>
      <c r="K5" s="1541" t="s">
        <v>1566</v>
      </c>
      <c r="L5" s="1197"/>
      <c r="M5" s="1198"/>
    </row>
    <row r="6" spans="1:37" ht="18" customHeight="1">
      <c r="A6" s="1195" t="s">
        <v>1003</v>
      </c>
      <c r="B6" s="3553" t="s">
        <v>1368</v>
      </c>
      <c r="C6" s="1200" t="e">
        <f ca="1">ROUND(F6*F8*F7*(1-F9),0)</f>
        <v>#N/A</v>
      </c>
      <c r="D6" s="155" t="s">
        <v>2844</v>
      </c>
      <c r="E6" s="303" t="s">
        <v>1370</v>
      </c>
      <c r="F6" s="304" t="e">
        <f ca="1">INDIRECT("'数据-取费表'!u"&amp;$G$1)</f>
        <v>#N/A</v>
      </c>
      <c r="G6" s="1561"/>
      <c r="H6" s="1195" t="s">
        <v>1003</v>
      </c>
      <c r="I6" s="3553" t="s">
        <v>1368</v>
      </c>
      <c r="J6" s="302" t="e">
        <f ca="1">ROUND(M6*M8*M7*(1-M9),0)</f>
        <v>#N/A</v>
      </c>
      <c r="K6" s="1553" t="s">
        <v>2845</v>
      </c>
      <c r="L6" s="303" t="s">
        <v>1370</v>
      </c>
      <c r="M6" s="304" t="e">
        <f ca="1">INDIRECT("'数据-取费表'!z"&amp;$G$1)</f>
        <v>#N/A</v>
      </c>
    </row>
    <row r="7" spans="1:37" ht="18" customHeight="1">
      <c r="A7" s="1199"/>
      <c r="B7" s="3554"/>
      <c r="C7" s="1201"/>
      <c r="D7" s="308"/>
      <c r="E7" s="1202" t="s">
        <v>1371</v>
      </c>
      <c r="F7" s="304" t="e">
        <f ca="1">IF(INDIRECT("'数据-取费表'!ah"&amp;$G$1)="",INDIRECT("'数据-取费表'!k"&amp;$G$1),INDIRECT("'数据-取费表'!ah"&amp;$G$1))</f>
        <v>#N/A</v>
      </c>
      <c r="G7" s="1561"/>
      <c r="H7" s="305"/>
      <c r="I7" s="3554"/>
      <c r="J7" s="307"/>
      <c r="K7" s="308"/>
      <c r="L7" s="303" t="s">
        <v>1371</v>
      </c>
      <c r="M7" s="304" t="e">
        <f ca="1">F7</f>
        <v>#N/A</v>
      </c>
    </row>
    <row r="8" spans="1:37" ht="18" customHeight="1">
      <c r="A8" s="305"/>
      <c r="B8" s="3554"/>
      <c r="C8" s="307"/>
      <c r="D8" s="308"/>
      <c r="E8" s="303" t="s">
        <v>1372</v>
      </c>
      <c r="F8" s="304" t="e">
        <f ca="1">INDIRECT("'数据-取费表'!ai"&amp;$G$1)</f>
        <v>#N/A</v>
      </c>
      <c r="G8" s="1561"/>
      <c r="H8" s="305"/>
      <c r="I8" s="3554"/>
      <c r="J8" s="307"/>
      <c r="K8" s="308"/>
      <c r="L8" s="303" t="s">
        <v>1372</v>
      </c>
      <c r="M8" s="304" t="e">
        <f ca="1">INDIRECT("'数据-取费表'!ai"&amp;$G$1)</f>
        <v>#N/A</v>
      </c>
    </row>
    <row r="9" spans="1:37" ht="18" customHeight="1">
      <c r="A9" s="305"/>
      <c r="B9" s="3555"/>
      <c r="C9" s="307"/>
      <c r="D9" s="308"/>
      <c r="E9" s="303" t="s">
        <v>1373</v>
      </c>
      <c r="F9" s="313" t="e">
        <f ca="1">INDIRECT("'数据-取费表'!w"&amp;$G$1)</f>
        <v>#N/A</v>
      </c>
      <c r="G9" s="1561"/>
      <c r="H9" s="305"/>
      <c r="I9" s="3555"/>
      <c r="J9" s="307"/>
      <c r="K9" s="308"/>
      <c r="L9" s="314" t="s">
        <v>1373</v>
      </c>
      <c r="M9" s="315" t="e">
        <f ca="1">INDIRECT("'数据-取费表'!ab"&amp;$G$1)</f>
        <v>#N/A</v>
      </c>
    </row>
    <row r="10" spans="1:37" ht="18" customHeight="1">
      <c r="A10" s="1195" t="s">
        <v>1007</v>
      </c>
      <c r="B10" s="1542" t="s">
        <v>1374</v>
      </c>
      <c r="C10" s="317">
        <f ca="1">ROUND(IF(F10="押一",C6/12*F11,IF(F10="押二",C6/12*2*F11,IF(F10="押三",C6/12*3*F11,C11*F11))),0)</f>
        <v>0</v>
      </c>
      <c r="D10" s="1543" t="s">
        <v>2854</v>
      </c>
      <c r="E10" s="314" t="s">
        <v>1375</v>
      </c>
      <c r="F10" s="1270"/>
      <c r="G10" s="1561"/>
      <c r="H10" s="1195" t="s">
        <v>1007</v>
      </c>
      <c r="I10" s="1542" t="s">
        <v>1374</v>
      </c>
      <c r="J10" s="302">
        <f ca="1">ROUND(IF(M10="押一",J6/12*M11,IF(M10="押二",J6/12*2*M11,IF(M10="押三",J6/12*3*M11,J11*M11))),0)</f>
        <v>0</v>
      </c>
      <c r="K10" s="1554" t="s">
        <v>2856</v>
      </c>
      <c r="L10" s="314" t="s">
        <v>1375</v>
      </c>
      <c r="M10" s="1270"/>
    </row>
    <row r="11" spans="1:37" ht="18" customHeight="1">
      <c r="A11" s="309"/>
      <c r="B11" s="1544" t="s">
        <v>1567</v>
      </c>
      <c r="C11" s="1084"/>
      <c r="D11" s="308"/>
      <c r="E11" s="314" t="s">
        <v>1377</v>
      </c>
      <c r="F11" s="315">
        <f ca="1">'数据-取费表'!B39</f>
        <v>1.4999999999999999E-2</v>
      </c>
      <c r="G11" s="1561"/>
      <c r="H11" s="1203"/>
      <c r="I11" s="1544" t="s">
        <v>1568</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t="e">
        <f ca="1">ROUND(C29*F13,0)</f>
        <v>#N/A</v>
      </c>
      <c r="D13" s="1235" t="s">
        <v>1380</v>
      </c>
      <c r="E13" s="1235"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3" t="s">
        <v>1382</v>
      </c>
      <c r="C14" s="319" t="e">
        <f ca="1">ROUND(INDIRECT("'数据-取费表'!l"&amp;$G$1)*F43+'数据-取费表'!L14*INDIRECT("'数据-取费表'!S"&amp;$G$1),0)</f>
        <v>#N/A</v>
      </c>
      <c r="D14" s="1522" t="s">
        <v>1383</v>
      </c>
      <c r="E14" s="1519"/>
      <c r="F14" s="320"/>
      <c r="G14" s="1561"/>
      <c r="H14" s="1107" t="s">
        <v>1003</v>
      </c>
      <c r="I14" s="303" t="s">
        <v>1384</v>
      </c>
      <c r="J14" s="23" t="e">
        <f ca="1">C29</f>
        <v>#N/A</v>
      </c>
      <c r="K14" s="14"/>
      <c r="L14" s="910"/>
      <c r="M14" s="911"/>
    </row>
    <row r="15" spans="1:37" s="1574" customFormat="1" ht="18" customHeight="1" thickBot="1">
      <c r="A15" s="1107" t="s">
        <v>1004</v>
      </c>
      <c r="B15" s="303" t="s">
        <v>1385</v>
      </c>
      <c r="C15" s="23" t="e">
        <f ca="1">ROUND(C14*F15,0)</f>
        <v>#N/A</v>
      </c>
      <c r="D15" s="321" t="s">
        <v>1386</v>
      </c>
      <c r="E15" s="321" t="s">
        <v>1387</v>
      </c>
      <c r="F15" s="322">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t="e">
        <f ca="1">ROUND(INDIRECT("'数据-取费表'!l"&amp;$G$1)*F43*F16,0)</f>
        <v>#N/A</v>
      </c>
      <c r="D16" s="303" t="s">
        <v>1386</v>
      </c>
      <c r="E16" s="303" t="s">
        <v>1387</v>
      </c>
      <c r="F16" s="323" t="e">
        <f ca="1">IF(INDIRECT("'数据-取费表'!c"&amp;$G$1)="住宅",'数据-取费表'!B34,0)</f>
        <v>#N/A</v>
      </c>
      <c r="G16" s="1561"/>
      <c r="H16" s="1233" t="s">
        <v>998</v>
      </c>
      <c r="I16" s="1234" t="s">
        <v>1389</v>
      </c>
      <c r="J16" s="311" t="e">
        <f ca="1">ROUND(J17+J22+J23+J24,0)</f>
        <v>#N/A</v>
      </c>
      <c r="K16" s="1241" t="s">
        <v>1390</v>
      </c>
      <c r="L16" s="1242"/>
      <c r="M16" s="1198"/>
    </row>
    <row r="17" spans="1:37" s="1574" customFormat="1" ht="18" customHeight="1">
      <c r="A17" s="1107" t="s">
        <v>1355</v>
      </c>
      <c r="B17" s="303" t="s">
        <v>1391</v>
      </c>
      <c r="C17" s="23" t="e">
        <f ca="1">ROUND(F17*(F43+INDIRECT("'数据-取费表'!S"&amp;$G$1)),0)</f>
        <v>#N/A</v>
      </c>
      <c r="D17" s="303" t="s">
        <v>1392</v>
      </c>
      <c r="E17" s="303" t="s">
        <v>1393</v>
      </c>
      <c r="F17" s="25">
        <f>'数据-取费表'!B35</f>
        <v>200</v>
      </c>
      <c r="G17" s="1573"/>
      <c r="H17" s="1107" t="s">
        <v>1003</v>
      </c>
      <c r="I17" s="303" t="s">
        <v>1394</v>
      </c>
      <c r="J17" s="2526" t="e">
        <f ca="1">ROUND(IF(AND(项目基本情况!B11="自然人",项目基本情况!B10="北京市"),J6*M17/(1+'数据-取费表'!C42),J18+J19+J20),0)</f>
        <v>#N/A</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t="e">
        <f ca="1">ROUND(C14*F18,0)</f>
        <v>#N/A</v>
      </c>
      <c r="D18" s="303" t="s">
        <v>1386</v>
      </c>
      <c r="E18" s="303" t="s">
        <v>1387</v>
      </c>
      <c r="F18" s="323">
        <f>'数据-取费表'!B36</f>
        <v>1.4999999999999999E-2</v>
      </c>
      <c r="G18" s="1573"/>
      <c r="H18" s="1107" t="s">
        <v>1002</v>
      </c>
      <c r="I18" s="303" t="s">
        <v>1398</v>
      </c>
      <c r="J18" s="23" t="e">
        <f ca="1">ROUND(J6*M18/(1+'数据-取费表'!C42),0)</f>
        <v>#N/A</v>
      </c>
      <c r="K18" s="152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t="e">
        <f ca="1">SUM(C14:C18)</f>
        <v>#N/A</v>
      </c>
      <c r="D19" s="131" t="s">
        <v>1401</v>
      </c>
      <c r="E19" s="1537"/>
      <c r="F19" s="25"/>
      <c r="G19" s="1561"/>
      <c r="H19" s="1107" t="s">
        <v>1004</v>
      </c>
      <c r="I19" s="303" t="s">
        <v>1402</v>
      </c>
      <c r="J19" s="23" t="e">
        <f ca="1">IF(K19="按租金收入计税",ROUND(J6*M19/(1+'数据-取费表'!C42),0),ROUND(C29*M19*0.7,0))</f>
        <v>#N/A</v>
      </c>
      <c r="K19" s="1547" t="s">
        <v>1403</v>
      </c>
      <c r="L19" s="303" t="s">
        <v>1387</v>
      </c>
      <c r="M19" s="323">
        <f>IF(K19="按租金收入计税",'数据-取费表'!B51,'数据-取费表'!B50)</f>
        <v>1.2E-2</v>
      </c>
    </row>
    <row r="20" spans="1:37" s="1574" customFormat="1" ht="18" customHeight="1">
      <c r="A20" s="1107" t="s">
        <v>1007</v>
      </c>
      <c r="B20" s="303" t="s">
        <v>1404</v>
      </c>
      <c r="C20" s="23" t="e">
        <f ca="1">ROUND(C19*F20,0)</f>
        <v>#N/A</v>
      </c>
      <c r="D20" s="324" t="s">
        <v>1405</v>
      </c>
      <c r="E20" s="303" t="s">
        <v>1387</v>
      </c>
      <c r="F20" s="323">
        <f>'数据-取费表'!B37</f>
        <v>0.03</v>
      </c>
      <c r="G20" s="1573"/>
      <c r="H20" s="1107" t="s">
        <v>1354</v>
      </c>
      <c r="I20" s="155" t="s">
        <v>1406</v>
      </c>
      <c r="J20" s="24" t="e">
        <f ca="1">ROUND(M20*M21,0)</f>
        <v>#N/A</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1537"/>
      <c r="F22" s="25"/>
      <c r="G22" s="1561"/>
      <c r="H22" s="1107" t="s">
        <v>1007</v>
      </c>
      <c r="I22" s="303" t="s">
        <v>1414</v>
      </c>
      <c r="J22" s="23" t="e">
        <f ca="1">ROUND(J14*M22,0)</f>
        <v>#N/A</v>
      </c>
      <c r="K22" s="1521" t="s">
        <v>1415</v>
      </c>
      <c r="L22" s="303" t="s">
        <v>1387</v>
      </c>
      <c r="M22" s="329" t="e">
        <f ca="1">INDIRECT("'数据-取费表'!Ak"&amp;$G$1)</f>
        <v>#N/A</v>
      </c>
    </row>
    <row r="23" spans="1:37" s="1574" customFormat="1" ht="18" customHeight="1">
      <c r="A23" s="1107" t="s">
        <v>1002</v>
      </c>
      <c r="B23" s="303" t="s">
        <v>1416</v>
      </c>
      <c r="C23" s="23" t="e">
        <f ca="1">IF('数据-取费表'!B22&lt;=1,ROUND(C19*F24*F23/2,0)+ROUND(C20*F24*F23/2,0),ROUND(C19*(POWER((1+F24),F23/2)-1),0)+ROUND(C20*(POWER((1+F24),F23/2)-1),0))</f>
        <v>#N/A</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t="e">
        <f ca="1">ROUND(J13*M23,0)</f>
        <v>#N/A</v>
      </c>
      <c r="K23" s="1521" t="s">
        <v>1419</v>
      </c>
      <c r="L23" s="303" t="s">
        <v>1420</v>
      </c>
      <c r="M23" s="331"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1358</v>
      </c>
      <c r="I24" s="1244" t="s">
        <v>1404</v>
      </c>
      <c r="J24" s="1245" t="e">
        <f ca="1">ROUND(J5*M24,0)</f>
        <v>#N/A</v>
      </c>
      <c r="K24" s="1246" t="s">
        <v>1424</v>
      </c>
      <c r="L24" s="1244" t="s">
        <v>1420</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3" t="s">
        <v>1426</v>
      </c>
      <c r="C25" s="23"/>
      <c r="D25" s="131" t="s">
        <v>1427</v>
      </c>
      <c r="E25" s="1537"/>
      <c r="F25" s="25"/>
      <c r="G25" s="1561"/>
      <c r="H25" s="1233" t="s">
        <v>999</v>
      </c>
      <c r="I25" s="1248" t="s">
        <v>1428</v>
      </c>
      <c r="J25" s="311" t="e">
        <f ca="1">J5-J16</f>
        <v>#N/A</v>
      </c>
      <c r="K25" s="1249" t="s">
        <v>1429</v>
      </c>
      <c r="L25" s="1250"/>
      <c r="M25" s="1251"/>
    </row>
    <row r="26" spans="1:37" ht="18" customHeight="1">
      <c r="A26" s="1107" t="s">
        <v>1002</v>
      </c>
      <c r="B26" s="303" t="s">
        <v>1430</v>
      </c>
      <c r="C26" s="23" t="e">
        <f ca="1">ROUND((C19+C20)*F26,0)</f>
        <v>#N/A</v>
      </c>
      <c r="D26" s="324" t="s">
        <v>1431</v>
      </c>
      <c r="E26" s="314" t="s">
        <v>1432</v>
      </c>
      <c r="F26" s="313" t="e">
        <f ca="1">INDIRECT("'数据-取费表'!q"&amp;$G$1)</f>
        <v>#N/A</v>
      </c>
      <c r="G26" s="1561"/>
      <c r="H26" s="300" t="s">
        <v>1000</v>
      </c>
      <c r="I26" s="301" t="s">
        <v>1433</v>
      </c>
      <c r="J26" s="302" t="e">
        <f ca="1">IF(J5&lt;&gt;0,ROUND(J25*(1-((1+M28)/(1+M26))^M27)/(M26-M28),0),0)</f>
        <v>#N/A</v>
      </c>
      <c r="K26" s="325" t="s">
        <v>1434</v>
      </c>
      <c r="L26" s="303" t="s">
        <v>1435</v>
      </c>
      <c r="M26" s="313" t="e">
        <f ca="1">INDIRECT("'数据-取费表'!I"&amp;$G$1)</f>
        <v>#N/A</v>
      </c>
    </row>
    <row r="27" spans="1:37" ht="18" customHeight="1">
      <c r="A27" s="1107" t="s">
        <v>1004</v>
      </c>
      <c r="B27" s="303" t="s">
        <v>1436</v>
      </c>
      <c r="C27" s="23" t="e">
        <f ca="1">ROUND(F21*F26,4)</f>
        <v>#N/A</v>
      </c>
      <c r="D27" s="324" t="s">
        <v>1437</v>
      </c>
      <c r="E27" s="321"/>
      <c r="F27" s="322"/>
      <c r="G27" s="1561"/>
      <c r="H27" s="305"/>
      <c r="I27" s="306"/>
      <c r="J27" s="307"/>
      <c r="K27" s="333" t="s">
        <v>1438</v>
      </c>
      <c r="L27" s="303" t="s">
        <v>1439</v>
      </c>
      <c r="M27" s="334" t="e">
        <f ca="1">INDIRECT("'数据-取费表'!ag"&amp;$G$1)</f>
        <v>#N/A</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35" t="s">
        <v>1001</v>
      </c>
      <c r="I29" s="336" t="s">
        <v>1444</v>
      </c>
      <c r="J29" s="337" t="e">
        <f ca="1">ROUND(J26/(1+F40)^F41,0)</f>
        <v>#N/A</v>
      </c>
      <c r="K29" s="338" t="s">
        <v>1445</v>
      </c>
      <c r="L29" s="339"/>
      <c r="M29" s="340"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t="e">
        <f ca="1">ROUND(C31+C36+C37+C38,0)</f>
        <v>#N/A</v>
      </c>
      <c r="D30" s="1241" t="s">
        <v>1390</v>
      </c>
      <c r="E30" s="1242"/>
      <c r="F30" s="1198"/>
      <c r="G30" s="1561"/>
      <c r="H30" s="2914"/>
      <c r="I30" s="1575"/>
      <c r="J30" s="1576"/>
      <c r="K30" s="2691"/>
      <c r="L30" s="2915"/>
      <c r="M30" s="2916"/>
    </row>
    <row r="31" spans="1:37" ht="18" customHeight="1">
      <c r="A31" s="1107" t="s">
        <v>1003</v>
      </c>
      <c r="B31" s="303" t="s">
        <v>1394</v>
      </c>
      <c r="C31" s="2526" t="e">
        <f ca="1">ROUND(IF(AND(项目基本情况!B11="自然人",项目基本情况!B10="北京市"),C6*F31/(1+'数据-取费表'!C42),C32+C33+C34),0)</f>
        <v>#N/A</v>
      </c>
      <c r="D31" s="1522" t="s">
        <v>1395</v>
      </c>
      <c r="E31" s="152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t="e">
        <f ca="1">IF(项目基本情况!B11="自然人","——",ROUND(C6*F32/(1+'数据-取费表'!C42),0))</f>
        <v>#N/A</v>
      </c>
      <c r="D32" s="152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t="e">
        <f ca="1">IF(项目基本情况!B11="自然人","——",IF(D33="按租金收入计税",ROUND(C6*F33/(1+'数据-取费表'!C42),0),IF(D33="按房产原值计税",ROUND(C29*F33*0.7,0),INDIRECT("'数据-取费表'!Aj"&amp;$G$1))))</f>
        <v>#N/A</v>
      </c>
      <c r="D33" s="1547" t="s">
        <v>1403</v>
      </c>
      <c r="E33" s="303" t="s">
        <v>1387</v>
      </c>
      <c r="F33" s="323">
        <f>IF(D33="按票据","——",IF(D33="按租金收入计税",'数据-取费表'!B51,'数据-取费表'!B50))</f>
        <v>1.2E-2</v>
      </c>
      <c r="G33" s="1561"/>
      <c r="H33" s="2917"/>
      <c r="I33" s="1575"/>
      <c r="J33" s="1576"/>
      <c r="K33" s="2918"/>
      <c r="L33" s="2917"/>
      <c r="M33" s="2917"/>
    </row>
    <row r="34" spans="1:18" ht="18" customHeight="1">
      <c r="A34" s="1195" t="s">
        <v>1354</v>
      </c>
      <c r="B34" s="155" t="s">
        <v>1406</v>
      </c>
      <c r="C34" s="24" t="e">
        <f ca="1">IF(项目基本情况!B11="自然人","——",ROUND(F34*F35,))</f>
        <v>#N/A</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t="e">
        <f ca="1">INDIRECT("'数据-取费表'!r"&amp;$G$1)</f>
        <v>#N/A</v>
      </c>
      <c r="G35" s="1561"/>
      <c r="H35" s="2914"/>
      <c r="I35" s="1575"/>
      <c r="J35" s="1576"/>
      <c r="K35" s="2918"/>
      <c r="L35" s="2917"/>
      <c r="M35" s="2917"/>
    </row>
    <row r="36" spans="1:18" ht="18" customHeight="1">
      <c r="A36" s="1256" t="s">
        <v>1007</v>
      </c>
      <c r="B36" s="303" t="s">
        <v>1414</v>
      </c>
      <c r="C36" s="23" t="e">
        <f ca="1">ROUND(C29*F36,0)</f>
        <v>#N/A</v>
      </c>
      <c r="D36" s="1521" t="s">
        <v>1447</v>
      </c>
      <c r="E36" s="303" t="s">
        <v>1387</v>
      </c>
      <c r="F36" s="329" t="e">
        <f ca="1">INDIRECT("'数据-取费表'!Ak"&amp;$G$1)</f>
        <v>#N/A</v>
      </c>
      <c r="G36" s="1561"/>
      <c r="H36" s="2917"/>
      <c r="I36" s="1575"/>
      <c r="J36" s="1576"/>
      <c r="K36" s="2759"/>
      <c r="L36" s="2917"/>
      <c r="M36" s="2917"/>
    </row>
    <row r="37" spans="1:18" ht="18" customHeight="1">
      <c r="A37" s="1107" t="s">
        <v>1043</v>
      </c>
      <c r="B37" s="303" t="s">
        <v>1418</v>
      </c>
      <c r="C37" s="23" t="e">
        <f ca="1">ROUND(C13*F37,0)</f>
        <v>#N/A</v>
      </c>
      <c r="D37" s="1521" t="s">
        <v>1419</v>
      </c>
      <c r="E37" s="303" t="s">
        <v>1420</v>
      </c>
      <c r="F37" s="331" t="e">
        <f ca="1">INDIRECT("'数据-取费表'!Al"&amp;$G$1)</f>
        <v>#N/A</v>
      </c>
      <c r="G37" s="1561"/>
      <c r="H37" s="2917"/>
      <c r="I37" s="1575"/>
      <c r="J37" s="1576"/>
      <c r="K37" s="2759"/>
      <c r="L37" s="2917"/>
      <c r="M37" s="2917"/>
    </row>
    <row r="38" spans="1:18" ht="18" customHeight="1" thickBot="1">
      <c r="A38" s="1243" t="s">
        <v>1358</v>
      </c>
      <c r="B38" s="1244" t="s">
        <v>1404</v>
      </c>
      <c r="C38" s="1245" t="e">
        <f ca="1">ROUND(C5*F38,1)</f>
        <v>#N/A</v>
      </c>
      <c r="D38" s="1246" t="s">
        <v>1424</v>
      </c>
      <c r="E38" s="1244" t="s">
        <v>1420</v>
      </c>
      <c r="F38" s="1240" t="e">
        <f ca="1">INDIRECT("'数据-取费表'!Am"&amp;$G$1)</f>
        <v>#N/A</v>
      </c>
      <c r="G38" s="1561"/>
      <c r="H38" s="2917"/>
      <c r="I38" s="1575"/>
      <c r="J38" s="1576"/>
      <c r="K38" s="2921"/>
      <c r="L38" s="2917"/>
      <c r="M38" s="2917"/>
    </row>
    <row r="39" spans="1:18" ht="24.6" customHeight="1" thickTop="1">
      <c r="A39" s="1233" t="s">
        <v>999</v>
      </c>
      <c r="B39" s="1248" t="s">
        <v>1448</v>
      </c>
      <c r="C39" s="311" t="e">
        <f ca="1">C5-C30</f>
        <v>#N/A</v>
      </c>
      <c r="D39" s="1249" t="s">
        <v>1449</v>
      </c>
      <c r="E39" s="1250"/>
      <c r="F39" s="1251"/>
      <c r="G39" s="1561"/>
      <c r="H39" s="2917"/>
      <c r="I39" s="1575"/>
      <c r="J39" s="1576"/>
      <c r="K39" s="2921"/>
      <c r="L39" s="2917"/>
      <c r="M39" s="2917"/>
    </row>
    <row r="40" spans="1:18" ht="18" customHeight="1">
      <c r="A40" s="300" t="s">
        <v>1000</v>
      </c>
      <c r="B40" s="301" t="s">
        <v>1450</v>
      </c>
      <c r="C40" s="302" t="e">
        <f ca="1">ROUND(C39*(1-((1+F42)/(1+F40))^F41)/(F40-F42),0)</f>
        <v>#N/A</v>
      </c>
      <c r="D40" s="325" t="s">
        <v>1434</v>
      </c>
      <c r="E40" s="303" t="s">
        <v>1435</v>
      </c>
      <c r="F40" s="313" t="e">
        <f ca="1">INDIRECT("'数据-取费表'!I"&amp;$G$1)</f>
        <v>#N/A</v>
      </c>
      <c r="G40" s="1561"/>
      <c r="H40" s="1638"/>
      <c r="I40" s="1575"/>
      <c r="J40" s="1576"/>
      <c r="K40" s="2921"/>
      <c r="L40" s="1638"/>
      <c r="M40" s="1638"/>
    </row>
    <row r="41" spans="1:18" ht="18" customHeight="1">
      <c r="A41" s="305"/>
      <c r="B41" s="306"/>
      <c r="C41" s="307"/>
      <c r="D41" s="333" t="s">
        <v>1451</v>
      </c>
      <c r="E41" s="303" t="s">
        <v>1439</v>
      </c>
      <c r="F41" s="334" t="e">
        <f ca="1">IF(INDIRECT("'数据-取费表'!af"&amp;$G$1)=0,INDIRECT("'数据-取费表'!ae"&amp;$G$1),INDIRECT("'数据-取费表'!af"&amp;$G$1))</f>
        <v>#N/A</v>
      </c>
      <c r="G41" s="1561"/>
      <c r="H41" s="1346"/>
      <c r="I41" s="1575"/>
      <c r="J41" s="1576"/>
      <c r="K41" s="2759"/>
      <c r="L41" s="1346"/>
      <c r="M41" s="1346"/>
    </row>
    <row r="42" spans="1:18" ht="18" customHeight="1">
      <c r="A42" s="309"/>
      <c r="B42" s="310"/>
      <c r="C42" s="311"/>
      <c r="D42" s="328"/>
      <c r="E42" s="303" t="s">
        <v>1442</v>
      </c>
      <c r="F42" s="313" t="e">
        <f ca="1">INDIRECT("'数据-取费表'!v"&amp;$G$1)</f>
        <v>#N/A</v>
      </c>
      <c r="G42" s="1561"/>
      <c r="H42" s="1346"/>
      <c r="I42" s="1575"/>
      <c r="J42" s="1576"/>
      <c r="K42" s="2759"/>
      <c r="L42" s="1346"/>
      <c r="M42" s="1346"/>
    </row>
    <row r="43" spans="1:18" ht="18" customHeight="1" thickBot="1">
      <c r="A43" s="335" t="s">
        <v>1001</v>
      </c>
      <c r="B43" s="336" t="s">
        <v>1452</v>
      </c>
      <c r="C43" s="337" t="e">
        <f ca="1">ROUND(C40/F43,0)</f>
        <v>#N/A</v>
      </c>
      <c r="D43" s="338" t="s">
        <v>1453</v>
      </c>
      <c r="E43" s="339" t="s">
        <v>1454</v>
      </c>
      <c r="F43" s="340" t="e">
        <f ca="1">INDIRECT("'数据-取费表'!k"&amp;$G$1)</f>
        <v>#N/A</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#N/A</v>
      </c>
      <c r="D45" s="1650" t="s">
        <v>1569</v>
      </c>
      <c r="E45" s="1577"/>
      <c r="F45" s="1577"/>
      <c r="O45" s="1580" t="s">
        <v>1484</v>
      </c>
      <c r="P45" s="1638"/>
      <c r="Q45" s="1638"/>
      <c r="R45" s="1638"/>
    </row>
    <row r="46" spans="1:18" s="1561" customFormat="1" ht="13.5" thickBot="1">
      <c r="A46" s="1581" t="s">
        <v>1485</v>
      </c>
      <c r="C46" s="1582" t="e">
        <f ca="1">ROUND(C45/10000,0)</f>
        <v>#N/A</v>
      </c>
      <c r="D46" s="1583" t="str">
        <f>C2</f>
        <v>万元</v>
      </c>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26"/>
      <c r="I47" s="1591" t="s">
        <v>1491</v>
      </c>
      <c r="J47" s="1592"/>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1" t="s">
        <v>1366</v>
      </c>
      <c r="C48" s="1536" t="e">
        <f ca="1">C49+C53+C55</f>
        <v>#N/A</v>
      </c>
      <c r="D48" s="1266"/>
      <c r="E48" s="1267"/>
      <c r="F48" s="1087"/>
      <c r="G48" s="726"/>
      <c r="H48" s="727"/>
      <c r="I48" s="1598" t="s">
        <v>1495</v>
      </c>
      <c r="J48" s="1599"/>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ROUND(F49*F51*F50*(1-F52),0)</f>
        <v>#N/A</v>
      </c>
      <c r="D49" s="1180" t="s">
        <v>1369</v>
      </c>
      <c r="E49" s="1549" t="s">
        <v>1456</v>
      </c>
      <c r="F49" s="1185"/>
      <c r="G49" s="1602"/>
      <c r="H49" s="727"/>
      <c r="I49" s="1598" t="s">
        <v>1499</v>
      </c>
      <c r="J49" s="1603"/>
      <c r="K49" s="1600" t="s">
        <v>1500</v>
      </c>
      <c r="L49" s="1604"/>
      <c r="O49" s="1605" t="s">
        <v>1010</v>
      </c>
      <c r="P49" s="1596" t="s">
        <v>1501</v>
      </c>
      <c r="Q49" s="1597" t="e">
        <f ca="1">C29</f>
        <v>#N/A</v>
      </c>
      <c r="R49" s="1597" t="s">
        <v>1494</v>
      </c>
    </row>
    <row r="50" spans="1:18" s="1561" customFormat="1" ht="13.5" thickBot="1">
      <c r="A50" s="1101"/>
      <c r="B50" s="1104"/>
      <c r="C50" s="1105"/>
      <c r="D50" s="1078"/>
      <c r="E50" s="1181" t="s">
        <v>1371</v>
      </c>
      <c r="F50" s="1182" t="e">
        <f ca="1">F7</f>
        <v>#N/A</v>
      </c>
      <c r="H50" s="727"/>
      <c r="I50" s="1598" t="s">
        <v>1502</v>
      </c>
      <c r="J50" s="1606">
        <f>SUMPRODUCT((I63:I65=J47)*(J62:L62=J48)*(J63:L65))</f>
        <v>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4" t="e">
        <f ca="1">F8</f>
        <v>#N/A</v>
      </c>
      <c r="I51" s="1609" t="s">
        <v>1505</v>
      </c>
      <c r="J51" s="1610">
        <f>IF(J49="",J50,J49+J50-YEAR('数据-取费表'!B2))</f>
        <v>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30.75" customHeight="1" thickBot="1">
      <c r="A53" s="1265" t="s">
        <v>1105</v>
      </c>
      <c r="B53" s="324" t="s">
        <v>1374</v>
      </c>
      <c r="C53" s="317">
        <f ca="1">ROUND(IF(F53="押一",C49/12*F11,IF(F53="押二",C49/12*2*F11,IF(F53="押三",C49/12*3*F11,C54*F11))),0)</f>
        <v>0</v>
      </c>
      <c r="D53" s="1543" t="s">
        <v>2857</v>
      </c>
      <c r="E53" s="314" t="s">
        <v>1375</v>
      </c>
      <c r="F53" s="1270"/>
      <c r="I53" s="1616" t="s">
        <v>1512</v>
      </c>
      <c r="J53" s="2378" t="e">
        <f ca="1">IF(M47="住宅",IF(D1="——",MAX(J51,L48),MAX(J51,L48-'数据-取费表'!B24)),IF(D1="——",MIN(J51,L48),MIN(J51,L48-'数据-取费表'!B24)))</f>
        <v>#N/A</v>
      </c>
      <c r="K53" s="3556" t="s">
        <v>1513</v>
      </c>
      <c r="L53" s="3557"/>
      <c r="O53" s="1595" t="s">
        <v>1014</v>
      </c>
      <c r="P53" s="1596" t="s">
        <v>1514</v>
      </c>
      <c r="Q53" s="1597" t="e">
        <f ca="1">Q47+Q48</f>
        <v>#N/A</v>
      </c>
      <c r="R53" s="1597" t="s">
        <v>1015</v>
      </c>
    </row>
    <row r="54" spans="1:18" s="1561" customFormat="1" ht="13.5" thickBot="1">
      <c r="A54" s="1100"/>
      <c r="B54" s="1651" t="s">
        <v>1568</v>
      </c>
      <c r="C54" s="1084"/>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#N/A</v>
      </c>
      <c r="K55" s="1622" t="s">
        <v>1517</v>
      </c>
      <c r="L55" s="1623"/>
      <c r="O55" s="1588" t="s">
        <v>1487</v>
      </c>
      <c r="P55" s="1589" t="s">
        <v>1488</v>
      </c>
      <c r="Q55" s="1590" t="s">
        <v>1489</v>
      </c>
      <c r="R55" s="1590" t="s">
        <v>1490</v>
      </c>
    </row>
    <row r="56" spans="1:18" s="1561" customFormat="1" ht="36" customHeight="1" thickTop="1" thickBot="1">
      <c r="A56" s="1082">
        <v>2</v>
      </c>
      <c r="B56" s="1083" t="s">
        <v>1379</v>
      </c>
      <c r="C56" s="233" t="e">
        <f ca="1">C13</f>
        <v>#N/A</v>
      </c>
      <c r="D56" s="1624"/>
      <c r="E56" s="1625"/>
      <c r="F56" s="1617"/>
      <c r="I56" s="1626" t="s">
        <v>1519</v>
      </c>
      <c r="J56" s="1627"/>
      <c r="K56" s="1598" t="s">
        <v>1520</v>
      </c>
      <c r="L56" s="1601" t="e">
        <f ca="1">IF(L48&lt;J51,"——",L48-J51)</f>
        <v>#N/A</v>
      </c>
      <c r="O56" s="1595" t="s">
        <v>1008</v>
      </c>
      <c r="P56" s="1596" t="s">
        <v>1493</v>
      </c>
      <c r="Q56" s="1597" t="e">
        <f ca="1">C40+J29</f>
        <v>#N/A</v>
      </c>
      <c r="R56" s="1597" t="s">
        <v>1494</v>
      </c>
    </row>
    <row r="57" spans="1:18" s="1561" customFormat="1" ht="24.75" thickBot="1">
      <c r="A57" s="1628"/>
      <c r="B57" s="1075" t="s">
        <v>1443</v>
      </c>
      <c r="C57" s="239" t="e">
        <f ca="1">C29</f>
        <v>#N/A</v>
      </c>
      <c r="D57" s="1629"/>
      <c r="E57" s="1630"/>
      <c r="F57" s="1631"/>
      <c r="I57" s="1632" t="s">
        <v>1521</v>
      </c>
      <c r="J57" s="1633" t="e">
        <f ca="1">IF(OR(M47="住宅",J51&lt;L48,J56="是"),"——",J51-L48)</f>
        <v>#N/A</v>
      </c>
      <c r="K57" s="1598" t="s">
        <v>1570</v>
      </c>
      <c r="L57" s="1601" t="e">
        <f ca="1">IF(L48&lt;J51,"——",IF(L55="比较法",L49,IF(L55="基准地价",L50,L51)))</f>
        <v>#N/A</v>
      </c>
      <c r="O57" s="1595" t="s">
        <v>1009</v>
      </c>
      <c r="P57" s="1596" t="s">
        <v>1571</v>
      </c>
      <c r="Q57" s="1597" t="e">
        <f ca="1">L60</f>
        <v>#N/A</v>
      </c>
      <c r="R57" s="1597" t="s">
        <v>1572</v>
      </c>
    </row>
    <row r="58" spans="1:18" s="1561" customFormat="1" ht="24.75" thickBot="1">
      <c r="A58" s="316" t="s">
        <v>998</v>
      </c>
      <c r="B58" s="1083" t="s">
        <v>1389</v>
      </c>
      <c r="C58" s="317" t="e">
        <f ca="1">ROUND(C59+C64+C65+C66,0)</f>
        <v>#N/A</v>
      </c>
      <c r="D58" s="1085" t="s">
        <v>1390</v>
      </c>
      <c r="E58" s="1086"/>
      <c r="F58" s="1087"/>
      <c r="I58" s="1632" t="s">
        <v>1525</v>
      </c>
      <c r="J58" s="1634" t="e">
        <f ca="1">IF(J55&lt;0.4,0.4,J55)</f>
        <v>#N/A</v>
      </c>
      <c r="K58" s="1611" t="s">
        <v>1573</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3" t="e">
        <f ca="1">IF(项目基本情况!B11="自然人","——",ROUND(C48*F60/(1+'数据-取费表'!C42),0))</f>
        <v>#N/A</v>
      </c>
      <c r="D60" s="1089" t="s">
        <v>1399</v>
      </c>
      <c r="E60" s="1075" t="s">
        <v>1387</v>
      </c>
      <c r="F60" s="332">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1458</v>
      </c>
      <c r="C61" s="23" t="e">
        <f ca="1">IF(项目基本情况!B11="自然人","——",IF(D61="按租金收入计税",ROUND(C49*F61/(1+'数据-取费表'!C42),0),IF(D61="按房产原值计税",ROUND(C57*F61*0.7,0),INDIRECT("'数据-取费表'!Aj"&amp;$G$1))))</f>
        <v>#N/A</v>
      </c>
      <c r="D61" s="1547" t="s">
        <v>1403</v>
      </c>
      <c r="E61" s="1075" t="s">
        <v>1459</v>
      </c>
      <c r="F61" s="323">
        <f t="shared" si="0"/>
        <v>1.2E-2</v>
      </c>
      <c r="I61" s="1638"/>
      <c r="J61" s="1638"/>
      <c r="K61" s="1638"/>
      <c r="L61" s="1638"/>
      <c r="O61" s="1605" t="s">
        <v>1013</v>
      </c>
      <c r="P61" s="1596" t="str">
        <f>K59</f>
        <v>建设期及建筑物耐用年限下的土地年期修正系数Kn</v>
      </c>
      <c r="Q61" s="1597" t="e">
        <f ca="1">L59</f>
        <v>#N/A</v>
      </c>
      <c r="R61" s="1597" t="s">
        <v>1534</v>
      </c>
    </row>
    <row r="62" spans="1:18" s="1561" customFormat="1" ht="13.5" thickBot="1">
      <c r="A62" s="1107" t="s">
        <v>1460</v>
      </c>
      <c r="B62" s="1074" t="s">
        <v>1461</v>
      </c>
      <c r="C62" s="24" t="e">
        <f ca="1">IF(项目基本情况!B11="自然人","——",ROUND(F62*F63,0))</f>
        <v>#N/A</v>
      </c>
      <c r="D62" s="1090" t="s">
        <v>1462</v>
      </c>
      <c r="E62" s="1075" t="s">
        <v>1463</v>
      </c>
      <c r="F62" s="326">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7"/>
      <c r="B63" s="1081"/>
      <c r="C63" s="28"/>
      <c r="D63" s="1091"/>
      <c r="E63" s="1075" t="s">
        <v>1464</v>
      </c>
      <c r="F63" s="304" t="e">
        <f t="shared" ca="1" si="0"/>
        <v>#N/A</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3" t="e">
        <f ca="1">ROUND(C57*F64,0)</f>
        <v>#N/A</v>
      </c>
      <c r="D64" s="1089" t="s">
        <v>1467</v>
      </c>
      <c r="E64" s="1075" t="s">
        <v>1459</v>
      </c>
      <c r="F64" s="329"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t="e">
        <f ca="1">ROUND(C56*F65,0)</f>
        <v>#N/A</v>
      </c>
      <c r="D65" s="1089" t="s">
        <v>1419</v>
      </c>
      <c r="E65" s="1075" t="s">
        <v>1420</v>
      </c>
      <c r="F65" s="331"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7" t="s">
        <v>1469</v>
      </c>
      <c r="B66" s="1075" t="s">
        <v>1404</v>
      </c>
      <c r="C66" s="23" t="e">
        <f ca="1">ROUND(C48*F66,0)</f>
        <v>#N/A</v>
      </c>
      <c r="D66" s="1089" t="s">
        <v>1470</v>
      </c>
      <c r="E66" s="1075" t="s">
        <v>1387</v>
      </c>
      <c r="F66" s="313" t="e">
        <f t="shared" ca="1" si="0"/>
        <v>#N/A</v>
      </c>
      <c r="O66" s="1595" t="s">
        <v>1009</v>
      </c>
      <c r="P66" s="1596" t="s">
        <v>1523</v>
      </c>
      <c r="Q66" s="1597" t="e">
        <f ca="1">L60</f>
        <v>#N/A</v>
      </c>
      <c r="R66" s="1597" t="s">
        <v>1546</v>
      </c>
    </row>
    <row r="67" spans="1:18" s="1561" customFormat="1" ht="16.5" thickBot="1">
      <c r="A67" s="1082" t="s">
        <v>999</v>
      </c>
      <c r="B67" s="1092" t="s">
        <v>1428</v>
      </c>
      <c r="C67" s="317"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2" t="e">
        <f ca="1">ROUND(C67*(1-((1+F70)/(1+F68))^F69)/(F68-F70),0)</f>
        <v>#N/A</v>
      </c>
      <c r="D68" s="1090" t="s">
        <v>1434</v>
      </c>
      <c r="E68" s="1075" t="s">
        <v>1435</v>
      </c>
      <c r="F68" s="313" t="e">
        <f ca="1">F40</f>
        <v>#N/A</v>
      </c>
      <c r="O68" s="1605" t="s">
        <v>1011</v>
      </c>
      <c r="P68" s="1644" t="s">
        <v>1548</v>
      </c>
      <c r="Q68" s="1597" t="e">
        <f ca="1">ROUND(Q69-Q70*Q71,0)</f>
        <v>#N/A</v>
      </c>
      <c r="R68" s="1597" t="s">
        <v>1019</v>
      </c>
    </row>
    <row r="69" spans="1:18" s="1561" customFormat="1" ht="13.5" thickBot="1">
      <c r="A69" s="1076"/>
      <c r="B69" s="1077"/>
      <c r="C69" s="307"/>
      <c r="D69" s="1095" t="s">
        <v>1438</v>
      </c>
      <c r="E69" s="1075" t="s">
        <v>1439</v>
      </c>
      <c r="F69" s="334" t="e">
        <f ca="1">F41</f>
        <v>#N/A</v>
      </c>
      <c r="O69" s="1605" t="s">
        <v>1016</v>
      </c>
      <c r="P69" s="1644" t="s">
        <v>1549</v>
      </c>
      <c r="Q69" s="1597" t="e">
        <f ca="1">C39</f>
        <v>#N/A</v>
      </c>
      <c r="R69" s="1597" t="s">
        <v>1494</v>
      </c>
    </row>
    <row r="70" spans="1:18" s="1561" customFormat="1" ht="13.5" thickBot="1">
      <c r="A70" s="1079"/>
      <c r="B70" s="1080"/>
      <c r="C70" s="311"/>
      <c r="D70" s="1091"/>
      <c r="E70" s="1075" t="s">
        <v>1442</v>
      </c>
      <c r="F70" s="1179" t="e">
        <f ca="1">F42</f>
        <v>#N/A</v>
      </c>
      <c r="O70" s="1605" t="s">
        <v>1017</v>
      </c>
      <c r="P70" s="1644" t="s">
        <v>1550</v>
      </c>
      <c r="Q70" s="1597" t="e">
        <f ca="1">C13</f>
        <v>#N/A</v>
      </c>
      <c r="R70" s="1597" t="s">
        <v>1494</v>
      </c>
    </row>
    <row r="71" spans="1:18" s="1561" customFormat="1" ht="13.5" thickBot="1">
      <c r="A71" s="1096" t="s">
        <v>1001</v>
      </c>
      <c r="B71" s="1097" t="s">
        <v>1452</v>
      </c>
      <c r="C71" s="337" t="e">
        <f ca="1">ROUND(C68/F71,0)</f>
        <v>#N/A</v>
      </c>
      <c r="D71" s="1098" t="s">
        <v>1453</v>
      </c>
      <c r="E71" s="1099" t="s">
        <v>1454</v>
      </c>
      <c r="F71" s="340" t="e">
        <f ca="1">F43</f>
        <v>#N/A</v>
      </c>
      <c r="O71" s="1605" t="s">
        <v>1018</v>
      </c>
      <c r="P71" s="1644" t="s">
        <v>1551</v>
      </c>
      <c r="Q71" s="1608" t="e">
        <f ca="1">C76</f>
        <v>#N/A</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#N/A</v>
      </c>
      <c r="R73" s="1597" t="s">
        <v>1533</v>
      </c>
    </row>
    <row r="74" spans="1:18" ht="13.5" thickBot="1">
      <c r="A74" s="1561"/>
      <c r="B74" s="274" t="s">
        <v>1552</v>
      </c>
      <c r="C74" s="1646"/>
      <c r="D74" s="1561"/>
      <c r="E74" s="1561"/>
      <c r="F74" s="1561"/>
      <c r="O74" s="1605" t="s">
        <v>1020</v>
      </c>
      <c r="P74" s="1596" t="str">
        <f>K59</f>
        <v>建设期及建筑物耐用年限下的土地年期修正系数Kn</v>
      </c>
      <c r="Q74" s="1597" t="e">
        <f ca="1">L59</f>
        <v>#N/A</v>
      </c>
      <c r="R74" s="1597" t="s">
        <v>1534</v>
      </c>
    </row>
    <row r="75" spans="1:18" ht="13.5" thickBot="1">
      <c r="A75" s="1561"/>
      <c r="B75" s="341" t="s">
        <v>1471</v>
      </c>
      <c r="C75" s="342" t="e">
        <f ca="1">ROUND(C13*C76,0)</f>
        <v>#N/A</v>
      </c>
      <c r="D75" s="1561"/>
      <c r="E75" s="1561"/>
      <c r="F75" s="1561"/>
      <c r="K75" s="1579"/>
      <c r="L75" s="1561"/>
      <c r="O75" s="1595" t="s">
        <v>1014</v>
      </c>
      <c r="P75" s="1596" t="s">
        <v>1514</v>
      </c>
      <c r="Q75" s="1597" t="e">
        <f ca="1">Q65+Q66</f>
        <v>#N/A</v>
      </c>
      <c r="R75" s="1597" t="s">
        <v>1015</v>
      </c>
    </row>
    <row r="76" spans="1:18">
      <c r="B76" s="343" t="s">
        <v>1472</v>
      </c>
      <c r="C76" s="344" t="e">
        <f ca="1">INDIRECT("'数据-取费表'!j"&amp;$G$1)</f>
        <v>#N/A</v>
      </c>
      <c r="I76" s="1561"/>
      <c r="J76" s="1561"/>
      <c r="K76" s="1579"/>
      <c r="L76" s="1561"/>
    </row>
    <row r="77" spans="1:18">
      <c r="B77" s="345" t="s">
        <v>1473</v>
      </c>
      <c r="C77" s="346"/>
      <c r="I77" s="1561"/>
      <c r="J77" s="1561"/>
      <c r="K77" s="1579"/>
      <c r="L77" s="1561"/>
    </row>
    <row r="78" spans="1:18">
      <c r="B78" s="271" t="s">
        <v>1474</v>
      </c>
      <c r="C78" s="347"/>
    </row>
    <row r="79" spans="1:18">
      <c r="B79" s="341" t="s">
        <v>1475</v>
      </c>
      <c r="C79" s="275" t="e">
        <f ca="1">1-C80</f>
        <v>#N/A</v>
      </c>
    </row>
    <row r="80" spans="1:18">
      <c r="B80" s="341" t="s">
        <v>1476</v>
      </c>
      <c r="C80" s="275" t="e">
        <f ca="1">ROUND(C75/C39,3)</f>
        <v>#N/A</v>
      </c>
    </row>
    <row r="81" spans="2:3">
      <c r="B81" s="271" t="s">
        <v>1477</v>
      </c>
      <c r="C81" s="239"/>
    </row>
    <row r="82" spans="2:3">
      <c r="B82" s="274" t="s">
        <v>1478</v>
      </c>
      <c r="C82" s="276" t="e">
        <f ca="1">1-C83</f>
        <v>#N/A</v>
      </c>
    </row>
    <row r="83" spans="2:3">
      <c r="B83" s="274" t="s">
        <v>1479</v>
      </c>
      <c r="C83" s="275"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13" priority="4">
      <formula>$L$48&gt;$J$51</formula>
    </cfRule>
  </conditionalFormatting>
  <conditionalFormatting sqref="I55 I60">
    <cfRule type="expression" dxfId="212" priority="5">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受贵公司委托，我公司对北京市0331地块部分在建工程出让国有建设用地使用权及在建建筑物房地产抵押价值进行了预评估。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估价对象为北京市0331地块部分在建工程出让国有建设用地使用权及在建建筑物房地产，为所有。根据，估价对象（分摊）出让国有建设用地使用权面积为35230.35平方米，建筑面积为86417.1平方米。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0331地块部分在建工程出让国有建设用地使用权及在建建筑物房地产,属开发建设的，该项目尚在开发建设中。根据，估价对象（分摊）出让国有建设用地使用权面积为35230.35平方米，规划建筑面积为86417.1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2022年1月7日（评估专业人员实地查勘之日）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2343</v>
      </c>
      <c r="B1" s="2046"/>
      <c r="C1" s="2046"/>
      <c r="D1" s="2046"/>
      <c r="E1" s="2047"/>
      <c r="F1" s="2924"/>
      <c r="G1" s="1667"/>
      <c r="H1" s="1667"/>
      <c r="I1" s="1667"/>
      <c r="J1" s="1667"/>
      <c r="K1" s="1667"/>
      <c r="L1" s="1667"/>
      <c r="M1" s="1667"/>
      <c r="N1" s="1667"/>
      <c r="O1" s="1667"/>
      <c r="P1" s="1667"/>
      <c r="Q1" s="1667"/>
      <c r="R1" s="1667"/>
      <c r="S1" s="1667"/>
    </row>
    <row r="2" spans="1:22" ht="15.75">
      <c r="A2" s="2048" t="s">
        <v>2147</v>
      </c>
      <c r="B2" s="2049">
        <f ca="1">SUMIF(B6:B13,"&lt;&gt;#ref!",B6:B13)</f>
        <v>40203</v>
      </c>
      <c r="C2" s="2050" t="s">
        <v>2336</v>
      </c>
      <c r="D2" s="2051" t="s">
        <v>2337</v>
      </c>
      <c r="E2" s="2822">
        <f>SUM(E6:E13)</f>
        <v>38141.5</v>
      </c>
      <c r="F2" s="2924"/>
      <c r="G2" s="1667"/>
      <c r="H2" s="1667"/>
      <c r="I2" s="1667"/>
      <c r="J2" s="1667"/>
      <c r="K2" s="1667"/>
      <c r="L2" s="1667"/>
      <c r="M2" s="1667"/>
      <c r="N2" s="1667"/>
      <c r="O2" s="1667"/>
      <c r="P2" s="1667"/>
      <c r="Q2" s="1667"/>
      <c r="R2" s="1667"/>
      <c r="S2" s="1667"/>
    </row>
    <row r="3" spans="1:22" ht="15.75">
      <c r="A3" s="2048" t="s">
        <v>1360</v>
      </c>
      <c r="B3" s="2816">
        <f ca="1">ROUND(B2*10000/E2,0)</f>
        <v>10540</v>
      </c>
      <c r="C3" s="2050" t="s">
        <v>2344</v>
      </c>
      <c r="D3" s="2926"/>
      <c r="E3" s="2928"/>
      <c r="F3" s="2924"/>
      <c r="G3" s="1667"/>
      <c r="H3" s="1667"/>
      <c r="I3" s="1667"/>
      <c r="J3" s="1667"/>
      <c r="K3" s="1667"/>
      <c r="L3" s="1667"/>
      <c r="M3" s="1667"/>
      <c r="N3" s="1667"/>
      <c r="O3" s="1667"/>
      <c r="P3" s="1667"/>
      <c r="Q3" s="1667"/>
      <c r="R3" s="1667"/>
      <c r="S3" s="1667"/>
    </row>
    <row r="4" spans="1:22" ht="15.75">
      <c r="A4" s="2929"/>
      <c r="B4" s="2926"/>
      <c r="C4" s="2926"/>
      <c r="D4" s="2926"/>
      <c r="E4" s="2928"/>
      <c r="F4" s="2924"/>
      <c r="G4" s="1667"/>
      <c r="H4" s="1667"/>
      <c r="I4" s="1667"/>
      <c r="J4" s="1667"/>
      <c r="K4" s="1667"/>
      <c r="L4" s="1667"/>
      <c r="M4" s="1667"/>
      <c r="N4" s="1667"/>
      <c r="O4" s="1667"/>
      <c r="P4" s="1667"/>
      <c r="Q4" s="1667"/>
      <c r="R4" s="1667"/>
      <c r="S4" s="1667"/>
    </row>
    <row r="5" spans="1:22" ht="15">
      <c r="A5" s="2818" t="s">
        <v>2338</v>
      </c>
      <c r="B5" s="3558" t="s">
        <v>2339</v>
      </c>
      <c r="C5" s="3559"/>
      <c r="D5" s="2925"/>
      <c r="E5" s="2052" t="s">
        <v>2340</v>
      </c>
      <c r="F5" s="2053" t="s">
        <v>2341</v>
      </c>
      <c r="G5" s="1667"/>
      <c r="H5" s="1667"/>
      <c r="I5" s="1667"/>
      <c r="J5" s="1667"/>
      <c r="K5" s="1667"/>
      <c r="L5" s="1667"/>
      <c r="M5" s="1667"/>
      <c r="N5" s="1667"/>
      <c r="O5" s="1667"/>
      <c r="P5" s="1667"/>
      <c r="Q5" s="1667"/>
      <c r="R5" s="1667"/>
      <c r="S5" s="1667"/>
    </row>
    <row r="6" spans="1:22">
      <c r="A6" s="2819">
        <f>'数据-取费表'!AN6</f>
        <v>0</v>
      </c>
      <c r="B6" s="2817" t="e">
        <f ca="1">IF(F6="是",'数据-取费表'!AO6,0)</f>
        <v>#REF!</v>
      </c>
      <c r="C6" s="2050" t="s">
        <v>2336</v>
      </c>
      <c r="D6" s="2926"/>
      <c r="E6" s="2821">
        <f>IF(OR(A6=0,F6="否"),0,'数据-取费表'!K6+'数据-取费表'!S6)</f>
        <v>0</v>
      </c>
      <c r="F6" s="2054" t="s">
        <v>2342</v>
      </c>
      <c r="G6" s="1667"/>
      <c r="H6" s="1667"/>
      <c r="I6" s="1667"/>
      <c r="J6" s="1667"/>
      <c r="K6" s="1667"/>
      <c r="L6" s="1667"/>
      <c r="M6" s="1667"/>
      <c r="N6" s="1667"/>
      <c r="O6" s="1667"/>
      <c r="P6" s="1667"/>
      <c r="Q6" s="1667"/>
      <c r="R6" s="1667"/>
      <c r="S6" s="1667"/>
    </row>
    <row r="7" spans="1:22">
      <c r="A7" s="2819">
        <f>'数据-取费表'!AN7</f>
        <v>0</v>
      </c>
      <c r="B7" s="2817" t="e">
        <f ca="1">IF(F7="是",'数据-取费表'!AO7,0)</f>
        <v>#REF!</v>
      </c>
      <c r="C7" s="2050" t="s">
        <v>2336</v>
      </c>
      <c r="D7" s="2926"/>
      <c r="E7" s="2821">
        <f>IF(OR(A7=0,F7="否"),0,'数据-取费表'!K7+'数据-取费表'!S7)</f>
        <v>0</v>
      </c>
      <c r="F7" s="2054" t="s">
        <v>2342</v>
      </c>
      <c r="G7" s="1667"/>
      <c r="H7" s="1667"/>
      <c r="I7" s="1667"/>
      <c r="J7" s="1667"/>
      <c r="K7" s="1667"/>
      <c r="L7" s="1667"/>
      <c r="M7" s="1667"/>
      <c r="N7" s="1667"/>
      <c r="O7" s="1667"/>
      <c r="P7" s="1667"/>
      <c r="Q7" s="1667"/>
      <c r="R7" s="1667"/>
      <c r="S7" s="1667"/>
    </row>
    <row r="8" spans="1:22">
      <c r="A8" s="2819">
        <f>'数据-取费表'!AN8</f>
        <v>0</v>
      </c>
      <c r="B8" s="2817" t="e">
        <f ca="1">IF(F8="是",'数据-取费表'!AO8,0)</f>
        <v>#REF!</v>
      </c>
      <c r="C8" s="2050" t="s">
        <v>2336</v>
      </c>
      <c r="D8" s="2926"/>
      <c r="E8" s="2821">
        <f>IF(OR(A8=0,F8="否"),0,'数据-取费表'!K8+'数据-取费表'!S8)</f>
        <v>0</v>
      </c>
      <c r="F8" s="2054" t="s">
        <v>2342</v>
      </c>
      <c r="G8" s="1667"/>
      <c r="H8" s="1667"/>
      <c r="I8" s="1667"/>
      <c r="J8" s="1667"/>
      <c r="K8" s="1667"/>
      <c r="L8" s="1667"/>
      <c r="M8" s="1667"/>
      <c r="N8" s="1667"/>
      <c r="O8" s="1667"/>
      <c r="P8" s="1667"/>
      <c r="Q8" s="1667"/>
      <c r="R8" s="1667"/>
      <c r="S8" s="1667"/>
    </row>
    <row r="9" spans="1:22">
      <c r="A9" s="2819" t="str">
        <f>'数据-取费表'!AN9</f>
        <v>收益法</v>
      </c>
      <c r="B9" s="2817">
        <f ca="1">IF(F9="是",'数据-取费表'!AO9,0)</f>
        <v>36654</v>
      </c>
      <c r="C9" s="2050" t="s">
        <v>2336</v>
      </c>
      <c r="D9" s="2926"/>
      <c r="E9" s="2821">
        <f>IF(OR(A9=0,F9="否"),0,'数据-取费表'!K9+'数据-取费表'!S9)</f>
        <v>32537.82</v>
      </c>
      <c r="F9" s="2054" t="s">
        <v>2342</v>
      </c>
      <c r="G9" s="1667"/>
      <c r="H9" s="1667"/>
      <c r="I9" s="1667"/>
      <c r="J9" s="1667"/>
      <c r="K9" s="1667"/>
      <c r="L9" s="1667"/>
      <c r="M9" s="1667"/>
      <c r="N9" s="1667"/>
      <c r="O9" s="1667"/>
      <c r="P9" s="1667"/>
      <c r="Q9" s="1667"/>
      <c r="R9" s="1667"/>
      <c r="S9" s="1667"/>
    </row>
    <row r="10" spans="1:22">
      <c r="A10" s="2819">
        <f>'数据-取费表'!AN10</f>
        <v>0</v>
      </c>
      <c r="B10" s="2817" t="e">
        <f ca="1">IF(F10="是",'数据-取费表'!AO10,0)</f>
        <v>#REF!</v>
      </c>
      <c r="C10" s="2050" t="s">
        <v>2336</v>
      </c>
      <c r="D10" s="2926"/>
      <c r="E10" s="2821">
        <f>IF(OR(A10=0,F10="否"),0,'数据-取费表'!K10+'数据-取费表'!S10)</f>
        <v>0</v>
      </c>
      <c r="F10" s="2054" t="s">
        <v>2342</v>
      </c>
      <c r="G10" s="1667"/>
      <c r="H10" s="1667"/>
      <c r="I10" s="1667"/>
      <c r="J10" s="1667"/>
      <c r="K10" s="1667"/>
      <c r="L10" s="1667"/>
      <c r="M10" s="1667"/>
      <c r="N10" s="1667"/>
      <c r="O10" s="1667"/>
      <c r="P10" s="1667"/>
      <c r="Q10" s="1667"/>
      <c r="R10" s="1667"/>
      <c r="S10" s="1667"/>
    </row>
    <row r="11" spans="1:22">
      <c r="A11" s="2819">
        <f>'数据-取费表'!AN11</f>
        <v>0</v>
      </c>
      <c r="B11" s="2817" t="e">
        <f ca="1">IF(F11="是",'数据-取费表'!AO11,0)</f>
        <v>#REF!</v>
      </c>
      <c r="C11" s="2050" t="s">
        <v>2336</v>
      </c>
      <c r="D11" s="2926"/>
      <c r="E11" s="2821">
        <f>IF(OR(A11=0,F11="否"),0,'数据-取费表'!K11+'数据-取费表'!S11)</f>
        <v>0</v>
      </c>
      <c r="F11" s="2054" t="s">
        <v>2342</v>
      </c>
      <c r="G11" s="1667"/>
      <c r="H11" s="1667"/>
      <c r="I11" s="1667"/>
      <c r="J11" s="1667"/>
      <c r="K11" s="1667"/>
      <c r="L11" s="1667"/>
      <c r="M11" s="1667"/>
      <c r="N11" s="1667"/>
      <c r="O11" s="1667"/>
      <c r="P11" s="1667"/>
      <c r="Q11" s="1667"/>
      <c r="R11" s="1667"/>
      <c r="S11" s="1667"/>
    </row>
    <row r="12" spans="1:22">
      <c r="A12" s="2819" t="str">
        <f>'数据-取费表'!AN12</f>
        <v>收益法（地下仓储）</v>
      </c>
      <c r="B12" s="2817">
        <f ca="1">IF(F12="是",'数据-取费表'!AO12,0)</f>
        <v>2175</v>
      </c>
      <c r="C12" s="2050" t="s">
        <v>2336</v>
      </c>
      <c r="D12" s="2926"/>
      <c r="E12" s="2821">
        <f>IF(OR(A12=0,F12="否"),0,'数据-取费表'!K12+'数据-取费表'!S12)</f>
        <v>4957.7199999999993</v>
      </c>
      <c r="F12" s="2054" t="s">
        <v>2342</v>
      </c>
      <c r="G12" s="1667"/>
      <c r="H12" s="1667"/>
      <c r="I12" s="1667"/>
      <c r="J12" s="1667"/>
      <c r="K12" s="1667"/>
      <c r="L12" s="1667"/>
      <c r="M12" s="1667"/>
      <c r="N12" s="1667"/>
      <c r="O12" s="1667"/>
      <c r="P12" s="1667"/>
      <c r="Q12" s="1667"/>
      <c r="R12" s="1667"/>
      <c r="S12" s="1667"/>
    </row>
    <row r="13" spans="1:22" ht="15" thickBot="1">
      <c r="A13" s="2820" t="str">
        <f>'数据-取费表'!AN13</f>
        <v>收益法（商业）</v>
      </c>
      <c r="B13" s="2817">
        <f ca="1">IF(F13="是",'数据-取费表'!AO13,0)</f>
        <v>1374</v>
      </c>
      <c r="C13" s="2055" t="s">
        <v>2336</v>
      </c>
      <c r="D13" s="2927"/>
      <c r="E13" s="2821">
        <f>IF(OR(A13=0,F13="否"),0,'数据-取费表'!K13+'数据-取费表'!S13)</f>
        <v>645.96</v>
      </c>
      <c r="F13" s="2054" t="s">
        <v>2342</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60" t="s">
        <v>1044</v>
      </c>
      <c r="B1" s="3561"/>
      <c r="C1" s="3562"/>
      <c r="D1" s="3563">
        <f>SUM(I10,I15,I20,I21,I23)</f>
        <v>0</v>
      </c>
      <c r="E1" s="3563"/>
      <c r="F1" s="3563"/>
      <c r="G1" s="3563"/>
      <c r="H1" s="3563"/>
      <c r="I1" s="3564"/>
    </row>
    <row r="2" spans="1:9">
      <c r="A2" s="3565" t="s">
        <v>1045</v>
      </c>
      <c r="B2" s="3566" t="s">
        <v>1046</v>
      </c>
      <c r="C2" s="3566"/>
      <c r="D2" s="1205" t="s">
        <v>1047</v>
      </c>
      <c r="E2" s="1205" t="s">
        <v>1048</v>
      </c>
      <c r="F2" s="1205" t="s">
        <v>1049</v>
      </c>
      <c r="G2" s="1205" t="s">
        <v>1050</v>
      </c>
      <c r="H2" s="1205" t="s">
        <v>1051</v>
      </c>
      <c r="I2" s="1206" t="s">
        <v>1052</v>
      </c>
    </row>
    <row r="3" spans="1:9">
      <c r="A3" s="3565"/>
      <c r="B3" s="3566" t="s">
        <v>1053</v>
      </c>
      <c r="C3" s="3566"/>
      <c r="D3" s="1207"/>
      <c r="E3" s="1205"/>
      <c r="F3" s="1208"/>
      <c r="G3" s="1208"/>
      <c r="H3" s="1209"/>
      <c r="I3" s="1210">
        <f>ROUND(D3*E3*F3*G3*H3/10000,0)</f>
        <v>0</v>
      </c>
    </row>
    <row r="4" spans="1:9">
      <c r="A4" s="3565"/>
      <c r="B4" s="3566" t="s">
        <v>1054</v>
      </c>
      <c r="C4" s="3566"/>
      <c r="D4" s="1207"/>
      <c r="E4" s="1205"/>
      <c r="F4" s="1208"/>
      <c r="G4" s="1208"/>
      <c r="H4" s="1209"/>
      <c r="I4" s="1210">
        <f t="shared" ref="I4:I9" si="0">ROUND(D4*E4*F4*G4*H4/10000,0)</f>
        <v>0</v>
      </c>
    </row>
    <row r="5" spans="1:9">
      <c r="A5" s="3565"/>
      <c r="B5" s="3566" t="s">
        <v>1055</v>
      </c>
      <c r="C5" s="3566"/>
      <c r="D5" s="1207"/>
      <c r="E5" s="1205"/>
      <c r="F5" s="1208"/>
      <c r="G5" s="1208"/>
      <c r="H5" s="1209"/>
      <c r="I5" s="1210">
        <f t="shared" si="0"/>
        <v>0</v>
      </c>
    </row>
    <row r="6" spans="1:9">
      <c r="A6" s="3565"/>
      <c r="B6" s="3566" t="s">
        <v>1056</v>
      </c>
      <c r="C6" s="3566"/>
      <c r="D6" s="1207"/>
      <c r="E6" s="1205"/>
      <c r="F6" s="1208"/>
      <c r="G6" s="1208"/>
      <c r="H6" s="1209"/>
      <c r="I6" s="1210">
        <f t="shared" si="0"/>
        <v>0</v>
      </c>
    </row>
    <row r="7" spans="1:9">
      <c r="A7" s="3565"/>
      <c r="B7" s="3566" t="s">
        <v>1057</v>
      </c>
      <c r="C7" s="3566"/>
      <c r="D7" s="1207"/>
      <c r="E7" s="1205"/>
      <c r="F7" s="1208"/>
      <c r="G7" s="1208"/>
      <c r="H7" s="1209"/>
      <c r="I7" s="1210">
        <f t="shared" si="0"/>
        <v>0</v>
      </c>
    </row>
    <row r="8" spans="1:9">
      <c r="A8" s="3565"/>
      <c r="B8" s="3566" t="s">
        <v>1058</v>
      </c>
      <c r="C8" s="3566"/>
      <c r="D8" s="1207"/>
      <c r="E8" s="1205"/>
      <c r="F8" s="1208"/>
      <c r="G8" s="1208"/>
      <c r="H8" s="1209"/>
      <c r="I8" s="1210">
        <f t="shared" si="0"/>
        <v>0</v>
      </c>
    </row>
    <row r="9" spans="1:9">
      <c r="A9" s="3565"/>
      <c r="B9" s="3566" t="s">
        <v>1059</v>
      </c>
      <c r="C9" s="3566"/>
      <c r="D9" s="1207"/>
      <c r="E9" s="1205"/>
      <c r="F9" s="1208"/>
      <c r="G9" s="1208"/>
      <c r="H9" s="1209"/>
      <c r="I9" s="1210">
        <f t="shared" si="0"/>
        <v>0</v>
      </c>
    </row>
    <row r="10" spans="1:9">
      <c r="A10" s="3565"/>
      <c r="B10" s="3567" t="s">
        <v>1060</v>
      </c>
      <c r="C10" s="3567"/>
      <c r="D10" s="1211"/>
      <c r="E10" s="1211" t="e">
        <f>ROUND(D1*10000/D10/H9,0)</f>
        <v>#DIV/0!</v>
      </c>
      <c r="F10" s="1212"/>
      <c r="G10" s="1212"/>
      <c r="H10" s="1213"/>
      <c r="I10" s="1214">
        <f>SUM(I3:I9)</f>
        <v>0</v>
      </c>
    </row>
    <row r="11" spans="1:9" ht="14.25">
      <c r="A11" s="3565" t="s">
        <v>1061</v>
      </c>
      <c r="B11" s="3566" t="s">
        <v>1062</v>
      </c>
      <c r="C11" s="3566"/>
      <c r="D11" s="1207" t="s">
        <v>1063</v>
      </c>
      <c r="E11" s="1207" t="s">
        <v>1064</v>
      </c>
      <c r="F11" s="1208" t="s">
        <v>1065</v>
      </c>
      <c r="G11" s="1208" t="s">
        <v>1051</v>
      </c>
      <c r="H11" s="1215" t="s">
        <v>1066</v>
      </c>
      <c r="I11" s="1206" t="s">
        <v>1052</v>
      </c>
    </row>
    <row r="12" spans="1:9">
      <c r="A12" s="3565"/>
      <c r="B12" s="3566" t="s">
        <v>1067</v>
      </c>
      <c r="C12" s="3566"/>
      <c r="D12" s="1207"/>
      <c r="E12" s="1207"/>
      <c r="F12" s="1208"/>
      <c r="G12" s="1209"/>
      <c r="H12" s="1216"/>
      <c r="I12" s="1206">
        <f>ROUND(D12*E12*F12*G12/10000,0)</f>
        <v>0</v>
      </c>
    </row>
    <row r="13" spans="1:9">
      <c r="A13" s="3565"/>
      <c r="B13" s="3566" t="s">
        <v>1068</v>
      </c>
      <c r="C13" s="3566"/>
      <c r="D13" s="1207"/>
      <c r="E13" s="1207"/>
      <c r="F13" s="1208"/>
      <c r="G13" s="1209"/>
      <c r="H13" s="1216"/>
      <c r="I13" s="1206">
        <f>ROUND(D13*E13*F13*G13/10000,0)</f>
        <v>0</v>
      </c>
    </row>
    <row r="14" spans="1:9">
      <c r="A14" s="3565"/>
      <c r="B14" s="3566" t="s">
        <v>1069</v>
      </c>
      <c r="C14" s="3566"/>
      <c r="D14" s="1207"/>
      <c r="E14" s="1207"/>
      <c r="F14" s="1208"/>
      <c r="G14" s="1209"/>
      <c r="H14" s="1216"/>
      <c r="I14" s="1206">
        <f>ROUND(D14*E14*F14*G14/10000,0)</f>
        <v>0</v>
      </c>
    </row>
    <row r="15" spans="1:9">
      <c r="A15" s="3565"/>
      <c r="B15" s="3567" t="s">
        <v>1060</v>
      </c>
      <c r="C15" s="3567"/>
      <c r="D15" s="1211"/>
      <c r="E15" s="1211">
        <f>SUM(E12:E14)</f>
        <v>0</v>
      </c>
      <c r="F15" s="1212"/>
      <c r="G15" s="1209"/>
      <c r="H15" s="1216"/>
      <c r="I15" s="1217">
        <f>SUM(I12:I14)</f>
        <v>0</v>
      </c>
    </row>
    <row r="16" spans="1:9" ht="24">
      <c r="A16" s="3565" t="s">
        <v>1070</v>
      </c>
      <c r="B16" s="3566" t="s">
        <v>1071</v>
      </c>
      <c r="C16" s="3566"/>
      <c r="D16" s="1207" t="s">
        <v>1047</v>
      </c>
      <c r="E16" s="1218" t="s">
        <v>1072</v>
      </c>
      <c r="F16" s="1208" t="s">
        <v>1073</v>
      </c>
      <c r="G16" s="1209" t="s">
        <v>1051</v>
      </c>
      <c r="H16" s="1215" t="s">
        <v>1066</v>
      </c>
      <c r="I16" s="1206" t="s">
        <v>1052</v>
      </c>
    </row>
    <row r="17" spans="1:9" ht="14.25">
      <c r="A17" s="3565"/>
      <c r="B17" s="3566" t="s">
        <v>1074</v>
      </c>
      <c r="C17" s="3566"/>
      <c r="D17" s="1207"/>
      <c r="E17" s="1207"/>
      <c r="F17" s="1208"/>
      <c r="G17" s="1209"/>
      <c r="H17" s="1219"/>
      <c r="I17" s="1220">
        <f>ROUND(D17*E17*F17*G17/10000,0)</f>
        <v>0</v>
      </c>
    </row>
    <row r="18" spans="1:9" ht="14.25">
      <c r="A18" s="3565"/>
      <c r="B18" s="3566" t="s">
        <v>1075</v>
      </c>
      <c r="C18" s="3566"/>
      <c r="D18" s="1207"/>
      <c r="E18" s="1207"/>
      <c r="F18" s="1208"/>
      <c r="G18" s="1209"/>
      <c r="H18" s="1219"/>
      <c r="I18" s="1220">
        <f>ROUND(D18*E18*F18*G18/10000,0)</f>
        <v>0</v>
      </c>
    </row>
    <row r="19" spans="1:9" ht="14.25">
      <c r="A19" s="3565"/>
      <c r="B19" s="3566" t="s">
        <v>1076</v>
      </c>
      <c r="C19" s="3566"/>
      <c r="D19" s="1207"/>
      <c r="E19" s="1207"/>
      <c r="F19" s="1208"/>
      <c r="G19" s="1209"/>
      <c r="H19" s="1219"/>
      <c r="I19" s="1220">
        <f>ROUND(D19*E19*F19*G19/10000,0)</f>
        <v>0</v>
      </c>
    </row>
    <row r="20" spans="1:9">
      <c r="A20" s="3565"/>
      <c r="B20" s="3567" t="s">
        <v>1060</v>
      </c>
      <c r="C20" s="3567"/>
      <c r="D20" s="1211">
        <f>SUM(D17:D19)</f>
        <v>0</v>
      </c>
      <c r="E20" s="1211"/>
      <c r="F20" s="1212"/>
      <c r="G20" s="1209"/>
      <c r="H20" s="1216"/>
      <c r="I20" s="1217">
        <f>SUM(I17:I19)</f>
        <v>0</v>
      </c>
    </row>
    <row r="21" spans="1:9">
      <c r="A21" s="3565" t="s">
        <v>1077</v>
      </c>
      <c r="B21" s="3569"/>
      <c r="C21" s="3569"/>
      <c r="D21" s="3569"/>
      <c r="E21" s="3569"/>
      <c r="F21" s="3569"/>
      <c r="G21" s="3569"/>
      <c r="H21" s="1495">
        <v>0.1</v>
      </c>
      <c r="I21" s="1214">
        <f>ROUND(I10*H21,0)</f>
        <v>0</v>
      </c>
    </row>
    <row r="22" spans="1:9" ht="14.25">
      <c r="A22" s="3570" t="s">
        <v>1078</v>
      </c>
      <c r="B22" s="3571"/>
      <c r="C22" s="3572"/>
      <c r="D22" s="1221" t="s">
        <v>1079</v>
      </c>
      <c r="E22" s="1221" t="s">
        <v>1080</v>
      </c>
      <c r="F22" s="1222" t="s">
        <v>1081</v>
      </c>
      <c r="G22" s="1222" t="s">
        <v>1082</v>
      </c>
      <c r="H22" s="1215" t="s">
        <v>1083</v>
      </c>
      <c r="I22" s="1206" t="s">
        <v>1084</v>
      </c>
    </row>
    <row r="23" spans="1:9" ht="14.25" thickBot="1">
      <c r="A23" s="3573"/>
      <c r="B23" s="3574"/>
      <c r="C23" s="3575"/>
      <c r="D23" s="1223"/>
      <c r="E23" s="1223"/>
      <c r="F23" s="1223"/>
      <c r="G23" s="1224"/>
      <c r="H23" s="1225"/>
      <c r="I23" s="1226">
        <f>ROUND(E23*D23*F23*(1-G23)/10000,0)</f>
        <v>0</v>
      </c>
    </row>
    <row r="26" spans="1:9">
      <c r="A26" s="1227" t="s">
        <v>1085</v>
      </c>
      <c r="B26" s="1227"/>
      <c r="C26" s="1227"/>
      <c r="D26" s="1227"/>
      <c r="E26" s="3576">
        <f>C27-C30-C31-C32</f>
        <v>0</v>
      </c>
      <c r="F26" s="3576"/>
      <c r="G26" s="3576"/>
      <c r="H26" s="1492" t="s">
        <v>1306</v>
      </c>
    </row>
    <row r="27" spans="1:9">
      <c r="A27" s="1228">
        <v>1</v>
      </c>
      <c r="B27" s="1229" t="s">
        <v>1086</v>
      </c>
      <c r="C27" s="1229">
        <f>C28+C29</f>
        <v>0</v>
      </c>
      <c r="D27" s="1229"/>
      <c r="E27" s="3577"/>
      <c r="F27" s="3577"/>
      <c r="G27" s="3577"/>
    </row>
    <row r="28" spans="1:9">
      <c r="A28" s="1230" t="s">
        <v>1087</v>
      </c>
      <c r="B28" s="1229" t="s">
        <v>1088</v>
      </c>
      <c r="C28" s="1229"/>
      <c r="D28" s="1229"/>
      <c r="E28" s="3577"/>
      <c r="F28" s="3577"/>
      <c r="G28" s="3577"/>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568"/>
      <c r="F32" s="3568"/>
      <c r="G32" s="3568"/>
    </row>
    <row r="33" spans="1:7" hidden="1">
      <c r="A33" s="3578" t="s">
        <v>1097</v>
      </c>
      <c r="B33" s="3579"/>
      <c r="C33" s="3579"/>
      <c r="D33" s="3580"/>
      <c r="E33" s="3576"/>
      <c r="F33" s="3576"/>
      <c r="G33" s="3576"/>
    </row>
    <row r="34" spans="1:7" hidden="1">
      <c r="A34" s="1232">
        <v>1</v>
      </c>
      <c r="B34" s="1229" t="s">
        <v>1098</v>
      </c>
      <c r="C34" s="1229"/>
      <c r="D34" s="1229"/>
      <c r="E34" s="3577"/>
      <c r="F34" s="3577"/>
      <c r="G34" s="3577"/>
    </row>
    <row r="35" spans="1:7" hidden="1">
      <c r="A35" s="1232">
        <v>2</v>
      </c>
      <c r="B35" s="1229" t="s">
        <v>1099</v>
      </c>
      <c r="C35" s="1229"/>
      <c r="D35" s="1229"/>
      <c r="E35" s="3577"/>
      <c r="F35" s="3577"/>
      <c r="G35" s="3577"/>
    </row>
    <row r="36" spans="1:7" hidden="1">
      <c r="A36" s="1232">
        <v>3</v>
      </c>
      <c r="B36" s="1229" t="s">
        <v>1100</v>
      </c>
      <c r="C36" s="1229"/>
      <c r="D36" s="1229"/>
      <c r="E36" s="3577"/>
      <c r="F36" s="3577"/>
      <c r="G36" s="3577"/>
    </row>
    <row r="37" spans="1:7" hidden="1">
      <c r="A37" s="1232">
        <v>4</v>
      </c>
      <c r="B37" s="1229" t="s">
        <v>1101</v>
      </c>
      <c r="C37" s="1229"/>
      <c r="D37" s="1229"/>
      <c r="E37" s="3577"/>
      <c r="F37" s="3577"/>
      <c r="G37" s="3577"/>
    </row>
    <row r="38" spans="1:7" hidden="1">
      <c r="A38" s="3578" t="s">
        <v>1102</v>
      </c>
      <c r="B38" s="3579"/>
      <c r="C38" s="3579"/>
      <c r="D38" s="3580"/>
      <c r="E38" s="3576"/>
      <c r="F38" s="3576"/>
      <c r="G38" s="35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D132"/>
  <sheetViews>
    <sheetView view="pageBreakPreview" topLeftCell="A24" zoomScaleNormal="60" zoomScaleSheetLayoutView="100" workbookViewId="0">
      <selection activeCell="E66" sqref="E66"/>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2561</v>
      </c>
      <c r="B1" s="350"/>
      <c r="C1" s="351" t="s">
        <v>2562</v>
      </c>
      <c r="D1" s="690"/>
      <c r="E1" s="690"/>
      <c r="F1" s="689" t="s">
        <v>2460</v>
      </c>
      <c r="G1" s="690"/>
      <c r="H1" s="690"/>
      <c r="I1" s="690"/>
      <c r="J1" s="690"/>
      <c r="K1" s="691"/>
      <c r="L1" s="692"/>
      <c r="M1" s="693"/>
      <c r="N1" s="693"/>
      <c r="O1" s="693"/>
      <c r="P1" s="703"/>
      <c r="Q1" s="703"/>
      <c r="R1" s="703"/>
      <c r="S1" s="703"/>
      <c r="T1" s="703"/>
      <c r="U1" s="703"/>
      <c r="V1" s="703"/>
      <c r="W1" s="703"/>
      <c r="X1" s="703"/>
      <c r="Y1" s="703"/>
      <c r="Z1" s="703"/>
      <c r="AA1" s="703"/>
      <c r="AB1" s="703"/>
      <c r="AC1" s="704"/>
      <c r="AD1" s="352"/>
    </row>
    <row r="2" spans="1:30" s="353" customFormat="1" ht="28.5" customHeight="1">
      <c r="A2" s="202" t="s">
        <v>2147</v>
      </c>
      <c r="B2" s="622">
        <f>F66</f>
        <v>191835</v>
      </c>
      <c r="C2" s="1032"/>
      <c r="D2" s="1032"/>
      <c r="E2" s="1033"/>
      <c r="F2" s="1034"/>
      <c r="G2" s="1033"/>
      <c r="H2" s="1033"/>
      <c r="I2" s="1033"/>
      <c r="J2" s="1033"/>
      <c r="K2" s="1035"/>
      <c r="L2" s="2951"/>
      <c r="M2" s="2952"/>
      <c r="N2" s="2952"/>
      <c r="O2" s="2952"/>
      <c r="P2" s="703"/>
      <c r="Q2" s="703"/>
      <c r="R2" s="703"/>
      <c r="S2" s="703"/>
      <c r="T2" s="703"/>
      <c r="U2" s="703"/>
      <c r="V2" s="703"/>
      <c r="W2" s="703"/>
      <c r="X2" s="703"/>
      <c r="Y2" s="703"/>
      <c r="Z2" s="703"/>
      <c r="AA2" s="703"/>
      <c r="AB2" s="703"/>
      <c r="AC2" s="704"/>
      <c r="AD2" s="352"/>
    </row>
    <row r="3" spans="1:30" s="353" customFormat="1" ht="28.5" customHeight="1" thickBot="1">
      <c r="A3" s="204" t="s">
        <v>2149</v>
      </c>
      <c r="B3" s="561">
        <f>ROUND(IF(D3="",B2*10000/'数据-汇总表'!E3,B2*10000/D3),0)</f>
        <v>22199</v>
      </c>
      <c r="C3" s="204" t="s">
        <v>2563</v>
      </c>
      <c r="D3" s="1348"/>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30"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30" ht="63.75" customHeight="1">
      <c r="A5" s="359"/>
      <c r="B5" s="360"/>
      <c r="C5" s="3592" t="s">
        <v>3388</v>
      </c>
      <c r="D5" s="3593"/>
      <c r="E5" s="3590" t="str">
        <f>土地案例!A2</f>
        <v>北京市顺义新城第23街区新国展三期项目(原22街区南部)22-02-007-1、22-02-007-2地块R2二类居住用地</v>
      </c>
      <c r="F5" s="3591"/>
      <c r="G5" s="3592" t="str">
        <f>土地案例!A19</f>
        <v>北京市顺义区后沙峪镇马头庄村SY00-0019-6007地块R2二类居住用地</v>
      </c>
      <c r="H5" s="3593"/>
      <c r="I5" s="3592" t="str">
        <f>土地案例!A17</f>
        <v>北京市顺义区后沙峪镇顺义新城第19街区SY00-0019-0075地块R2二类居住用地</v>
      </c>
      <c r="J5" s="3593"/>
      <c r="K5" s="562"/>
      <c r="L5" s="2932"/>
      <c r="M5" s="2933"/>
      <c r="N5" s="2933"/>
      <c r="O5" s="2933"/>
      <c r="P5" s="3605"/>
      <c r="Q5" s="3606"/>
      <c r="R5" s="3588"/>
      <c r="S5" s="3589"/>
      <c r="T5" s="3588"/>
      <c r="U5" s="3589"/>
      <c r="V5" s="3611"/>
      <c r="W5" s="3611"/>
      <c r="X5" s="1532"/>
      <c r="Y5" s="3588"/>
      <c r="Z5" s="3589"/>
      <c r="AA5" s="3582"/>
      <c r="AB5" s="3582"/>
      <c r="AC5" s="3582"/>
    </row>
    <row r="6" spans="1:30" ht="15.75" thickBot="1">
      <c r="A6" s="361"/>
      <c r="B6" s="362"/>
      <c r="C6" s="3594" t="s">
        <v>2614</v>
      </c>
      <c r="D6" s="3595"/>
      <c r="E6" s="3596" t="s">
        <v>2614</v>
      </c>
      <c r="F6" s="3597"/>
      <c r="G6" s="3594" t="s">
        <v>2614</v>
      </c>
      <c r="H6" s="3595"/>
      <c r="I6" s="3594" t="s">
        <v>2614</v>
      </c>
      <c r="J6" s="3595"/>
      <c r="K6" s="562" t="s">
        <v>2364</v>
      </c>
      <c r="L6" s="2932"/>
      <c r="M6" s="2933"/>
      <c r="N6" s="2933"/>
      <c r="O6" s="2933"/>
      <c r="P6" s="3607"/>
      <c r="Q6" s="3608"/>
      <c r="R6" s="3588"/>
      <c r="S6" s="3589"/>
      <c r="T6" s="3609"/>
      <c r="U6" s="3610"/>
      <c r="V6" s="3611"/>
      <c r="W6" s="3611"/>
      <c r="X6" s="1532"/>
      <c r="Y6" s="3609"/>
      <c r="Z6" s="3610"/>
      <c r="AA6" s="3583"/>
      <c r="AB6" s="3583"/>
      <c r="AC6" s="3583"/>
    </row>
    <row r="7" spans="1:30" s="108" customFormat="1" ht="15.75" thickBot="1">
      <c r="A7" s="363" t="s">
        <v>2365</v>
      </c>
      <c r="B7" s="364"/>
      <c r="C7" s="365">
        <f>'数据-取费表'!B2</f>
        <v>44568</v>
      </c>
      <c r="D7" s="366">
        <v>100</v>
      </c>
      <c r="E7" s="367" t="str">
        <f>土地案例!L2</f>
        <v>2021-02-02</v>
      </c>
      <c r="F7" s="368">
        <f>SUMIF(70:70,YEAR(E7)&amp;"-"&amp;INT((MONTH(E7)+2)/3),71:71)</f>
        <v>100</v>
      </c>
      <c r="G7" s="2152" t="str">
        <f>土地案例!L19</f>
        <v>2018-07-04</v>
      </c>
      <c r="H7" s="366">
        <f>SUMIF(70:70,YEAR(G7)&amp;"-"&amp;INT((MONTH(G7)+2)/3),71:71)</f>
        <v>96.5</v>
      </c>
      <c r="I7" s="2152" t="str">
        <f>土地案例!L17</f>
        <v>2018-11-26</v>
      </c>
      <c r="J7" s="366">
        <f>SUMIF(70:70,YEAR(I7)&amp;"-"&amp;INT((MONTH(I7)+2)/3),71:71)</f>
        <v>97</v>
      </c>
      <c r="K7" s="563"/>
      <c r="L7" s="2934"/>
      <c r="M7" s="2935"/>
      <c r="N7" s="2935"/>
      <c r="O7" s="2935"/>
      <c r="P7" s="3584" t="s">
        <v>2366</v>
      </c>
      <c r="Q7" s="3612"/>
      <c r="R7" s="705" t="s">
        <v>17</v>
      </c>
      <c r="S7" s="706">
        <f t="shared" ref="S7:S15" si="0">F7</f>
        <v>100</v>
      </c>
      <c r="T7" s="705" t="s">
        <v>17</v>
      </c>
      <c r="U7" s="706">
        <f t="shared" ref="U7:U15" si="1">H7</f>
        <v>96.5</v>
      </c>
      <c r="V7" s="705" t="s">
        <v>17</v>
      </c>
      <c r="W7" s="706">
        <f t="shared" ref="W7:W15" si="2">J7</f>
        <v>97</v>
      </c>
      <c r="X7" s="707"/>
      <c r="Y7" s="3584" t="s">
        <v>2366</v>
      </c>
      <c r="Z7" s="3585"/>
      <c r="AA7" s="708">
        <f>D7/F7</f>
        <v>1</v>
      </c>
      <c r="AB7" s="708">
        <f>D7/H7</f>
        <v>1.0362694300518134</v>
      </c>
      <c r="AC7" s="708">
        <f>D7/J7</f>
        <v>1.0309278350515463</v>
      </c>
    </row>
    <row r="8" spans="1:30" s="108" customFormat="1" ht="15.75" thickBot="1">
      <c r="A8" s="363" t="s">
        <v>2367</v>
      </c>
      <c r="B8" s="364"/>
      <c r="C8" s="369" t="s">
        <v>2368</v>
      </c>
      <c r="D8" s="366">
        <v>100</v>
      </c>
      <c r="E8" s="369" t="s">
        <v>3258</v>
      </c>
      <c r="F8" s="368">
        <f>SUMIF(73:73,E8,74:74)-SUMIF(73:73,C8,74:74)+100</f>
        <v>100</v>
      </c>
      <c r="G8" s="369" t="s">
        <v>3258</v>
      </c>
      <c r="H8" s="366">
        <f>SUMIF(73:73,G8,74:74)-SUMIF(73:73,C8,74:74)+100</f>
        <v>100</v>
      </c>
      <c r="I8" s="369" t="s">
        <v>3258</v>
      </c>
      <c r="J8" s="366">
        <f>SUMIF(73:73,I8,74:74)-SUMIF(73:73,C8,74:74)+100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45" si="3">D8/F8</f>
        <v>1</v>
      </c>
      <c r="AB8" s="708">
        <f t="shared" ref="AB8:AB45" si="4">D8/H8</f>
        <v>1</v>
      </c>
      <c r="AC8" s="708">
        <f t="shared" ref="AC8:AC45" si="5">D8/J8</f>
        <v>1</v>
      </c>
    </row>
    <row r="9" spans="1:30" s="108" customFormat="1">
      <c r="A9" s="370" t="s">
        <v>2370</v>
      </c>
      <c r="B9" s="63" t="s">
        <v>2371</v>
      </c>
      <c r="C9" s="2155" t="s">
        <v>3058</v>
      </c>
      <c r="D9" s="126">
        <v>100</v>
      </c>
      <c r="E9" s="2155" t="s">
        <v>3058</v>
      </c>
      <c r="F9" s="126">
        <f>SUMIF(75:75,E9,76:76)-SUMIF(75:75,C9,76:76)+100</f>
        <v>100</v>
      </c>
      <c r="G9" s="2155" t="s">
        <v>3058</v>
      </c>
      <c r="H9" s="126">
        <f>SUMIF(75:75,G9,76:76)-SUMIF(75:75,C9,76:76)+100</f>
        <v>100</v>
      </c>
      <c r="I9" s="2155" t="s">
        <v>3058</v>
      </c>
      <c r="J9" s="126">
        <f>SUMIF(75:75,I9,76:76)-SUMIF(75:75,C9,76:76)+100</f>
        <v>100</v>
      </c>
      <c r="K9" s="563"/>
      <c r="L9" s="2934"/>
      <c r="M9" s="2935"/>
      <c r="N9" s="2935"/>
      <c r="O9" s="2989"/>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30" s="381" customFormat="1" ht="27">
      <c r="A10" s="375"/>
      <c r="B10" s="376" t="s">
        <v>2374</v>
      </c>
      <c r="C10" s="386"/>
      <c r="D10" s="127">
        <v>100</v>
      </c>
      <c r="E10" s="419"/>
      <c r="F10" s="127">
        <f>ROUND(100/'数据-取费表'!G16,0)</f>
        <v>102</v>
      </c>
      <c r="G10" s="417"/>
      <c r="H10" s="127">
        <f>ROUND(100/'数据-取费表'!G16,0)</f>
        <v>102</v>
      </c>
      <c r="I10" s="417"/>
      <c r="J10" s="127">
        <f>ROUND(100/'数据-取费表'!G16,0)</f>
        <v>102</v>
      </c>
      <c r="K10" s="623"/>
      <c r="L10" s="2936"/>
      <c r="M10" s="2937"/>
      <c r="N10" s="2937"/>
      <c r="O10" s="2990"/>
      <c r="P10" s="3598"/>
      <c r="Q10" s="1520" t="str">
        <f t="shared" si="6"/>
        <v>土地使用年限（年）</v>
      </c>
      <c r="R10" s="705" t="s">
        <v>17</v>
      </c>
      <c r="S10" s="706">
        <f t="shared" si="0"/>
        <v>102</v>
      </c>
      <c r="T10" s="705" t="s">
        <v>17</v>
      </c>
      <c r="U10" s="706">
        <f t="shared" si="1"/>
        <v>102</v>
      </c>
      <c r="V10" s="705" t="s">
        <v>17</v>
      </c>
      <c r="W10" s="706">
        <f t="shared" si="2"/>
        <v>102</v>
      </c>
      <c r="X10" s="707"/>
      <c r="Y10" s="3522"/>
      <c r="Z10" s="53" t="str">
        <f t="shared" si="7"/>
        <v>土地使用年限（年）</v>
      </c>
      <c r="AA10" s="708">
        <f t="shared" si="3"/>
        <v>0.98039215686274506</v>
      </c>
      <c r="AB10" s="708">
        <f t="shared" si="4"/>
        <v>0.98039215686274506</v>
      </c>
      <c r="AC10" s="708">
        <f t="shared" si="5"/>
        <v>0.98039215686274506</v>
      </c>
    </row>
    <row r="11" spans="1:30" ht="15">
      <c r="A11" s="382"/>
      <c r="B11" s="376" t="s">
        <v>2375</v>
      </c>
      <c r="C11" s="383">
        <v>1.01</v>
      </c>
      <c r="D11" s="127">
        <v>100</v>
      </c>
      <c r="E11" s="383">
        <v>2.5</v>
      </c>
      <c r="F11" s="127">
        <f>LOOKUP(E11,80:80,81:81)-LOOKUP(C11,80:80,81:81)+100</f>
        <v>85</v>
      </c>
      <c r="G11" s="384">
        <v>1.8</v>
      </c>
      <c r="H11" s="127">
        <f>LOOKUP(G11,80:80,81:81)-LOOKUP(C11,80:80,81:81)+100</f>
        <v>95</v>
      </c>
      <c r="I11" s="383">
        <v>2</v>
      </c>
      <c r="J11" s="127">
        <f>LOOKUP(I11,80:80,81:81)-LOOKUP(C11,80:80,81:81)+100</f>
        <v>90</v>
      </c>
      <c r="K11" s="624">
        <v>5</v>
      </c>
      <c r="L11" s="2938"/>
      <c r="M11" s="2933"/>
      <c r="N11" s="2933"/>
      <c r="O11" s="2991"/>
      <c r="P11" s="3598"/>
      <c r="Q11" s="1520" t="str">
        <f t="shared" si="6"/>
        <v>容积率</v>
      </c>
      <c r="R11" s="705" t="s">
        <v>17</v>
      </c>
      <c r="S11" s="706">
        <f t="shared" si="0"/>
        <v>85</v>
      </c>
      <c r="T11" s="705" t="s">
        <v>17</v>
      </c>
      <c r="U11" s="706">
        <f t="shared" si="1"/>
        <v>95</v>
      </c>
      <c r="V11" s="705" t="s">
        <v>17</v>
      </c>
      <c r="W11" s="706">
        <f t="shared" si="2"/>
        <v>90</v>
      </c>
      <c r="X11" s="707"/>
      <c r="Y11" s="3522"/>
      <c r="Z11" s="53" t="str">
        <f t="shared" si="7"/>
        <v>容积率</v>
      </c>
      <c r="AA11" s="708">
        <f t="shared" si="3"/>
        <v>1.1764705882352942</v>
      </c>
      <c r="AB11" s="708">
        <f t="shared" si="4"/>
        <v>1.0526315789473684</v>
      </c>
      <c r="AC11" s="708">
        <f t="shared" si="5"/>
        <v>1.1111111111111112</v>
      </c>
    </row>
    <row r="12" spans="1:30" s="108" customFormat="1" ht="15">
      <c r="A12" s="385"/>
      <c r="B12" s="2071" t="s">
        <v>2564</v>
      </c>
      <c r="C12" s="3091" t="s">
        <v>3380</v>
      </c>
      <c r="D12" s="387">
        <v>100</v>
      </c>
      <c r="E12" s="3098" t="s">
        <v>3381</v>
      </c>
      <c r="F12" s="127">
        <f>SUMIF(82:82,E12,83:83)-SUMIF(82:82,C12,83:83)+100</f>
        <v>97</v>
      </c>
      <c r="G12" s="3099" t="s">
        <v>3380</v>
      </c>
      <c r="H12" s="127">
        <f>SUMIF(82:82,G12,83:83)-SUMIF(82:82,C12,83:83)+100</f>
        <v>100</v>
      </c>
      <c r="I12" s="3098" t="s">
        <v>3380</v>
      </c>
      <c r="J12" s="127">
        <f>SUMIF(82:82,I12,83:83)-SUMIF(82:82,C12,83:83)+100</f>
        <v>100</v>
      </c>
      <c r="K12" s="623"/>
      <c r="L12" s="2934"/>
      <c r="M12" s="2935"/>
      <c r="N12" s="2935"/>
      <c r="O12" s="2989"/>
      <c r="P12" s="3598"/>
      <c r="Q12" s="1520" t="str">
        <f t="shared" si="6"/>
        <v>配建</v>
      </c>
      <c r="R12" s="705" t="s">
        <v>17</v>
      </c>
      <c r="S12" s="706">
        <f t="shared" si="0"/>
        <v>97</v>
      </c>
      <c r="T12" s="705" t="s">
        <v>17</v>
      </c>
      <c r="U12" s="706">
        <f t="shared" si="1"/>
        <v>100</v>
      </c>
      <c r="V12" s="705" t="s">
        <v>17</v>
      </c>
      <c r="W12" s="706">
        <f t="shared" si="2"/>
        <v>100</v>
      </c>
      <c r="X12" s="707"/>
      <c r="Y12" s="3522"/>
      <c r="Z12" s="53" t="str">
        <f t="shared" si="7"/>
        <v>配建</v>
      </c>
      <c r="AA12" s="708">
        <f>D12/F12</f>
        <v>1.0309278350515463</v>
      </c>
      <c r="AB12" s="708">
        <f>D12/H12</f>
        <v>1</v>
      </c>
      <c r="AC12" s="708">
        <f>D12/J12</f>
        <v>1</v>
      </c>
    </row>
    <row r="13" spans="1:30" ht="15">
      <c r="A13" s="382"/>
      <c r="B13" s="3083" t="s">
        <v>3349</v>
      </c>
      <c r="C13" s="388" t="s">
        <v>3391</v>
      </c>
      <c r="D13" s="389">
        <v>100</v>
      </c>
      <c r="E13" s="501" t="s">
        <v>3404</v>
      </c>
      <c r="F13" s="127">
        <f>SUMIF(84:84,E13,85:85)-SUMIF(84:84,C13,85:85)+100</f>
        <v>102</v>
      </c>
      <c r="G13" s="625">
        <v>0</v>
      </c>
      <c r="H13" s="389">
        <f>SUMIF(84:84,G13,85:85)-SUMIF(84:84,C13,85:85)+100</f>
        <v>108</v>
      </c>
      <c r="I13" s="625">
        <v>0</v>
      </c>
      <c r="J13" s="389">
        <f>SUMIF(84:84,I13,85:85)-SUMIF(84:84,C13,85:85)+100</f>
        <v>108</v>
      </c>
      <c r="K13" s="623"/>
      <c r="L13" s="2939"/>
      <c r="M13" s="2933"/>
      <c r="N13" s="2933"/>
      <c r="O13" s="2991"/>
      <c r="P13" s="3598"/>
      <c r="Q13" s="1520" t="str">
        <f t="shared" si="6"/>
        <v>自持</v>
      </c>
      <c r="R13" s="705" t="s">
        <v>17</v>
      </c>
      <c r="S13" s="706">
        <f t="shared" si="0"/>
        <v>102</v>
      </c>
      <c r="T13" s="705" t="s">
        <v>17</v>
      </c>
      <c r="U13" s="706">
        <f t="shared" si="1"/>
        <v>108</v>
      </c>
      <c r="V13" s="705" t="s">
        <v>17</v>
      </c>
      <c r="W13" s="706">
        <f t="shared" si="2"/>
        <v>108</v>
      </c>
      <c r="X13" s="707"/>
      <c r="Y13" s="3522"/>
      <c r="Z13" s="53" t="str">
        <f t="shared" si="7"/>
        <v>自持</v>
      </c>
      <c r="AA13" s="708">
        <f>D13/F13</f>
        <v>0.98039215686274506</v>
      </c>
      <c r="AB13" s="708">
        <f>D13/H13</f>
        <v>0.92592592592592593</v>
      </c>
      <c r="AC13" s="708">
        <f>D13/J13</f>
        <v>0.92592592592592593</v>
      </c>
    </row>
    <row r="14" spans="1:30" ht="15.75" thickBot="1">
      <c r="A14" s="390"/>
      <c r="B14" s="3087" t="s">
        <v>3353</v>
      </c>
      <c r="C14" s="391" t="s">
        <v>3392</v>
      </c>
      <c r="D14" s="392">
        <v>100</v>
      </c>
      <c r="E14" s="501" t="s">
        <v>3392</v>
      </c>
      <c r="F14" s="392">
        <f>SUMIF(86:86,E14,87:87)-SUMIF(86:86,C14,87:87)+100</f>
        <v>100</v>
      </c>
      <c r="G14" s="625" t="s">
        <v>3403</v>
      </c>
      <c r="H14" s="392">
        <f>SUMIF(86:86,G14,87:87)-SUMIF(86:86,C14,87:87)+100</f>
        <v>97</v>
      </c>
      <c r="I14" s="625" t="s">
        <v>3403</v>
      </c>
      <c r="J14" s="392">
        <f>SUMIF(86:86,I14,87:87)-SUMIF(86:86,C14,87:87)+100</f>
        <v>97</v>
      </c>
      <c r="K14" s="623"/>
      <c r="L14" s="2939"/>
      <c r="M14" s="2933"/>
      <c r="N14" s="2933"/>
      <c r="O14" s="2991"/>
      <c r="P14" s="3598"/>
      <c r="Q14" s="1520" t="str">
        <f t="shared" si="6"/>
        <v>限价区间</v>
      </c>
      <c r="R14" s="705" t="s">
        <v>17</v>
      </c>
      <c r="S14" s="706">
        <f t="shared" si="0"/>
        <v>100</v>
      </c>
      <c r="T14" s="705" t="s">
        <v>17</v>
      </c>
      <c r="U14" s="706">
        <f t="shared" si="1"/>
        <v>97</v>
      </c>
      <c r="V14" s="705" t="s">
        <v>17</v>
      </c>
      <c r="W14" s="706">
        <f t="shared" si="2"/>
        <v>97</v>
      </c>
      <c r="X14" s="707"/>
      <c r="Y14" s="3522"/>
      <c r="Z14" s="53" t="str">
        <f t="shared" si="7"/>
        <v>限价区间</v>
      </c>
      <c r="AA14" s="708">
        <f>D14/F14</f>
        <v>1</v>
      </c>
      <c r="AB14" s="708">
        <f>D14/H14</f>
        <v>1.0309278350515463</v>
      </c>
      <c r="AC14" s="708">
        <f>D14/J14</f>
        <v>1.0309278350515463</v>
      </c>
    </row>
    <row r="15" spans="1:30" ht="15">
      <c r="A15" s="394" t="s">
        <v>2376</v>
      </c>
      <c r="B15" s="61" t="s">
        <v>1942</v>
      </c>
      <c r="C15" s="2074" t="str">
        <f>估价对象房地状况!C15</f>
        <v>一般</v>
      </c>
      <c r="D15" s="395">
        <v>100</v>
      </c>
      <c r="E15" s="396"/>
      <c r="F15" s="395">
        <f>SUMIF(88:88,E16,89:89)-SUMIF(88:88,C16,89:89)+100</f>
        <v>105</v>
      </c>
      <c r="G15" s="396"/>
      <c r="H15" s="395">
        <f>SUMIF(88:88,G16,89:89)-SUMIF(88:88,C16,89:89)+100</f>
        <v>105</v>
      </c>
      <c r="I15" s="398"/>
      <c r="J15" s="395">
        <f>SUMIF(88:88,I16,89:89)-SUMIF(88:88,C16,89:89)+100</f>
        <v>105</v>
      </c>
      <c r="K15" s="624">
        <v>5</v>
      </c>
      <c r="L15" s="2939"/>
      <c r="M15" s="2933"/>
      <c r="N15" s="2933"/>
      <c r="O15" s="2991"/>
      <c r="P15" s="3613" t="s">
        <v>2377</v>
      </c>
      <c r="Q15" s="1529" t="str">
        <f t="shared" si="6"/>
        <v>居住社区成熟度</v>
      </c>
      <c r="R15" s="709" t="s">
        <v>17</v>
      </c>
      <c r="S15" s="710">
        <f t="shared" si="0"/>
        <v>105</v>
      </c>
      <c r="T15" s="709" t="s">
        <v>17</v>
      </c>
      <c r="U15" s="710">
        <f t="shared" si="1"/>
        <v>105</v>
      </c>
      <c r="V15" s="709" t="s">
        <v>17</v>
      </c>
      <c r="W15" s="710">
        <f t="shared" si="2"/>
        <v>105</v>
      </c>
      <c r="X15" s="1532"/>
      <c r="Y15" s="3613" t="s">
        <v>2377</v>
      </c>
      <c r="Z15" s="1533" t="str">
        <f t="shared" si="7"/>
        <v>居住社区成熟度</v>
      </c>
      <c r="AA15" s="1530">
        <f t="shared" si="3"/>
        <v>0.95238095238095233</v>
      </c>
      <c r="AB15" s="1530">
        <f t="shared" si="4"/>
        <v>0.95238095238095233</v>
      </c>
      <c r="AC15" s="1530">
        <f t="shared" si="5"/>
        <v>0.95238095238095233</v>
      </c>
    </row>
    <row r="16" spans="1:30" ht="15">
      <c r="A16" s="382"/>
      <c r="B16" s="400"/>
      <c r="C16" s="401" t="s">
        <v>3393</v>
      </c>
      <c r="D16" s="402"/>
      <c r="E16" s="2076" t="s">
        <v>3394</v>
      </c>
      <c r="F16" s="402"/>
      <c r="G16" s="2076" t="s">
        <v>3394</v>
      </c>
      <c r="H16" s="404"/>
      <c r="I16" s="2075" t="s">
        <v>3394</v>
      </c>
      <c r="J16" s="402"/>
      <c r="K16" s="623"/>
      <c r="L16" s="2939"/>
      <c r="M16" s="2933"/>
      <c r="N16" s="2933"/>
      <c r="O16" s="2991"/>
      <c r="P16" s="3614"/>
      <c r="Q16" s="1529"/>
      <c r="R16" s="709"/>
      <c r="S16" s="710"/>
      <c r="T16" s="709"/>
      <c r="U16" s="710"/>
      <c r="V16" s="709"/>
      <c r="W16" s="710"/>
      <c r="X16" s="1532"/>
      <c r="Y16" s="3614"/>
      <c r="Z16" s="1533"/>
      <c r="AA16" s="1530">
        <v>1</v>
      </c>
      <c r="AB16" s="1530">
        <v>1</v>
      </c>
      <c r="AC16" s="1530">
        <v>1</v>
      </c>
    </row>
    <row r="17" spans="1:29" ht="15" hidden="1">
      <c r="A17" s="382"/>
      <c r="B17" s="405" t="s">
        <v>2470</v>
      </c>
      <c r="C17" s="2133" t="str">
        <f>估价对象房地状况!C16</f>
        <v>较差</v>
      </c>
      <c r="D17" s="404">
        <v>100</v>
      </c>
      <c r="E17" s="406"/>
      <c r="F17" s="404">
        <f>SUMIF(90:90,E18,91:91)-SUMIF(90:90,C18,91:91)+100</f>
        <v>100</v>
      </c>
      <c r="G17" s="406"/>
      <c r="H17" s="409">
        <f>SUMIF(90:90,G18,91:91)-SUMIF(90:90,C18,91:91)+100</f>
        <v>100</v>
      </c>
      <c r="I17" s="408"/>
      <c r="J17" s="409">
        <f>SUMIF(90:90,I18,91:91)-SUMIF(90:90,C18,91:91)+100</f>
        <v>100</v>
      </c>
      <c r="K17" s="624"/>
      <c r="L17" s="2939"/>
      <c r="M17" s="2933"/>
      <c r="N17" s="2933"/>
      <c r="O17" s="2991"/>
      <c r="P17" s="3614"/>
      <c r="Q17" s="1529" t="str">
        <f>B17</f>
        <v>商业繁华度</v>
      </c>
      <c r="R17" s="709" t="s">
        <v>17</v>
      </c>
      <c r="S17" s="710">
        <f>F17</f>
        <v>100</v>
      </c>
      <c r="T17" s="709" t="s">
        <v>17</v>
      </c>
      <c r="U17" s="710">
        <f>H17</f>
        <v>100</v>
      </c>
      <c r="V17" s="709" t="s">
        <v>17</v>
      </c>
      <c r="W17" s="710">
        <f>J17</f>
        <v>100</v>
      </c>
      <c r="X17" s="1532"/>
      <c r="Y17" s="3614"/>
      <c r="Z17" s="1533" t="str">
        <f>Q17</f>
        <v>商业繁华度</v>
      </c>
      <c r="AA17" s="1530">
        <f t="shared" si="3"/>
        <v>1</v>
      </c>
      <c r="AB17" s="1530">
        <f t="shared" si="4"/>
        <v>1</v>
      </c>
      <c r="AC17" s="1530">
        <f t="shared" si="5"/>
        <v>1</v>
      </c>
    </row>
    <row r="18" spans="1:29" ht="15" hidden="1">
      <c r="A18" s="382"/>
      <c r="B18" s="410"/>
      <c r="C18" s="2079"/>
      <c r="D18" s="404"/>
      <c r="E18" s="2081"/>
      <c r="F18" s="404"/>
      <c r="G18" s="2081"/>
      <c r="H18" s="402"/>
      <c r="I18" s="2080"/>
      <c r="J18" s="402"/>
      <c r="K18" s="623"/>
      <c r="L18" s="2939"/>
      <c r="M18" s="2933"/>
      <c r="N18" s="2933"/>
      <c r="O18" s="2991"/>
      <c r="P18" s="3614"/>
      <c r="Q18" s="1529"/>
      <c r="R18" s="709"/>
      <c r="S18" s="710"/>
      <c r="T18" s="709"/>
      <c r="U18" s="710"/>
      <c r="V18" s="709"/>
      <c r="W18" s="710"/>
      <c r="X18" s="1532"/>
      <c r="Y18" s="3614"/>
      <c r="Z18" s="1533"/>
      <c r="AA18" s="1530">
        <v>1</v>
      </c>
      <c r="AB18" s="1530">
        <v>1</v>
      </c>
      <c r="AC18" s="1530">
        <v>1</v>
      </c>
    </row>
    <row r="19" spans="1:29" ht="15" hidden="1">
      <c r="A19" s="382"/>
      <c r="B19" s="405" t="s">
        <v>2504</v>
      </c>
      <c r="C19" s="2133">
        <f>估价对象房地状况!C17</f>
        <v>0</v>
      </c>
      <c r="D19" s="409">
        <v>100</v>
      </c>
      <c r="E19" s="411"/>
      <c r="F19" s="409">
        <f>SUMIF(92:92,E20,93:93)-SUMIF(92:92,C20,93:93)+100</f>
        <v>100</v>
      </c>
      <c r="G19" s="411"/>
      <c r="H19" s="404">
        <f>SUMIF(92:92,G20,93:93)-SUMIF(92:92,C20,93:93)+100</f>
        <v>100</v>
      </c>
      <c r="I19" s="413"/>
      <c r="J19" s="404">
        <f>SUMIF(92:92,I20,93:93)-SUMIF(92:92,C20,93:93)+100</f>
        <v>100</v>
      </c>
      <c r="K19" s="624"/>
      <c r="L19" s="2939"/>
      <c r="M19" s="2933"/>
      <c r="N19" s="2933"/>
      <c r="O19" s="2991"/>
      <c r="P19" s="3614"/>
      <c r="Q19" s="1529" t="str">
        <f>B19</f>
        <v>办公集聚程度</v>
      </c>
      <c r="R19" s="709" t="s">
        <v>17</v>
      </c>
      <c r="S19" s="710">
        <f>F19</f>
        <v>100</v>
      </c>
      <c r="T19" s="709" t="s">
        <v>17</v>
      </c>
      <c r="U19" s="710">
        <f>H19</f>
        <v>100</v>
      </c>
      <c r="V19" s="709" t="s">
        <v>17</v>
      </c>
      <c r="W19" s="710">
        <f>J19</f>
        <v>100</v>
      </c>
      <c r="X19" s="1532"/>
      <c r="Y19" s="3614"/>
      <c r="Z19" s="1533" t="str">
        <f>Q19</f>
        <v>办公集聚程度</v>
      </c>
      <c r="AA19" s="1530">
        <f t="shared" si="3"/>
        <v>1</v>
      </c>
      <c r="AB19" s="1530">
        <f t="shared" si="4"/>
        <v>1</v>
      </c>
      <c r="AC19" s="1530">
        <f t="shared" si="5"/>
        <v>1</v>
      </c>
    </row>
    <row r="20" spans="1:29" ht="15" hidden="1">
      <c r="A20" s="382"/>
      <c r="B20" s="410"/>
      <c r="C20" s="401"/>
      <c r="D20" s="402"/>
      <c r="E20" s="2076"/>
      <c r="F20" s="402"/>
      <c r="G20" s="2076"/>
      <c r="H20" s="402"/>
      <c r="I20" s="2075"/>
      <c r="J20" s="402"/>
      <c r="K20" s="623"/>
      <c r="L20" s="2939"/>
      <c r="M20" s="2933"/>
      <c r="N20" s="2933"/>
      <c r="O20" s="2991"/>
      <c r="P20" s="3614"/>
      <c r="Q20" s="1529"/>
      <c r="R20" s="709"/>
      <c r="S20" s="710"/>
      <c r="T20" s="709"/>
      <c r="U20" s="710"/>
      <c r="V20" s="709"/>
      <c r="W20" s="710"/>
      <c r="X20" s="1532"/>
      <c r="Y20" s="3614"/>
      <c r="Z20" s="1533"/>
      <c r="AA20" s="1530">
        <v>1</v>
      </c>
      <c r="AB20" s="1530">
        <v>1</v>
      </c>
      <c r="AC20" s="1530">
        <v>1</v>
      </c>
    </row>
    <row r="21" spans="1:29" ht="15">
      <c r="A21" s="382"/>
      <c r="B21" s="405" t="s">
        <v>2526</v>
      </c>
      <c r="C21" s="2078" t="str">
        <f>估价对象房地状况!C18</f>
        <v>一般</v>
      </c>
      <c r="D21" s="404">
        <v>100</v>
      </c>
      <c r="E21" s="406"/>
      <c r="F21" s="409">
        <f>SUMIF(94:94,E22,95:95)-SUMIF(94:94,C22,95:95)+100</f>
        <v>102</v>
      </c>
      <c r="G21" s="406"/>
      <c r="H21" s="404">
        <f>SUMIF(94:94,G22,95:95)-SUMIF(94:94,C22,95:95)+100</f>
        <v>100</v>
      </c>
      <c r="I21" s="408"/>
      <c r="J21" s="404">
        <f>SUMIF(94:94,I22,95:95)-SUMIF(94:94,C22,95:95)+100</f>
        <v>100</v>
      </c>
      <c r="K21" s="624">
        <v>2</v>
      </c>
      <c r="L21" s="2939"/>
      <c r="M21" s="2933"/>
      <c r="N21" s="2933"/>
      <c r="O21" s="2991"/>
      <c r="P21" s="3614"/>
      <c r="Q21" s="1529" t="str">
        <f>B21</f>
        <v>交通便捷度</v>
      </c>
      <c r="R21" s="709" t="s">
        <v>17</v>
      </c>
      <c r="S21" s="710">
        <f>F21</f>
        <v>102</v>
      </c>
      <c r="T21" s="709" t="s">
        <v>17</v>
      </c>
      <c r="U21" s="710">
        <f>H21</f>
        <v>100</v>
      </c>
      <c r="V21" s="709" t="s">
        <v>17</v>
      </c>
      <c r="W21" s="710">
        <f>J21</f>
        <v>100</v>
      </c>
      <c r="X21" s="1532"/>
      <c r="Y21" s="3614"/>
      <c r="Z21" s="1533" t="str">
        <f>Q21</f>
        <v>交通便捷度</v>
      </c>
      <c r="AA21" s="1530">
        <f t="shared" si="3"/>
        <v>0.98039215686274506</v>
      </c>
      <c r="AB21" s="1530">
        <f t="shared" si="4"/>
        <v>1</v>
      </c>
      <c r="AC21" s="1530">
        <f t="shared" si="5"/>
        <v>1</v>
      </c>
    </row>
    <row r="22" spans="1:29" ht="15">
      <c r="A22" s="382"/>
      <c r="B22" s="1287"/>
      <c r="C22" s="401" t="s">
        <v>3393</v>
      </c>
      <c r="D22" s="404"/>
      <c r="E22" s="2076" t="s">
        <v>3394</v>
      </c>
      <c r="F22" s="402"/>
      <c r="G22" s="2076" t="s">
        <v>3393</v>
      </c>
      <c r="H22" s="402"/>
      <c r="I22" s="2075" t="s">
        <v>3393</v>
      </c>
      <c r="J22" s="402"/>
      <c r="K22" s="623"/>
      <c r="L22" s="2939"/>
      <c r="M22" s="2933"/>
      <c r="N22" s="2933"/>
      <c r="O22" s="2991"/>
      <c r="P22" s="3614"/>
      <c r="Q22" s="1529"/>
      <c r="R22" s="709"/>
      <c r="S22" s="710"/>
      <c r="T22" s="709"/>
      <c r="U22" s="710"/>
      <c r="V22" s="709"/>
      <c r="W22" s="710"/>
      <c r="X22" s="1532"/>
      <c r="Y22" s="3614"/>
      <c r="Z22" s="1533"/>
      <c r="AA22" s="1530">
        <v>1</v>
      </c>
      <c r="AB22" s="1530">
        <v>1</v>
      </c>
      <c r="AC22" s="1530">
        <v>1</v>
      </c>
    </row>
    <row r="23" spans="1:29" ht="15">
      <c r="A23" s="359"/>
      <c r="B23" s="405" t="s">
        <v>2565</v>
      </c>
      <c r="C23" s="1292">
        <f>估价对象房地状况!C19</f>
        <v>0</v>
      </c>
      <c r="D23" s="409">
        <v>100</v>
      </c>
      <c r="E23" s="406"/>
      <c r="F23" s="409">
        <f>SUMIF(96:96,E24,97:97)-SUMIF(96:96,C24,97:97)+100</f>
        <v>100</v>
      </c>
      <c r="G23" s="408"/>
      <c r="H23" s="409">
        <f>SUMIF(96:96,G24,97:97)-SUMIF(96:96,C24,97:97)+100</f>
        <v>100</v>
      </c>
      <c r="I23" s="408"/>
      <c r="J23" s="409">
        <f>SUMIF(96:96,I24,97:97)-SUMIF(96:96,C24,97:97)+100</f>
        <v>100</v>
      </c>
      <c r="K23" s="624">
        <v>2</v>
      </c>
      <c r="L23" s="2939"/>
      <c r="M23" s="2933"/>
      <c r="N23" s="2933"/>
      <c r="O23" s="2991"/>
      <c r="P23" s="3614"/>
      <c r="Q23" s="1529" t="str">
        <f t="shared" ref="Q23:Q37" si="8">B23</f>
        <v>区域土地利用方向</v>
      </c>
      <c r="R23" s="709" t="s">
        <v>17</v>
      </c>
      <c r="S23" s="710">
        <f>F23</f>
        <v>100</v>
      </c>
      <c r="T23" s="709" t="s">
        <v>17</v>
      </c>
      <c r="U23" s="710">
        <f>H23</f>
        <v>100</v>
      </c>
      <c r="V23" s="709" t="s">
        <v>17</v>
      </c>
      <c r="W23" s="710">
        <f>J23</f>
        <v>100</v>
      </c>
      <c r="X23" s="1532"/>
      <c r="Y23" s="3614"/>
      <c r="Z23" s="1533" t="str">
        <f>Q23</f>
        <v>区域土地利用方向</v>
      </c>
      <c r="AA23" s="1530">
        <f t="shared" si="3"/>
        <v>1</v>
      </c>
      <c r="AB23" s="1530">
        <f t="shared" si="4"/>
        <v>1</v>
      </c>
      <c r="AC23" s="1530">
        <f t="shared" si="5"/>
        <v>1</v>
      </c>
    </row>
    <row r="24" spans="1:29" ht="15">
      <c r="A24" s="359"/>
      <c r="B24" s="410"/>
      <c r="C24" s="568" t="s">
        <v>3394</v>
      </c>
      <c r="D24" s="402"/>
      <c r="E24" s="2076" t="s">
        <v>3394</v>
      </c>
      <c r="F24" s="402"/>
      <c r="G24" s="2075" t="s">
        <v>3394</v>
      </c>
      <c r="H24" s="402"/>
      <c r="I24" s="2075" t="s">
        <v>3394</v>
      </c>
      <c r="J24" s="402"/>
      <c r="K24" s="745"/>
      <c r="L24" s="2939"/>
      <c r="M24" s="2933"/>
      <c r="N24" s="2933"/>
      <c r="O24" s="2991"/>
      <c r="P24" s="3614"/>
      <c r="Q24" s="1529"/>
      <c r="R24" s="709"/>
      <c r="S24" s="710"/>
      <c r="T24" s="709"/>
      <c r="U24" s="710"/>
      <c r="V24" s="709"/>
      <c r="W24" s="710"/>
      <c r="X24" s="1532"/>
      <c r="Y24" s="3614"/>
      <c r="Z24" s="1533"/>
      <c r="AA24" s="1530"/>
      <c r="AB24" s="1530"/>
      <c r="AC24" s="1530"/>
    </row>
    <row r="25" spans="1:29" ht="27">
      <c r="A25" s="359"/>
      <c r="B25" s="1287" t="s">
        <v>2566</v>
      </c>
      <c r="C25" s="2133" t="str">
        <f>估价对象房地状况!C20</f>
        <v>一般</v>
      </c>
      <c r="D25" s="404">
        <v>100</v>
      </c>
      <c r="E25" s="406"/>
      <c r="F25" s="404">
        <f>SUMIF(98:98,E26,99:99)-SUMIF(98:98,C26,99:99)+100</f>
        <v>100</v>
      </c>
      <c r="G25" s="406"/>
      <c r="H25" s="404">
        <f>SUMIF(98:98,G26,99:99)-SUMIF(98:98,C26,99:99)+100</f>
        <v>100</v>
      </c>
      <c r="I25" s="408"/>
      <c r="J25" s="404">
        <f>SUMIF(98:98,I26,99:99)-SUMIF(98:98,C26,99:99)+100</f>
        <v>100</v>
      </c>
      <c r="K25" s="624">
        <v>2</v>
      </c>
      <c r="L25" s="2939"/>
      <c r="M25" s="2933"/>
      <c r="N25" s="2933"/>
      <c r="O25" s="2991"/>
      <c r="P25" s="3614"/>
      <c r="Q25" s="1529" t="str">
        <f t="shared" si="8"/>
        <v>自然及人文环境状况</v>
      </c>
      <c r="R25" s="709" t="s">
        <v>17</v>
      </c>
      <c r="S25" s="710">
        <f>F25</f>
        <v>100</v>
      </c>
      <c r="T25" s="709" t="s">
        <v>17</v>
      </c>
      <c r="U25" s="710">
        <f>H25</f>
        <v>100</v>
      </c>
      <c r="V25" s="709" t="s">
        <v>17</v>
      </c>
      <c r="W25" s="710">
        <f>J25</f>
        <v>100</v>
      </c>
      <c r="X25" s="1532"/>
      <c r="Y25" s="3614"/>
      <c r="Z25" s="1533" t="str">
        <f>Q25</f>
        <v>自然及人文环境状况</v>
      </c>
      <c r="AA25" s="1530">
        <f t="shared" si="3"/>
        <v>1</v>
      </c>
      <c r="AB25" s="1530">
        <f t="shared" si="4"/>
        <v>1</v>
      </c>
      <c r="AC25" s="1530">
        <f t="shared" si="5"/>
        <v>1</v>
      </c>
    </row>
    <row r="26" spans="1:29" ht="15">
      <c r="A26" s="359"/>
      <c r="B26" s="410"/>
      <c r="C26" s="401" t="s">
        <v>3393</v>
      </c>
      <c r="D26" s="402"/>
      <c r="E26" s="2082" t="s">
        <v>3393</v>
      </c>
      <c r="F26" s="402"/>
      <c r="G26" s="2082" t="s">
        <v>3393</v>
      </c>
      <c r="H26" s="402"/>
      <c r="I26" s="401" t="s">
        <v>3393</v>
      </c>
      <c r="J26" s="402"/>
      <c r="K26" s="623"/>
      <c r="L26" s="2939"/>
      <c r="M26" s="2933"/>
      <c r="N26" s="2933"/>
      <c r="O26" s="2991"/>
      <c r="P26" s="3614"/>
      <c r="Q26" s="1529"/>
      <c r="R26" s="709"/>
      <c r="S26" s="710"/>
      <c r="T26" s="709"/>
      <c r="U26" s="710"/>
      <c r="V26" s="709"/>
      <c r="W26" s="710"/>
      <c r="X26" s="1532"/>
      <c r="Y26" s="3614"/>
      <c r="Z26" s="1533"/>
      <c r="AA26" s="1530">
        <v>1</v>
      </c>
      <c r="AB26" s="1530">
        <v>1</v>
      </c>
      <c r="AC26" s="1530">
        <v>1</v>
      </c>
    </row>
    <row r="27" spans="1:29" s="108" customFormat="1" ht="15">
      <c r="A27" s="600"/>
      <c r="B27" s="1287" t="s">
        <v>2471</v>
      </c>
      <c r="C27" s="2078" t="str">
        <f>估价对象房地状况!C21</f>
        <v>一般</v>
      </c>
      <c r="D27" s="404">
        <v>100</v>
      </c>
      <c r="E27" s="406"/>
      <c r="F27" s="404">
        <f>SUMIF(100:100,E28,101:101)-SUMIF(100:100,C28,101:101)+100</f>
        <v>102</v>
      </c>
      <c r="G27" s="406"/>
      <c r="H27" s="404">
        <f>SUMIF(100:100,G28,101:101)-SUMIF(100:100,C28,101:101)+100</f>
        <v>102</v>
      </c>
      <c r="I27" s="408"/>
      <c r="J27" s="404">
        <f>SUMIF(100:100,I28,101:101)-SUMIF(100:100,C28,101:101)+100</f>
        <v>102</v>
      </c>
      <c r="K27" s="624">
        <v>2</v>
      </c>
      <c r="L27" s="2934"/>
      <c r="M27" s="2935"/>
      <c r="N27" s="2935"/>
      <c r="O27" s="2989"/>
      <c r="P27" s="3614"/>
      <c r="Q27" s="1520" t="str">
        <f t="shared" si="8"/>
        <v>公共配套设施</v>
      </c>
      <c r="R27" s="705" t="s">
        <v>17</v>
      </c>
      <c r="S27" s="706">
        <f>F27</f>
        <v>102</v>
      </c>
      <c r="T27" s="705" t="s">
        <v>17</v>
      </c>
      <c r="U27" s="706">
        <f>H27</f>
        <v>102</v>
      </c>
      <c r="V27" s="705" t="s">
        <v>17</v>
      </c>
      <c r="W27" s="706">
        <f>J27</f>
        <v>102</v>
      </c>
      <c r="X27" s="707"/>
      <c r="Y27" s="3614"/>
      <c r="Z27" s="53" t="str">
        <f>Q27</f>
        <v>公共配套设施</v>
      </c>
      <c r="AA27" s="1530">
        <f>D27/F27</f>
        <v>0.98039215686274506</v>
      </c>
      <c r="AB27" s="1530">
        <f>D27/H27</f>
        <v>0.98039215686274506</v>
      </c>
      <c r="AC27" s="1530">
        <f>D27/J27</f>
        <v>0.98039215686274506</v>
      </c>
    </row>
    <row r="28" spans="1:29" s="108" customFormat="1" ht="15">
      <c r="A28" s="600"/>
      <c r="B28" s="410"/>
      <c r="C28" s="2156" t="s">
        <v>3393</v>
      </c>
      <c r="D28" s="402"/>
      <c r="E28" s="2082" t="s">
        <v>3394</v>
      </c>
      <c r="F28" s="402"/>
      <c r="G28" s="2082" t="s">
        <v>3394</v>
      </c>
      <c r="H28" s="402"/>
      <c r="I28" s="401" t="s">
        <v>3394</v>
      </c>
      <c r="J28" s="402"/>
      <c r="K28" s="623"/>
      <c r="L28" s="2934"/>
      <c r="M28" s="2935"/>
      <c r="N28" s="2935"/>
      <c r="O28" s="2989"/>
      <c r="P28" s="3614"/>
      <c r="Q28" s="1520"/>
      <c r="R28" s="705"/>
      <c r="S28" s="706"/>
      <c r="T28" s="705"/>
      <c r="U28" s="706"/>
      <c r="V28" s="705"/>
      <c r="W28" s="706"/>
      <c r="X28" s="707"/>
      <c r="Y28" s="3614"/>
      <c r="Z28" s="53"/>
      <c r="AA28" s="1530">
        <v>1</v>
      </c>
      <c r="AB28" s="1530">
        <v>1</v>
      </c>
      <c r="AC28" s="1530">
        <v>1</v>
      </c>
    </row>
    <row r="29" spans="1:29" s="108" customFormat="1" ht="15">
      <c r="A29" s="600"/>
      <c r="B29" s="1287" t="s">
        <v>2472</v>
      </c>
      <c r="C29" s="2078" t="str">
        <f>估价对象房地状况!C22</f>
        <v>七通</v>
      </c>
      <c r="D29" s="404">
        <v>100</v>
      </c>
      <c r="E29" s="406"/>
      <c r="F29" s="404">
        <f>SUMIF(102:102,E30,103:103)-SUMIF(102:102,C30,103:103)+100</f>
        <v>100</v>
      </c>
      <c r="G29" s="406"/>
      <c r="H29" s="404">
        <f>SUMIF(102:102,G30,103:103)-SUMIF(102:102,C30,103:103)+100</f>
        <v>100</v>
      </c>
      <c r="I29" s="408"/>
      <c r="J29" s="404">
        <f>SUMIF(102:102,I30,103:103)-SUMIF(102:102,C30,103:103)+100</f>
        <v>100</v>
      </c>
      <c r="K29" s="624">
        <v>1</v>
      </c>
      <c r="L29" s="2934"/>
      <c r="M29" s="2935"/>
      <c r="N29" s="2935"/>
      <c r="O29" s="2989"/>
      <c r="P29" s="3614"/>
      <c r="Q29" s="1520" t="str">
        <f t="shared" ref="Q29" si="9">B29</f>
        <v>基础设施水平</v>
      </c>
      <c r="R29" s="705" t="s">
        <v>17</v>
      </c>
      <c r="S29" s="706">
        <f>F29</f>
        <v>100</v>
      </c>
      <c r="T29" s="705" t="s">
        <v>17</v>
      </c>
      <c r="U29" s="706">
        <f>H29</f>
        <v>100</v>
      </c>
      <c r="V29" s="705" t="s">
        <v>17</v>
      </c>
      <c r="W29" s="706">
        <f>J29</f>
        <v>100</v>
      </c>
      <c r="X29" s="707"/>
      <c r="Y29" s="3614"/>
      <c r="Z29" s="53" t="str">
        <f>Q29</f>
        <v>基础设施水平</v>
      </c>
      <c r="AA29" s="1530">
        <f>D29/F29</f>
        <v>1</v>
      </c>
      <c r="AB29" s="1530">
        <f>D29/H29</f>
        <v>1</v>
      </c>
      <c r="AC29" s="1530">
        <f>D29/J29</f>
        <v>1</v>
      </c>
    </row>
    <row r="30" spans="1:29" s="108" customFormat="1" ht="15">
      <c r="A30" s="600"/>
      <c r="B30" s="410"/>
      <c r="C30" s="2156" t="s">
        <v>3359</v>
      </c>
      <c r="D30" s="402"/>
      <c r="E30" s="2157" t="s">
        <v>3359</v>
      </c>
      <c r="F30" s="402"/>
      <c r="G30" s="2157" t="s">
        <v>3359</v>
      </c>
      <c r="H30" s="402"/>
      <c r="I30" s="2157" t="s">
        <v>3359</v>
      </c>
      <c r="J30" s="402"/>
      <c r="K30" s="623"/>
      <c r="L30" s="2934"/>
      <c r="M30" s="2935"/>
      <c r="N30" s="2935"/>
      <c r="O30" s="2989"/>
      <c r="P30" s="3614"/>
      <c r="Q30" s="1520"/>
      <c r="R30" s="705"/>
      <c r="S30" s="706"/>
      <c r="T30" s="705"/>
      <c r="U30" s="706"/>
      <c r="V30" s="705"/>
      <c r="W30" s="706"/>
      <c r="X30" s="707"/>
      <c r="Y30" s="3614"/>
      <c r="Z30" s="53"/>
      <c r="AA30" s="1530">
        <v>1</v>
      </c>
      <c r="AB30" s="1530">
        <v>1</v>
      </c>
      <c r="AC30" s="1530">
        <v>1</v>
      </c>
    </row>
    <row r="31" spans="1:29" ht="15">
      <c r="A31" s="382"/>
      <c r="B31" s="410" t="s">
        <v>2473</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939"/>
      <c r="M31" s="2933"/>
      <c r="N31" s="2933"/>
      <c r="O31" s="2991"/>
      <c r="P31" s="3614"/>
      <c r="Q31" s="1529" t="str">
        <f t="shared" si="8"/>
        <v>临街状况</v>
      </c>
      <c r="R31" s="709" t="s">
        <v>17</v>
      </c>
      <c r="S31" s="710">
        <f t="shared" ref="S31:S45" si="10">F31</f>
        <v>100</v>
      </c>
      <c r="T31" s="709" t="s">
        <v>17</v>
      </c>
      <c r="U31" s="710">
        <f t="shared" ref="U31:U45" si="11">H31</f>
        <v>100</v>
      </c>
      <c r="V31" s="709" t="s">
        <v>17</v>
      </c>
      <c r="W31" s="710">
        <f t="shared" ref="W31:W45" si="12">J31</f>
        <v>100</v>
      </c>
      <c r="X31" s="1532"/>
      <c r="Y31" s="3614"/>
      <c r="Z31" s="1533" t="str">
        <f t="shared" ref="Z31:Z45" si="13">Q31</f>
        <v>临街状况</v>
      </c>
      <c r="AA31" s="1530">
        <f t="shared" si="3"/>
        <v>1</v>
      </c>
      <c r="AB31" s="1530">
        <f t="shared" si="4"/>
        <v>1</v>
      </c>
      <c r="AC31" s="1530">
        <f t="shared" si="5"/>
        <v>1</v>
      </c>
    </row>
    <row r="32" spans="1:29" ht="27">
      <c r="A32" s="382"/>
      <c r="B32" s="1287" t="s">
        <v>2508</v>
      </c>
      <c r="C32" s="408"/>
      <c r="D32" s="404">
        <v>100</v>
      </c>
      <c r="E32" s="406"/>
      <c r="F32" s="404">
        <f>SUMIF(106:106,E33,107:107)-SUMIF(106:106,C33,107:107)+100</f>
        <v>102</v>
      </c>
      <c r="G32" s="406"/>
      <c r="H32" s="404">
        <f>SUMIF(106:106,G33,107:107)-SUMIF(106:106,C33,107:107)+100</f>
        <v>100</v>
      </c>
      <c r="I32" s="408"/>
      <c r="J32" s="404">
        <f>SUMIF(106:106,I33,107:107)-SUMIF(106:106,C33,107:107)+100</f>
        <v>100</v>
      </c>
      <c r="K32" s="624">
        <v>2</v>
      </c>
      <c r="L32" s="2939"/>
      <c r="M32" s="2933"/>
      <c r="N32" s="2933"/>
      <c r="O32" s="2991"/>
      <c r="P32" s="3614"/>
      <c r="Q32" s="1529" t="str">
        <f t="shared" si="8"/>
        <v>毗邻道路的类型与等级</v>
      </c>
      <c r="R32" s="709" t="s">
        <v>17</v>
      </c>
      <c r="S32" s="710">
        <f t="shared" si="10"/>
        <v>102</v>
      </c>
      <c r="T32" s="709" t="s">
        <v>17</v>
      </c>
      <c r="U32" s="710">
        <f t="shared" si="11"/>
        <v>100</v>
      </c>
      <c r="V32" s="709" t="s">
        <v>17</v>
      </c>
      <c r="W32" s="710">
        <f t="shared" si="12"/>
        <v>100</v>
      </c>
      <c r="X32" s="1532"/>
      <c r="Y32" s="3614"/>
      <c r="Z32" s="1533" t="str">
        <f t="shared" si="13"/>
        <v>毗邻道路的类型与等级</v>
      </c>
      <c r="AA32" s="1530">
        <f t="shared" si="3"/>
        <v>0.98039215686274506</v>
      </c>
      <c r="AB32" s="1530">
        <f t="shared" si="4"/>
        <v>1</v>
      </c>
      <c r="AC32" s="1530">
        <f t="shared" si="5"/>
        <v>1</v>
      </c>
    </row>
    <row r="33" spans="1:29" ht="15">
      <c r="A33" s="382"/>
      <c r="B33" s="410"/>
      <c r="C33" s="401" t="s">
        <v>3371</v>
      </c>
      <c r="D33" s="402"/>
      <c r="E33" s="2082" t="s">
        <v>3369</v>
      </c>
      <c r="F33" s="402"/>
      <c r="G33" s="2082" t="s">
        <v>3371</v>
      </c>
      <c r="H33" s="402"/>
      <c r="I33" s="401" t="s">
        <v>3371</v>
      </c>
      <c r="J33" s="402"/>
      <c r="K33" s="565"/>
      <c r="L33" s="2939"/>
      <c r="M33" s="2933"/>
      <c r="N33" s="2933"/>
      <c r="O33" s="2991"/>
      <c r="P33" s="3614"/>
      <c r="Q33" s="1529"/>
      <c r="R33" s="709"/>
      <c r="S33" s="710"/>
      <c r="T33" s="709"/>
      <c r="U33" s="710"/>
      <c r="V33" s="709"/>
      <c r="W33" s="710"/>
      <c r="X33" s="1532"/>
      <c r="Y33" s="3614"/>
      <c r="Z33" s="1533"/>
      <c r="AA33" s="1530">
        <v>1</v>
      </c>
      <c r="AB33" s="1530">
        <v>1</v>
      </c>
      <c r="AC33" s="1530">
        <v>1</v>
      </c>
    </row>
    <row r="34" spans="1:29" ht="15">
      <c r="A34" s="382"/>
      <c r="B34" s="376" t="s">
        <v>2567</v>
      </c>
      <c r="C34" s="568" t="s">
        <v>528</v>
      </c>
      <c r="D34" s="389">
        <v>100</v>
      </c>
      <c r="E34" s="585" t="s">
        <v>526</v>
      </c>
      <c r="F34" s="389">
        <f>SUMIF(108:108,E34,109:109)-SUMIF(108:108,C34,109:109)+100</f>
        <v>102</v>
      </c>
      <c r="G34" s="585" t="s">
        <v>526</v>
      </c>
      <c r="H34" s="389">
        <f>SUMIF(108:108,G34,109:109)-SUMIF(108:108,C34,109:109)+100</f>
        <v>102</v>
      </c>
      <c r="I34" s="568" t="s">
        <v>526</v>
      </c>
      <c r="J34" s="389">
        <f>SUMIF(108:108,I34,109:109)-SUMIF(108:108,C34,109:109)+100</f>
        <v>102</v>
      </c>
      <c r="K34" s="564">
        <v>2</v>
      </c>
      <c r="L34" s="2939"/>
      <c r="M34" s="2933"/>
      <c r="N34" s="2933"/>
      <c r="O34" s="2991"/>
      <c r="P34" s="3614"/>
      <c r="Q34" s="1529" t="str">
        <f t="shared" si="8"/>
        <v>土地级别</v>
      </c>
      <c r="R34" s="709" t="s">
        <v>17</v>
      </c>
      <c r="S34" s="710">
        <f t="shared" si="10"/>
        <v>102</v>
      </c>
      <c r="T34" s="709" t="s">
        <v>17</v>
      </c>
      <c r="U34" s="710">
        <f t="shared" si="11"/>
        <v>102</v>
      </c>
      <c r="V34" s="709" t="s">
        <v>17</v>
      </c>
      <c r="W34" s="710">
        <f t="shared" si="12"/>
        <v>102</v>
      </c>
      <c r="X34" s="1532"/>
      <c r="Y34" s="3614"/>
      <c r="Z34" s="1533" t="str">
        <f t="shared" si="13"/>
        <v>土地级别</v>
      </c>
      <c r="AA34" s="1530">
        <f t="shared" si="3"/>
        <v>0.98039215686274506</v>
      </c>
      <c r="AB34" s="1530">
        <f t="shared" si="4"/>
        <v>0.98039215686274506</v>
      </c>
      <c r="AC34" s="1530">
        <f t="shared" si="5"/>
        <v>0.98039215686274506</v>
      </c>
    </row>
    <row r="35" spans="1:29" ht="15">
      <c r="A35" s="359"/>
      <c r="B35" s="1289">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939"/>
      <c r="M35" s="2933"/>
      <c r="N35" s="2933"/>
      <c r="O35" s="2991"/>
      <c r="P35" s="3614"/>
      <c r="Q35" s="1529">
        <f t="shared" si="8"/>
        <v>111</v>
      </c>
      <c r="R35" s="709" t="s">
        <v>17</v>
      </c>
      <c r="S35" s="710">
        <f t="shared" si="10"/>
        <v>100</v>
      </c>
      <c r="T35" s="709" t="s">
        <v>17</v>
      </c>
      <c r="U35" s="710">
        <f t="shared" si="11"/>
        <v>100</v>
      </c>
      <c r="V35" s="709" t="s">
        <v>17</v>
      </c>
      <c r="W35" s="710">
        <f t="shared" si="12"/>
        <v>100</v>
      </c>
      <c r="X35" s="1532"/>
      <c r="Y35" s="3614"/>
      <c r="Z35" s="1533">
        <f t="shared" si="13"/>
        <v>111</v>
      </c>
      <c r="AA35" s="1530">
        <f t="shared" si="3"/>
        <v>1</v>
      </c>
      <c r="AB35" s="1530">
        <f t="shared" si="4"/>
        <v>1</v>
      </c>
      <c r="AC35" s="1530">
        <f t="shared" si="5"/>
        <v>1</v>
      </c>
    </row>
    <row r="36" spans="1:29" ht="15">
      <c r="A36" s="626"/>
      <c r="B36" s="1290">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939"/>
      <c r="M36" s="2933"/>
      <c r="N36" s="2933"/>
      <c r="O36" s="2991"/>
      <c r="P36" s="3615" t="s">
        <v>2382</v>
      </c>
      <c r="Q36" s="1529">
        <f t="shared" si="8"/>
        <v>111</v>
      </c>
      <c r="R36" s="709" t="s">
        <v>17</v>
      </c>
      <c r="S36" s="710">
        <f t="shared" si="10"/>
        <v>100</v>
      </c>
      <c r="T36" s="709" t="s">
        <v>17</v>
      </c>
      <c r="U36" s="710">
        <f t="shared" si="11"/>
        <v>100</v>
      </c>
      <c r="V36" s="709" t="s">
        <v>17</v>
      </c>
      <c r="W36" s="710">
        <f t="shared" si="12"/>
        <v>100</v>
      </c>
      <c r="X36" s="1532"/>
      <c r="Y36" s="3616" t="s">
        <v>2382</v>
      </c>
      <c r="Z36" s="1533">
        <f t="shared" si="13"/>
        <v>111</v>
      </c>
      <c r="AA36" s="1530">
        <f t="shared" si="3"/>
        <v>1</v>
      </c>
      <c r="AB36" s="1530">
        <f t="shared" si="4"/>
        <v>1</v>
      </c>
      <c r="AC36" s="1530">
        <f t="shared" si="5"/>
        <v>1</v>
      </c>
    </row>
    <row r="37" spans="1:29" s="425" customFormat="1" ht="15.75" thickBot="1">
      <c r="A37" s="627"/>
      <c r="B37" s="1291">
        <v>111</v>
      </c>
      <c r="C37" s="629"/>
      <c r="D37" s="128">
        <v>100</v>
      </c>
      <c r="E37" s="652"/>
      <c r="F37" s="392">
        <f>SUMIF(114:114,E37,115:115)-SUMIF(114:114,C37,115:115)+100</f>
        <v>100</v>
      </c>
      <c r="G37" s="652"/>
      <c r="H37" s="392">
        <f>SUMIF(114:114,G37,115:115)-SUMIF(114:114,C37,115:115)+100</f>
        <v>100</v>
      </c>
      <c r="I37" s="629"/>
      <c r="J37" s="392">
        <f>SUMIF(114:114,I37,115:115)-SUMIF(114:114,C37,115:115)+100</f>
        <v>100</v>
      </c>
      <c r="K37" s="565"/>
      <c r="L37" s="2938"/>
      <c r="M37" s="2940"/>
      <c r="N37" s="2940"/>
      <c r="O37" s="2992"/>
      <c r="P37" s="3616"/>
      <c r="Q37" s="1529">
        <f t="shared" si="8"/>
        <v>111</v>
      </c>
      <c r="R37" s="712" t="s">
        <v>17</v>
      </c>
      <c r="S37" s="713">
        <f t="shared" si="10"/>
        <v>100</v>
      </c>
      <c r="T37" s="712" t="s">
        <v>17</v>
      </c>
      <c r="U37" s="713">
        <f t="shared" si="11"/>
        <v>100</v>
      </c>
      <c r="V37" s="712" t="s">
        <v>17</v>
      </c>
      <c r="W37" s="713">
        <f t="shared" si="12"/>
        <v>100</v>
      </c>
      <c r="X37" s="714"/>
      <c r="Y37" s="3616"/>
      <c r="Z37" s="715">
        <f t="shared" si="13"/>
        <v>111</v>
      </c>
      <c r="AA37" s="1530">
        <f t="shared" si="3"/>
        <v>1</v>
      </c>
      <c r="AB37" s="1530">
        <f t="shared" si="4"/>
        <v>1</v>
      </c>
      <c r="AC37" s="1530">
        <f t="shared" si="5"/>
        <v>1</v>
      </c>
    </row>
    <row r="38" spans="1:29" ht="15">
      <c r="A38" s="426" t="s">
        <v>2380</v>
      </c>
      <c r="B38" s="410" t="s">
        <v>2568</v>
      </c>
      <c r="C38" s="630">
        <f>规证及工程进度!C112</f>
        <v>91043.21</v>
      </c>
      <c r="D38" s="421">
        <v>100</v>
      </c>
      <c r="E38" s="630">
        <f>土地案例!D2</f>
        <v>105143.73</v>
      </c>
      <c r="F38" s="421">
        <f>LOOKUP(E38,117:117,118:118)-LOOKUP(C38,117:117,118:118)+100</f>
        <v>102</v>
      </c>
      <c r="G38" s="630">
        <f>土地案例!D19</f>
        <v>36365.370000000003</v>
      </c>
      <c r="H38" s="421">
        <f>LOOKUP(G38,117:117,118:118)-LOOKUP(C38,117:117,118:118)+100</f>
        <v>94</v>
      </c>
      <c r="I38" s="482">
        <f>土地案例!D17</f>
        <v>66475.23</v>
      </c>
      <c r="J38" s="421">
        <f>LOOKUP(I38,117:117,118:118)-LOOKUP(C38,117:117,118:118)+100</f>
        <v>98</v>
      </c>
      <c r="K38" s="565"/>
      <c r="L38" s="2939"/>
      <c r="M38" s="2933"/>
      <c r="N38" s="2933"/>
      <c r="O38" s="2991"/>
      <c r="P38" s="3616"/>
      <c r="Q38" s="1529" t="str">
        <f>B38</f>
        <v>宗地面积</v>
      </c>
      <c r="R38" s="709" t="s">
        <v>17</v>
      </c>
      <c r="S38" s="710">
        <f t="shared" si="10"/>
        <v>102</v>
      </c>
      <c r="T38" s="709" t="s">
        <v>17</v>
      </c>
      <c r="U38" s="710">
        <f t="shared" si="11"/>
        <v>94</v>
      </c>
      <c r="V38" s="709" t="s">
        <v>17</v>
      </c>
      <c r="W38" s="710">
        <f t="shared" si="12"/>
        <v>98</v>
      </c>
      <c r="X38" s="1532"/>
      <c r="Y38" s="3616"/>
      <c r="Z38" s="1533" t="str">
        <f t="shared" si="13"/>
        <v>宗地面积</v>
      </c>
      <c r="AA38" s="1530">
        <f t="shared" si="3"/>
        <v>0.98039215686274506</v>
      </c>
      <c r="AB38" s="1530">
        <f t="shared" si="4"/>
        <v>1.0638297872340425</v>
      </c>
      <c r="AC38" s="1530">
        <f t="shared" si="5"/>
        <v>1.0204081632653061</v>
      </c>
    </row>
    <row r="39" spans="1:29" ht="15">
      <c r="A39" s="426"/>
      <c r="B39" s="376" t="s">
        <v>2569</v>
      </c>
      <c r="C39" s="2084" t="s">
        <v>3354</v>
      </c>
      <c r="D39" s="389">
        <v>100</v>
      </c>
      <c r="E39" s="2084" t="s">
        <v>3354</v>
      </c>
      <c r="F39" s="389">
        <f>SUMIF(119:119,E39,120:120)-SUMIF(119:119,C39,120:120)+100</f>
        <v>100</v>
      </c>
      <c r="G39" s="2084" t="s">
        <v>3354</v>
      </c>
      <c r="H39" s="389">
        <f>SUMIF(119:119,G39,120:120)-SUMIF(119:119,C39,120:120)+100</f>
        <v>100</v>
      </c>
      <c r="I39" s="2084" t="s">
        <v>3354</v>
      </c>
      <c r="J39" s="389">
        <f>SUMIF(119:119,I39,120:120)-SUMIF(119:119,C39,120:120)+100</f>
        <v>100</v>
      </c>
      <c r="K39" s="564">
        <v>2</v>
      </c>
      <c r="L39" s="2939"/>
      <c r="M39" s="2933"/>
      <c r="N39" s="2933"/>
      <c r="O39" s="2991"/>
      <c r="P39" s="3616"/>
      <c r="Q39" s="1529" t="str">
        <f t="shared" ref="Q39:Q45" si="14">B39</f>
        <v>宗地形状</v>
      </c>
      <c r="R39" s="709" t="s">
        <v>17</v>
      </c>
      <c r="S39" s="710">
        <f t="shared" si="10"/>
        <v>100</v>
      </c>
      <c r="T39" s="709" t="s">
        <v>17</v>
      </c>
      <c r="U39" s="710">
        <f t="shared" si="11"/>
        <v>100</v>
      </c>
      <c r="V39" s="709" t="s">
        <v>17</v>
      </c>
      <c r="W39" s="710">
        <f t="shared" si="12"/>
        <v>100</v>
      </c>
      <c r="X39" s="1532"/>
      <c r="Y39" s="3616"/>
      <c r="Z39" s="1533" t="str">
        <f t="shared" si="13"/>
        <v>宗地形状</v>
      </c>
      <c r="AA39" s="1530">
        <f t="shared" si="3"/>
        <v>1</v>
      </c>
      <c r="AB39" s="1530">
        <f t="shared" si="4"/>
        <v>1</v>
      </c>
      <c r="AC39" s="1530">
        <f t="shared" si="5"/>
        <v>1</v>
      </c>
    </row>
    <row r="40" spans="1:29" ht="15">
      <c r="A40" s="426"/>
      <c r="B40" s="376" t="s">
        <v>2570</v>
      </c>
      <c r="C40" s="2084"/>
      <c r="D40" s="389">
        <v>100</v>
      </c>
      <c r="E40" s="2084"/>
      <c r="F40" s="389">
        <f>SUMIF(121:121,E40,122:122)-SUMIF(121:121,C40,122:122)+100</f>
        <v>100</v>
      </c>
      <c r="G40" s="2084"/>
      <c r="H40" s="389">
        <f>SUMIF(121:121,G40,122:122)-SUMIF(121:121,C40,122:122)+100</f>
        <v>100</v>
      </c>
      <c r="I40" s="2084"/>
      <c r="J40" s="389">
        <f>SUMIF(121:121,I40,122:122)-SUMIF(121:121,C40,122:122)+100</f>
        <v>100</v>
      </c>
      <c r="K40" s="564"/>
      <c r="L40" s="2939"/>
      <c r="M40" s="2933"/>
      <c r="N40" s="2933"/>
      <c r="O40" s="2991"/>
      <c r="P40" s="3616"/>
      <c r="Q40" s="1529" t="str">
        <f t="shared" si="14"/>
        <v>临街宽度及深度</v>
      </c>
      <c r="R40" s="709" t="s">
        <v>17</v>
      </c>
      <c r="S40" s="710">
        <f t="shared" si="10"/>
        <v>100</v>
      </c>
      <c r="T40" s="709" t="s">
        <v>17</v>
      </c>
      <c r="U40" s="710">
        <f t="shared" si="11"/>
        <v>100</v>
      </c>
      <c r="V40" s="709" t="s">
        <v>17</v>
      </c>
      <c r="W40" s="710">
        <f t="shared" si="12"/>
        <v>100</v>
      </c>
      <c r="X40" s="1532"/>
      <c r="Y40" s="3616"/>
      <c r="Z40" s="1533" t="str">
        <f t="shared" si="13"/>
        <v>临街宽度及深度</v>
      </c>
      <c r="AA40" s="1530">
        <f t="shared" si="3"/>
        <v>1</v>
      </c>
      <c r="AB40" s="1530">
        <f t="shared" si="4"/>
        <v>1</v>
      </c>
      <c r="AC40" s="1530">
        <f t="shared" si="5"/>
        <v>1</v>
      </c>
    </row>
    <row r="41" spans="1:29" s="108" customFormat="1" ht="15">
      <c r="A41" s="427"/>
      <c r="B41" s="376" t="s">
        <v>2571</v>
      </c>
      <c r="C41" s="2158" t="s">
        <v>3359</v>
      </c>
      <c r="D41" s="127">
        <v>100</v>
      </c>
      <c r="E41" s="2158" t="s">
        <v>3362</v>
      </c>
      <c r="F41" s="389">
        <f>SUMIF(123:123,E41,124:124)-SUMIF(123:123,C41,124:124)+100</f>
        <v>99</v>
      </c>
      <c r="G41" s="2158" t="s">
        <v>3413</v>
      </c>
      <c r="H41" s="389">
        <f>SUMIF(123:123,G41,124:124)-SUMIF(123:123,C41,124:124)+100</f>
        <v>97.5</v>
      </c>
      <c r="I41" s="2158" t="s">
        <v>3365</v>
      </c>
      <c r="J41" s="389">
        <f>SUMIF(123:123,I41,124:124)-SUMIF(123:123,C41,124:124)+100</f>
        <v>98</v>
      </c>
      <c r="K41" s="564">
        <v>0.5</v>
      </c>
      <c r="L41" s="2934"/>
      <c r="M41" s="2935"/>
      <c r="N41" s="2935"/>
      <c r="O41" s="2989"/>
      <c r="P41" s="3616"/>
      <c r="Q41" s="1529" t="str">
        <f t="shared" si="14"/>
        <v>宗地开发程度</v>
      </c>
      <c r="R41" s="705" t="s">
        <v>17</v>
      </c>
      <c r="S41" s="706">
        <f t="shared" si="10"/>
        <v>99</v>
      </c>
      <c r="T41" s="705" t="s">
        <v>17</v>
      </c>
      <c r="U41" s="706">
        <f t="shared" si="11"/>
        <v>97.5</v>
      </c>
      <c r="V41" s="705" t="s">
        <v>17</v>
      </c>
      <c r="W41" s="706">
        <f t="shared" si="12"/>
        <v>98</v>
      </c>
      <c r="X41" s="707"/>
      <c r="Y41" s="3616"/>
      <c r="Z41" s="53" t="str">
        <f t="shared" si="13"/>
        <v>宗地开发程度</v>
      </c>
      <c r="AA41" s="708">
        <f t="shared" si="3"/>
        <v>1.0101010101010102</v>
      </c>
      <c r="AB41" s="708">
        <f t="shared" si="4"/>
        <v>1.0256410256410255</v>
      </c>
      <c r="AC41" s="708">
        <f t="shared" si="5"/>
        <v>1.0204081632653061</v>
      </c>
    </row>
    <row r="42" spans="1:29" ht="15">
      <c r="A42" s="426"/>
      <c r="B42" s="376" t="s">
        <v>2572</v>
      </c>
      <c r="C42" s="2084"/>
      <c r="D42" s="389">
        <v>100</v>
      </c>
      <c r="E42" s="2084"/>
      <c r="F42" s="389">
        <f>SUMIF(125:125,E42,126:126)-SUMIF(125:125,C42,126:126)+100</f>
        <v>100</v>
      </c>
      <c r="G42" s="2084"/>
      <c r="H42" s="389">
        <f>SUMIF(125:125,G42,126:126)-SUMIF(125:125,C42,126:126)+100</f>
        <v>100</v>
      </c>
      <c r="I42" s="2084"/>
      <c r="J42" s="389">
        <f>SUMIF(125:125,I42,126:126)-SUMIF(125:125,C42,126:126)+100</f>
        <v>100</v>
      </c>
      <c r="K42" s="564"/>
      <c r="L42" s="2939"/>
      <c r="M42" s="2933"/>
      <c r="N42" s="2933"/>
      <c r="O42" s="2991"/>
      <c r="P42" s="3616" t="s">
        <v>2382</v>
      </c>
      <c r="Q42" s="1529" t="str">
        <f t="shared" si="14"/>
        <v>工程地质条件</v>
      </c>
      <c r="R42" s="709" t="s">
        <v>17</v>
      </c>
      <c r="S42" s="710">
        <f t="shared" si="10"/>
        <v>100</v>
      </c>
      <c r="T42" s="709" t="s">
        <v>17</v>
      </c>
      <c r="U42" s="710">
        <f t="shared" si="11"/>
        <v>100</v>
      </c>
      <c r="V42" s="709" t="s">
        <v>17</v>
      </c>
      <c r="W42" s="710">
        <f t="shared" si="12"/>
        <v>100</v>
      </c>
      <c r="X42" s="1532"/>
      <c r="Y42" s="3616" t="s">
        <v>2382</v>
      </c>
      <c r="Z42" s="1533" t="str">
        <f t="shared" si="13"/>
        <v>工程地质条件</v>
      </c>
      <c r="AA42" s="1530">
        <f t="shared" si="3"/>
        <v>1</v>
      </c>
      <c r="AB42" s="1530">
        <f t="shared" si="4"/>
        <v>1</v>
      </c>
      <c r="AC42" s="1530">
        <f t="shared" si="5"/>
        <v>1</v>
      </c>
    </row>
    <row r="43" spans="1:29" ht="15">
      <c r="A43" s="426"/>
      <c r="B43" s="1290">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939"/>
      <c r="M43" s="2933"/>
      <c r="N43" s="2933"/>
      <c r="O43" s="2991"/>
      <c r="P43" s="3616"/>
      <c r="Q43" s="1529">
        <f t="shared" si="14"/>
        <v>111</v>
      </c>
      <c r="R43" s="709" t="s">
        <v>17</v>
      </c>
      <c r="S43" s="710">
        <f t="shared" si="10"/>
        <v>100</v>
      </c>
      <c r="T43" s="709" t="s">
        <v>17</v>
      </c>
      <c r="U43" s="710">
        <f t="shared" si="11"/>
        <v>100</v>
      </c>
      <c r="V43" s="709" t="s">
        <v>17</v>
      </c>
      <c r="W43" s="710">
        <f t="shared" si="12"/>
        <v>100</v>
      </c>
      <c r="X43" s="1532"/>
      <c r="Y43" s="3616"/>
      <c r="Z43" s="1533">
        <f t="shared" si="13"/>
        <v>111</v>
      </c>
      <c r="AA43" s="1530">
        <f t="shared" si="3"/>
        <v>1</v>
      </c>
      <c r="AB43" s="1530">
        <f t="shared" si="4"/>
        <v>1</v>
      </c>
      <c r="AC43" s="1530">
        <f t="shared" si="5"/>
        <v>1</v>
      </c>
    </row>
    <row r="44" spans="1:29" ht="15">
      <c r="A44" s="426"/>
      <c r="B44" s="1290">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939"/>
      <c r="M44" s="2933"/>
      <c r="N44" s="2933"/>
      <c r="O44" s="2991"/>
      <c r="P44" s="3616"/>
      <c r="Q44" s="1529">
        <f t="shared" si="14"/>
        <v>111</v>
      </c>
      <c r="R44" s="709" t="s">
        <v>17</v>
      </c>
      <c r="S44" s="710">
        <f t="shared" si="10"/>
        <v>100</v>
      </c>
      <c r="T44" s="709" t="s">
        <v>17</v>
      </c>
      <c r="U44" s="710">
        <f t="shared" si="11"/>
        <v>100</v>
      </c>
      <c r="V44" s="709" t="s">
        <v>17</v>
      </c>
      <c r="W44" s="710">
        <f t="shared" si="12"/>
        <v>100</v>
      </c>
      <c r="X44" s="1532"/>
      <c r="Y44" s="3616"/>
      <c r="Z44" s="1533">
        <f t="shared" si="13"/>
        <v>111</v>
      </c>
      <c r="AA44" s="1530">
        <f t="shared" si="3"/>
        <v>1</v>
      </c>
      <c r="AB44" s="1530">
        <f t="shared" si="4"/>
        <v>1</v>
      </c>
      <c r="AC44" s="1530">
        <f t="shared" si="5"/>
        <v>1</v>
      </c>
    </row>
    <row r="45" spans="1:29" s="425" customFormat="1" ht="15.75" thickBot="1">
      <c r="A45" s="422"/>
      <c r="B45" s="1290">
        <v>111</v>
      </c>
      <c r="C45" s="2159"/>
      <c r="D45" s="631">
        <v>100</v>
      </c>
      <c r="E45" s="625"/>
      <c r="F45" s="392">
        <f>SUMIF(131:131,E45,132:132)-SUMIF(131:131,C45,132:132)+100</f>
        <v>100</v>
      </c>
      <c r="G45" s="625"/>
      <c r="H45" s="392">
        <f>SUMIF(131:131,G45,132:132)-SUMIF(131:131,C45,132:132)+100</f>
        <v>100</v>
      </c>
      <c r="I45" s="625"/>
      <c r="J45" s="392">
        <f>SUMIF(131:131,I45,132:132)-SUMIF(131:131,C45,132:132)+100</f>
        <v>100</v>
      </c>
      <c r="K45" s="632"/>
      <c r="L45" s="2938"/>
      <c r="M45" s="2940"/>
      <c r="N45" s="2940"/>
      <c r="O45" s="2992"/>
      <c r="P45" s="3616"/>
      <c r="Q45" s="1529">
        <f t="shared" si="14"/>
        <v>111</v>
      </c>
      <c r="R45" s="712" t="s">
        <v>17</v>
      </c>
      <c r="S45" s="713">
        <f t="shared" si="10"/>
        <v>100</v>
      </c>
      <c r="T45" s="712" t="s">
        <v>17</v>
      </c>
      <c r="U45" s="713">
        <f t="shared" si="11"/>
        <v>100</v>
      </c>
      <c r="V45" s="712" t="s">
        <v>17</v>
      </c>
      <c r="W45" s="713">
        <f t="shared" si="12"/>
        <v>100</v>
      </c>
      <c r="X45" s="714"/>
      <c r="Y45" s="3616"/>
      <c r="Z45" s="715">
        <f t="shared" si="13"/>
        <v>111</v>
      </c>
      <c r="AA45" s="1530">
        <f t="shared" si="3"/>
        <v>1</v>
      </c>
      <c r="AB45" s="1530">
        <f t="shared" si="4"/>
        <v>1</v>
      </c>
      <c r="AC45" s="1530">
        <f t="shared" si="5"/>
        <v>1</v>
      </c>
    </row>
    <row r="46" spans="1:29" ht="15">
      <c r="A46" s="433" t="s">
        <v>2537</v>
      </c>
      <c r="B46" s="2160" t="s">
        <v>2573</v>
      </c>
      <c r="C46" s="633" t="s">
        <v>1</v>
      </c>
      <c r="D46" s="435"/>
      <c r="E46" s="436">
        <f>土地案例!U2</f>
        <v>35653</v>
      </c>
      <c r="F46" s="437"/>
      <c r="G46" s="438">
        <f>土地案例!O19</f>
        <v>39720</v>
      </c>
      <c r="H46" s="439"/>
      <c r="I46" s="436">
        <f>土地案例!O17</f>
        <v>33847</v>
      </c>
      <c r="J46" s="439"/>
      <c r="K46" s="718"/>
      <c r="L46" s="2941"/>
      <c r="M46" s="2942"/>
      <c r="N46" s="2933"/>
      <c r="O46" s="2942"/>
      <c r="P46" s="3598" t="str">
        <f>A46</f>
        <v>成交单价</v>
      </c>
      <c r="Q46" s="3598"/>
      <c r="R46" s="3611">
        <f>E46</f>
        <v>35653</v>
      </c>
      <c r="S46" s="3611"/>
      <c r="T46" s="3611">
        <f>G46</f>
        <v>39720</v>
      </c>
      <c r="U46" s="3611"/>
      <c r="V46" s="3611">
        <f>I46</f>
        <v>33847</v>
      </c>
      <c r="W46" s="3611"/>
      <c r="X46" s="694"/>
      <c r="Y46" s="716"/>
      <c r="Z46" s="694"/>
      <c r="AA46" s="694"/>
      <c r="AB46" s="694"/>
      <c r="AC46" s="694"/>
    </row>
    <row r="47" spans="1:29" ht="15.75" thickBot="1">
      <c r="A47" s="440" t="s">
        <v>2486</v>
      </c>
      <c r="B47" s="634"/>
      <c r="C47" s="443">
        <f>R48</f>
        <v>37099</v>
      </c>
      <c r="D47" s="2530" t="s">
        <v>2877</v>
      </c>
      <c r="E47" s="443">
        <f>R47</f>
        <v>36214</v>
      </c>
      <c r="F47" s="2531"/>
      <c r="G47" s="442">
        <f>T47</f>
        <v>40499</v>
      </c>
      <c r="H47" s="2531"/>
      <c r="I47" s="443">
        <f>V47</f>
        <v>34583</v>
      </c>
      <c r="J47" s="2531"/>
      <c r="K47" s="2533">
        <f>F47+H47+J47</f>
        <v>0</v>
      </c>
      <c r="L47" s="2941"/>
      <c r="M47" s="2942"/>
      <c r="N47" s="2942"/>
      <c r="O47" s="2942"/>
      <c r="P47" s="3598" t="str">
        <f>A47</f>
        <v>比较价值（元/平方米）</v>
      </c>
      <c r="Q47" s="3598"/>
      <c r="R47" s="3617">
        <f>ROUND(PRODUCT(R46,AA7:AA45),0)</f>
        <v>36214</v>
      </c>
      <c r="S47" s="3617"/>
      <c r="T47" s="3617">
        <f>ROUND(PRODUCT(T46,AB7:AB45),0)</f>
        <v>40499</v>
      </c>
      <c r="U47" s="3617"/>
      <c r="V47" s="3617">
        <f>ROUND(PRODUCT(V46,AC7:AC45),0)</f>
        <v>34583</v>
      </c>
      <c r="W47" s="3617"/>
      <c r="X47" s="694"/>
      <c r="Y47" s="694"/>
      <c r="Z47" s="694"/>
      <c r="AA47" s="694"/>
      <c r="AB47" s="694"/>
      <c r="AC47" s="694"/>
    </row>
    <row r="48" spans="1:29" ht="15.75" thickBot="1">
      <c r="A48" s="444" t="s">
        <v>2574</v>
      </c>
      <c r="B48" s="445"/>
      <c r="C48" s="446">
        <f>R48</f>
        <v>37099</v>
      </c>
      <c r="D48" s="446"/>
      <c r="E48" s="446"/>
      <c r="F48" s="446"/>
      <c r="G48" s="446"/>
      <c r="H48" s="446"/>
      <c r="I48" s="446"/>
      <c r="J48" s="446"/>
      <c r="K48" s="719"/>
      <c r="L48" s="2941"/>
      <c r="M48" s="2942"/>
      <c r="N48" s="2942"/>
      <c r="O48" s="2942"/>
      <c r="P48" s="3618" t="str">
        <f>A48</f>
        <v>估价对象XX用房的比较价值（楼面单价，元/平方米）</v>
      </c>
      <c r="Q48" s="3619"/>
      <c r="R48" s="3620">
        <f>ROUND(IF(D47="简单平均",AVERAGE(R47:W47),R47*F47+T47*H47+V47*J47),0)</f>
        <v>37099</v>
      </c>
      <c r="S48" s="3620"/>
      <c r="T48" s="3620"/>
      <c r="U48" s="3620"/>
      <c r="V48" s="3620"/>
      <c r="W48" s="3620"/>
      <c r="X48" s="694"/>
      <c r="Y48" s="694"/>
      <c r="Z48" s="694"/>
      <c r="AA48" s="694"/>
      <c r="AB48" s="694"/>
      <c r="AC48" s="694"/>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49" t="s">
        <v>2488</v>
      </c>
      <c r="D51" s="450"/>
      <c r="E51" s="451">
        <f>IF(E46&lt;E47,E47/E46-1,E46/E47-1)</f>
        <v>1.5735001262165982E-2</v>
      </c>
      <c r="F51" s="452" t="str">
        <f>IF(OR(E51&gt;=0.3,E51&lt;=-0.3),"超过30%","")</f>
        <v/>
      </c>
      <c r="G51" s="451">
        <f>IF(G46&lt;G47,G47/G46-1,G46/G47-1)</f>
        <v>1.9612286002014034E-2</v>
      </c>
      <c r="H51" s="452" t="str">
        <f>IF(OR(G51&gt;=0.3,G51&lt;=-0.3),"超过30%","")</f>
        <v/>
      </c>
      <c r="I51" s="451">
        <f>IF(I46&lt;I47,I47/I46-1,I46/I47-1)</f>
        <v>2.1744910922681493E-2</v>
      </c>
      <c r="J51" s="452"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49" t="s">
        <v>2489</v>
      </c>
      <c r="D52" s="453"/>
      <c r="E52" s="451">
        <f>IF(E47&lt;G47,G47/E47-1,E47/G47-1)</f>
        <v>0.1183244049262715</v>
      </c>
      <c r="F52" s="452" t="str">
        <f>IF(OR(E52&gt;=0.2,E52&lt;=-0.2),"超过20%","")</f>
        <v/>
      </c>
      <c r="G52" s="451">
        <f>IF(G47&lt;I47,I47/G47-1,G47/I47-1)</f>
        <v>0.17106670907671395</v>
      </c>
      <c r="H52" s="452" t="str">
        <f>IF(OR(G52&gt;=0.2,G52&lt;=-0.2),"超过20%","")</f>
        <v/>
      </c>
      <c r="I52" s="451">
        <f>IF(I47&lt;E47,E47/I47-1,I47/E47-1)</f>
        <v>4.7161900355666031E-2</v>
      </c>
      <c r="J52" s="452" t="str">
        <f>IF(OR(I52&gt;=0.2,I52&lt;=-0.2),"超过20%","")</f>
        <v/>
      </c>
      <c r="K52" s="2947"/>
      <c r="L52" s="2943"/>
      <c r="M52" s="2942"/>
      <c r="N52" s="2942"/>
      <c r="O52" s="2942"/>
      <c r="P52" s="2942"/>
      <c r="Q52" s="2942"/>
      <c r="R52" s="2942"/>
      <c r="S52" s="2942"/>
      <c r="T52" s="2942"/>
      <c r="U52" s="2942"/>
      <c r="V52" s="2942"/>
      <c r="W52" s="2942"/>
      <c r="X52" s="2942"/>
      <c r="Y52" s="2942"/>
      <c r="Z52" s="2942"/>
      <c r="AA52" s="2942"/>
      <c r="AB52" s="2942"/>
      <c r="AC52" s="2942"/>
    </row>
    <row r="53" spans="1:29" s="454" customFormat="1" ht="13.5" customHeight="1">
      <c r="A53" s="2945"/>
      <c r="B53" s="2945"/>
      <c r="C53" s="449" t="s">
        <v>2490</v>
      </c>
      <c r="D53" s="453"/>
      <c r="E53" s="451">
        <f>IF(E46&lt;G46,G46/E46-1,E46/G46-1)</f>
        <v>0.11407174711805457</v>
      </c>
      <c r="F53" s="452" t="str">
        <f>IF(OR(E53&gt;=0.3,E53&lt;=-0.3),"超过30%","")</f>
        <v/>
      </c>
      <c r="G53" s="451">
        <f>IF(G46&lt;I46,I46/G46-1,G46/I46-1)</f>
        <v>0.17351611664253852</v>
      </c>
      <c r="H53" s="452" t="str">
        <f>IF(OR(G53&gt;=0.3,G53&lt;=-0.3),"超过30%","")</f>
        <v/>
      </c>
      <c r="I53" s="451">
        <f>IF(I46&lt;E46,E46/I46-1,I46/E46-1)</f>
        <v>5.3357756965166869E-2</v>
      </c>
      <c r="J53" s="452" t="str">
        <f>IF(OR(I53&gt;=0.3,I53&lt;=-0.3),"超过30%","")</f>
        <v/>
      </c>
      <c r="K53" s="2950"/>
      <c r="L53" s="2944"/>
      <c r="M53" s="2945"/>
      <c r="N53" s="2945"/>
      <c r="O53" s="2945"/>
      <c r="P53" s="2945"/>
      <c r="Q53" s="2945"/>
      <c r="R53" s="2945"/>
      <c r="S53" s="2945"/>
      <c r="T53" s="2945"/>
      <c r="U53" s="2945"/>
      <c r="V53" s="2945"/>
      <c r="W53" s="2945"/>
      <c r="X53" s="2945"/>
      <c r="Y53" s="2945"/>
      <c r="Z53" s="2945"/>
      <c r="AA53" s="2945"/>
      <c r="AB53" s="2945"/>
      <c r="AC53" s="2945"/>
    </row>
    <row r="54" spans="1:29" s="454" customFormat="1" ht="15" thickBot="1">
      <c r="A54" s="2945"/>
      <c r="B54" s="2948"/>
      <c r="C54" s="697"/>
      <c r="D54" s="695"/>
      <c r="E54" s="695"/>
      <c r="F54" s="695"/>
      <c r="G54" s="695"/>
      <c r="H54" s="695"/>
      <c r="I54" s="695"/>
      <c r="J54" s="695"/>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5" t="s">
        <v>2575</v>
      </c>
      <c r="B55" s="636" t="s">
        <v>2576</v>
      </c>
      <c r="C55" s="2161" t="s">
        <v>2577</v>
      </c>
      <c r="D55" s="2162" t="s">
        <v>2578</v>
      </c>
      <c r="E55" s="637" t="s">
        <v>2579</v>
      </c>
      <c r="F55" s="1015" t="s">
        <v>2580</v>
      </c>
      <c r="G55" s="3599" t="s">
        <v>2581</v>
      </c>
      <c r="H55" s="3621"/>
      <c r="I55" s="135" t="s">
        <v>2582</v>
      </c>
      <c r="J55" s="2163">
        <f>项目基本情况!F35</f>
        <v>0</v>
      </c>
      <c r="K55" s="2164" t="s">
        <v>2583</v>
      </c>
      <c r="L55" s="2943"/>
      <c r="M55" s="2942"/>
      <c r="N55" s="2942"/>
      <c r="O55" s="2942"/>
      <c r="P55" s="2942"/>
      <c r="Q55" s="2942"/>
      <c r="R55" s="2942"/>
      <c r="S55" s="2942"/>
      <c r="T55" s="2942"/>
      <c r="U55" s="2942"/>
      <c r="V55" s="2942"/>
      <c r="W55" s="2942"/>
      <c r="X55" s="2942"/>
      <c r="Y55" s="2942"/>
      <c r="Z55" s="2942"/>
      <c r="AA55" s="2942"/>
      <c r="AB55" s="2942"/>
      <c r="AC55" s="2942"/>
    </row>
    <row r="56" spans="1:29" s="643" customFormat="1">
      <c r="A56" s="639" t="s">
        <v>2584</v>
      </c>
      <c r="B56" s="640">
        <f>C48</f>
        <v>37099</v>
      </c>
      <c r="C56" s="641">
        <v>1</v>
      </c>
      <c r="D56" s="1069">
        <v>1</v>
      </c>
      <c r="E56" s="641">
        <f>'数据-汇总表'!E8+'数据-汇总表'!E9</f>
        <v>49983.53</v>
      </c>
      <c r="F56" s="1011">
        <f t="shared" ref="F56:F65" si="15">ROUND(B56*E56/10000,0)</f>
        <v>185434</v>
      </c>
      <c r="G56" s="3622"/>
      <c r="H56" s="3598"/>
      <c r="I56" s="1016">
        <v>1</v>
      </c>
      <c r="J56" s="1019">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3" customFormat="1">
      <c r="A57" s="644" t="s">
        <v>2585</v>
      </c>
      <c r="B57" s="219">
        <f>ROUND($C$48*C57*D57,0)</f>
        <v>5565</v>
      </c>
      <c r="C57" s="171">
        <f t="shared" ref="C57:C65" si="16">IF($C$55="北京市系数",I57,J57)</f>
        <v>0.6</v>
      </c>
      <c r="D57" s="1070">
        <v>0.25</v>
      </c>
      <c r="E57" s="645">
        <f>'数据-汇总表'!G26</f>
        <v>382.04</v>
      </c>
      <c r="F57" s="1011">
        <f t="shared" si="15"/>
        <v>213</v>
      </c>
      <c r="G57" s="3623" t="s">
        <v>2586</v>
      </c>
      <c r="H57" s="1012" t="str">
        <f>项目基本情况!B37</f>
        <v>八级</v>
      </c>
      <c r="I57" s="1016">
        <f>SUMIF(修正!A45:A56,H57,修正!B45:B56)</f>
        <v>0.6</v>
      </c>
      <c r="J57" s="1020"/>
      <c r="K57" s="2942"/>
      <c r="L57" s="2999"/>
      <c r="M57" s="2999"/>
      <c r="N57" s="2999"/>
      <c r="O57" s="2999"/>
      <c r="P57" s="2999"/>
      <c r="Q57" s="2999"/>
      <c r="R57" s="2999"/>
      <c r="S57" s="2999"/>
      <c r="T57" s="2999"/>
      <c r="U57" s="2999"/>
      <c r="V57" s="2999"/>
      <c r="W57" s="2999"/>
      <c r="X57" s="2999"/>
      <c r="Y57" s="2999"/>
      <c r="Z57" s="2999"/>
      <c r="AA57" s="2999"/>
      <c r="AB57" s="2999"/>
      <c r="AC57" s="2999"/>
    </row>
    <row r="58" spans="1:29" s="643" customFormat="1">
      <c r="A58" s="644" t="s">
        <v>2587</v>
      </c>
      <c r="B58" s="219">
        <f t="shared" ref="B58:B65" si="17">ROUND($C$48*C58*D58,0)</f>
        <v>2782</v>
      </c>
      <c r="C58" s="171">
        <f t="shared" si="16"/>
        <v>0.3</v>
      </c>
      <c r="D58" s="1070">
        <v>0.25</v>
      </c>
      <c r="E58" s="645"/>
      <c r="F58" s="1011">
        <f t="shared" si="15"/>
        <v>0</v>
      </c>
      <c r="G58" s="3623"/>
      <c r="H58" s="1012" t="str">
        <f>项目基本情况!B37</f>
        <v>八级</v>
      </c>
      <c r="I58" s="1016">
        <f>SUMIF(修正!A45:A56,H58,修正!C45:C56)</f>
        <v>0.3</v>
      </c>
      <c r="J58" s="1020"/>
      <c r="K58" s="2945"/>
      <c r="L58" s="2999"/>
      <c r="M58" s="2999"/>
      <c r="N58" s="2999"/>
      <c r="O58" s="2999"/>
      <c r="P58" s="2999"/>
      <c r="Q58" s="2999"/>
      <c r="R58" s="2999"/>
      <c r="S58" s="2999"/>
      <c r="T58" s="2999"/>
      <c r="U58" s="2999"/>
      <c r="V58" s="2999"/>
      <c r="W58" s="2999"/>
      <c r="X58" s="2999"/>
      <c r="Y58" s="2999"/>
      <c r="Z58" s="2999"/>
      <c r="AA58" s="2999"/>
      <c r="AB58" s="2999"/>
      <c r="AC58" s="2999"/>
    </row>
    <row r="59" spans="1:29" s="643" customFormat="1">
      <c r="A59" s="644" t="s">
        <v>2588</v>
      </c>
      <c r="B59" s="219">
        <f t="shared" si="17"/>
        <v>1855</v>
      </c>
      <c r="C59" s="171">
        <f t="shared" si="16"/>
        <v>0.2</v>
      </c>
      <c r="D59" s="1070">
        <v>0.25</v>
      </c>
      <c r="E59" s="645"/>
      <c r="F59" s="1011">
        <f t="shared" si="15"/>
        <v>0</v>
      </c>
      <c r="G59" s="3623"/>
      <c r="H59" s="1012" t="str">
        <f>项目基本情况!B37</f>
        <v>八级</v>
      </c>
      <c r="I59" s="1016">
        <f>SUMIF(修正!A45:A56,H59,修正!D45:D56)</f>
        <v>0.2</v>
      </c>
      <c r="J59" s="1020"/>
      <c r="K59" s="2942"/>
      <c r="L59" s="2999"/>
      <c r="M59" s="2999"/>
      <c r="N59" s="2999"/>
      <c r="O59" s="2999"/>
      <c r="P59" s="2999"/>
      <c r="Q59" s="2999"/>
      <c r="R59" s="2999"/>
      <c r="S59" s="2999"/>
      <c r="T59" s="2999"/>
      <c r="U59" s="2999"/>
      <c r="V59" s="2999"/>
      <c r="W59" s="2999"/>
      <c r="X59" s="2999"/>
      <c r="Y59" s="2999"/>
      <c r="Z59" s="2999"/>
      <c r="AA59" s="2999"/>
      <c r="AB59" s="2999"/>
      <c r="AC59" s="2999"/>
    </row>
    <row r="60" spans="1:29" s="643" customFormat="1">
      <c r="A60" s="644" t="s">
        <v>2589</v>
      </c>
      <c r="B60" s="219">
        <f t="shared" si="17"/>
        <v>1855</v>
      </c>
      <c r="C60" s="171">
        <f t="shared" si="16"/>
        <v>0.2</v>
      </c>
      <c r="D60" s="1070">
        <v>0.25</v>
      </c>
      <c r="E60" s="645"/>
      <c r="F60" s="1011">
        <f t="shared" si="15"/>
        <v>0</v>
      </c>
      <c r="G60" s="3623"/>
      <c r="H60" s="1012" t="str">
        <f>项目基本情况!B37</f>
        <v>八级</v>
      </c>
      <c r="I60" s="1016">
        <f>SUMIF(修正!A45:A56,H60,修正!E45:E56)</f>
        <v>0.2</v>
      </c>
      <c r="J60" s="1020"/>
      <c r="K60" s="2945"/>
      <c r="L60" s="2999"/>
      <c r="M60" s="2999"/>
      <c r="N60" s="2999"/>
      <c r="O60" s="2999"/>
      <c r="P60" s="2999"/>
      <c r="Q60" s="2999"/>
      <c r="R60" s="2999"/>
      <c r="S60" s="2999"/>
      <c r="T60" s="2999"/>
      <c r="U60" s="2999"/>
      <c r="V60" s="2999"/>
      <c r="W60" s="2999"/>
      <c r="X60" s="2999"/>
      <c r="Y60" s="2999"/>
      <c r="Z60" s="2999"/>
      <c r="AA60" s="2999"/>
      <c r="AB60" s="2999"/>
      <c r="AC60" s="2999"/>
    </row>
    <row r="61" spans="1:29" s="643" customFormat="1">
      <c r="A61" s="644" t="s">
        <v>2590</v>
      </c>
      <c r="B61" s="219">
        <f t="shared" si="17"/>
        <v>0</v>
      </c>
      <c r="C61" s="171">
        <f t="shared" si="16"/>
        <v>0</v>
      </c>
      <c r="D61" s="1070">
        <v>0.25</v>
      </c>
      <c r="E61" s="218">
        <f>'数据-汇总表'!E11</f>
        <v>0</v>
      </c>
      <c r="F61" s="1011">
        <f t="shared" si="15"/>
        <v>0</v>
      </c>
      <c r="G61" s="2165" t="s">
        <v>2591</v>
      </c>
      <c r="H61" s="1012">
        <f>项目基本情况!C37</f>
        <v>0</v>
      </c>
      <c r="I61" s="1016">
        <f>SUMIF(修正!A45:A56,H61,修正!F45:F56)</f>
        <v>0</v>
      </c>
      <c r="J61" s="1020"/>
      <c r="K61" s="2942"/>
      <c r="L61" s="2999"/>
      <c r="M61" s="2999"/>
      <c r="N61" s="2999"/>
      <c r="O61" s="2999"/>
      <c r="P61" s="2999"/>
      <c r="Q61" s="2999"/>
      <c r="R61" s="2999"/>
      <c r="S61" s="2999"/>
      <c r="T61" s="2999"/>
      <c r="U61" s="2999"/>
      <c r="V61" s="2999"/>
      <c r="W61" s="2999"/>
      <c r="X61" s="2999"/>
      <c r="Y61" s="2999"/>
      <c r="Z61" s="2999"/>
      <c r="AA61" s="2999"/>
      <c r="AB61" s="2999"/>
      <c r="AC61" s="2999"/>
    </row>
    <row r="62" spans="1:29" s="643" customFormat="1">
      <c r="A62" s="644" t="s">
        <v>2592</v>
      </c>
      <c r="B62" s="219">
        <f t="shared" si="17"/>
        <v>1855</v>
      </c>
      <c r="C62" s="171">
        <f t="shared" si="16"/>
        <v>0.2</v>
      </c>
      <c r="D62" s="3102">
        <v>0.25</v>
      </c>
      <c r="E62" s="218">
        <f>'数据-汇总表'!E12</f>
        <v>25280.489999999998</v>
      </c>
      <c r="F62" s="1011">
        <f t="shared" si="15"/>
        <v>4690</v>
      </c>
      <c r="G62" s="1017" t="s">
        <v>3058</v>
      </c>
      <c r="H62" s="1012" t="str">
        <f>IF(G62="商业",项目基本情况!B37,IF(G62="办公",项目基本情况!C37,IF(G62="住宅",项目基本情况!D37,项目基本情况!E37)))</f>
        <v>八级</v>
      </c>
      <c r="I62" s="1016">
        <f>SUMIF(修正!A45:A56,H62,修正!G45:G56)</f>
        <v>0.2</v>
      </c>
      <c r="J62" s="1020"/>
      <c r="K62" s="2945"/>
      <c r="L62" s="2999"/>
      <c r="M62" s="2999"/>
      <c r="N62" s="2999"/>
      <c r="O62" s="2999"/>
      <c r="P62" s="2999"/>
      <c r="Q62" s="2999"/>
      <c r="R62" s="2999"/>
      <c r="S62" s="2999"/>
      <c r="T62" s="2999"/>
      <c r="U62" s="2999"/>
      <c r="V62" s="2999"/>
      <c r="W62" s="2999"/>
      <c r="X62" s="2999"/>
      <c r="Y62" s="2999"/>
      <c r="Z62" s="2999"/>
      <c r="AA62" s="2999"/>
      <c r="AB62" s="2999"/>
      <c r="AC62" s="2999"/>
    </row>
    <row r="63" spans="1:29" s="643" customFormat="1">
      <c r="A63" s="644" t="s">
        <v>2594</v>
      </c>
      <c r="B63" s="219">
        <f t="shared" si="17"/>
        <v>1391</v>
      </c>
      <c r="C63" s="171">
        <f t="shared" si="16"/>
        <v>0.15</v>
      </c>
      <c r="D63" s="3102">
        <v>0.25</v>
      </c>
      <c r="E63" s="218">
        <f>'数据-汇总表'!E13</f>
        <v>10771.04</v>
      </c>
      <c r="F63" s="1011">
        <f t="shared" si="15"/>
        <v>1498</v>
      </c>
      <c r="G63" s="1017" t="s">
        <v>2595</v>
      </c>
      <c r="H63" s="1012" t="str">
        <f>IF(G63="商业",项目基本情况!B37,IF(G63="办公",项目基本情况!C37,IF(G63="住宅",项目基本情况!D37,项目基本情况!E37)))</f>
        <v>八级</v>
      </c>
      <c r="I63" s="1016">
        <f>SUMIF(修正!A45:A56,H63,修正!H45:H56)</f>
        <v>0.15</v>
      </c>
      <c r="J63" s="1020"/>
      <c r="K63" s="2942"/>
      <c r="L63" s="2999"/>
      <c r="M63" s="2999"/>
      <c r="N63" s="2999"/>
      <c r="O63" s="2999"/>
      <c r="P63" s="2999"/>
      <c r="Q63" s="2999"/>
      <c r="R63" s="2999"/>
      <c r="S63" s="2999"/>
      <c r="T63" s="2999"/>
      <c r="U63" s="2999"/>
      <c r="V63" s="2999"/>
      <c r="W63" s="2999"/>
      <c r="X63" s="2999"/>
      <c r="Y63" s="2999"/>
      <c r="Z63" s="2999"/>
      <c r="AA63" s="2999"/>
      <c r="AB63" s="2999"/>
      <c r="AC63" s="2999"/>
    </row>
    <row r="64" spans="1:29" s="643" customFormat="1">
      <c r="A64" s="644" t="s">
        <v>2596</v>
      </c>
      <c r="B64" s="219">
        <f t="shared" si="17"/>
        <v>1391</v>
      </c>
      <c r="C64" s="171">
        <f t="shared" si="16"/>
        <v>0.15</v>
      </c>
      <c r="D64" s="1070">
        <v>0.25</v>
      </c>
      <c r="E64" s="218">
        <f>'数据-汇总表'!E14</f>
        <v>0</v>
      </c>
      <c r="F64" s="1011">
        <f t="shared" si="15"/>
        <v>0</v>
      </c>
      <c r="G64" s="2165" t="s">
        <v>2586</v>
      </c>
      <c r="H64" s="1012" t="str">
        <f>项目基本情况!B37</f>
        <v>八级</v>
      </c>
      <c r="I64" s="1016">
        <f>SUMIF(修正!A45:A56,H64,修正!H45:H56)</f>
        <v>0.15</v>
      </c>
      <c r="J64" s="1020"/>
      <c r="K64" s="2945"/>
      <c r="L64" s="2999"/>
      <c r="M64" s="2999"/>
      <c r="N64" s="2999"/>
      <c r="O64" s="2999"/>
      <c r="P64" s="2999"/>
      <c r="Q64" s="2999"/>
      <c r="R64" s="2999"/>
      <c r="S64" s="2999"/>
      <c r="T64" s="2999"/>
      <c r="U64" s="2999"/>
      <c r="V64" s="2999"/>
      <c r="W64" s="2999"/>
      <c r="X64" s="2999"/>
      <c r="Y64" s="2999"/>
      <c r="Z64" s="2999"/>
      <c r="AA64" s="2999"/>
      <c r="AB64" s="2999"/>
      <c r="AC64" s="2999"/>
    </row>
    <row r="65" spans="1:29" s="643" customFormat="1" ht="15" thickBot="1">
      <c r="A65" s="644" t="s">
        <v>2597</v>
      </c>
      <c r="B65" s="219">
        <f t="shared" si="17"/>
        <v>0</v>
      </c>
      <c r="C65" s="171">
        <f t="shared" si="16"/>
        <v>0</v>
      </c>
      <c r="D65" s="1070">
        <v>0.25</v>
      </c>
      <c r="E65" s="218">
        <f>'数据-汇总表'!E15</f>
        <v>0</v>
      </c>
      <c r="F65" s="1011">
        <f t="shared" si="15"/>
        <v>0</v>
      </c>
      <c r="G65" s="2166" t="s">
        <v>2591</v>
      </c>
      <c r="H65" s="1022">
        <f>项目基本情况!C37</f>
        <v>0</v>
      </c>
      <c r="I65" s="1018">
        <f>SUMIF(修正!A45:A56,H65,修正!H45:H56)</f>
        <v>0</v>
      </c>
      <c r="J65" s="1021"/>
      <c r="K65" s="2942"/>
      <c r="L65" s="2999"/>
      <c r="M65" s="2999"/>
      <c r="N65" s="2999"/>
      <c r="O65" s="2999"/>
      <c r="P65" s="2999"/>
      <c r="Q65" s="2999"/>
      <c r="R65" s="2999"/>
      <c r="S65" s="2999"/>
      <c r="T65" s="2999"/>
      <c r="U65" s="2999"/>
      <c r="V65" s="2999"/>
      <c r="W65" s="2999"/>
      <c r="X65" s="2999"/>
      <c r="Y65" s="2999"/>
      <c r="Z65" s="2999"/>
      <c r="AA65" s="2999"/>
      <c r="AB65" s="2999"/>
      <c r="AC65" s="2999"/>
    </row>
    <row r="66" spans="1:29" s="643" customFormat="1" ht="13.5" thickBot="1">
      <c r="A66" s="646" t="s">
        <v>2598</v>
      </c>
      <c r="B66" s="647" t="s">
        <v>28</v>
      </c>
      <c r="C66" s="647" t="s">
        <v>29</v>
      </c>
      <c r="D66" s="647" t="s">
        <v>997</v>
      </c>
      <c r="E66" s="647">
        <f>IF(B46="楼面地价",SUM(E56:E65),'数据-汇总表'!D3)</f>
        <v>86417.1</v>
      </c>
      <c r="F66" s="648">
        <f>IF(B46="楼面地价",SUM(F56:F65),ROUND(C48*E66/10000,0))</f>
        <v>191835</v>
      </c>
      <c r="G66" s="721"/>
      <c r="H66" s="721"/>
      <c r="I66" s="721"/>
      <c r="J66" s="721"/>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4"/>
      <c r="B67" s="696"/>
      <c r="C67" s="697"/>
      <c r="D67" s="694"/>
      <c r="E67" s="694"/>
      <c r="F67" s="694"/>
      <c r="G67" s="694"/>
      <c r="H67" s="694"/>
      <c r="I67" s="694"/>
      <c r="J67" s="1052"/>
      <c r="K67" s="1013"/>
      <c r="L67" s="1014"/>
      <c r="M67" s="1052"/>
      <c r="N67" s="1052"/>
      <c r="O67" s="1052"/>
      <c r="P67" s="2942"/>
      <c r="Q67" s="2942"/>
      <c r="R67" s="2942"/>
      <c r="S67" s="2942"/>
      <c r="T67" s="2942"/>
      <c r="U67" s="2942"/>
      <c r="V67" s="2942"/>
      <c r="W67" s="2942"/>
      <c r="X67" s="2942"/>
      <c r="Y67" s="2942"/>
      <c r="Z67" s="2942"/>
      <c r="AA67" s="2942"/>
      <c r="AB67" s="2942"/>
      <c r="AC67" s="2942"/>
    </row>
    <row r="68" spans="1:29">
      <c r="A68" s="694"/>
      <c r="B68" s="696"/>
      <c r="C68" s="696" t="str">
        <f>YEAR(C7)&amp;"-"&amp;MONTH(C7)&amp;"-1"</f>
        <v>2022-1-1</v>
      </c>
      <c r="D68" s="696">
        <f>EDATE(C68,-3)</f>
        <v>44470</v>
      </c>
      <c r="E68" s="696">
        <f>EDATE(D68,-3)</f>
        <v>44378</v>
      </c>
      <c r="F68" s="696">
        <f t="shared" ref="F68:O68" si="18">EDATE(E68,-3)</f>
        <v>44287</v>
      </c>
      <c r="G68" s="696">
        <f t="shared" si="18"/>
        <v>44197</v>
      </c>
      <c r="H68" s="696">
        <f t="shared" si="18"/>
        <v>44105</v>
      </c>
      <c r="I68" s="696">
        <f t="shared" si="18"/>
        <v>44013</v>
      </c>
      <c r="J68" s="696">
        <f t="shared" si="18"/>
        <v>43922</v>
      </c>
      <c r="K68" s="696">
        <f t="shared" si="18"/>
        <v>43831</v>
      </c>
      <c r="L68" s="696">
        <f t="shared" si="18"/>
        <v>43739</v>
      </c>
      <c r="M68" s="696">
        <f t="shared" si="18"/>
        <v>43647</v>
      </c>
      <c r="N68" s="696">
        <f t="shared" si="18"/>
        <v>43556</v>
      </c>
      <c r="O68" s="696">
        <f t="shared" si="18"/>
        <v>43466</v>
      </c>
      <c r="P68" s="2942"/>
      <c r="Q68" s="2942"/>
      <c r="R68" s="2942"/>
      <c r="S68" s="2942"/>
      <c r="T68" s="2942"/>
      <c r="U68" s="2942"/>
      <c r="V68" s="2942"/>
      <c r="W68" s="2942"/>
      <c r="X68" s="2942"/>
      <c r="Y68" s="2942"/>
      <c r="Z68" s="2942"/>
      <c r="AA68" s="2942"/>
      <c r="AB68" s="2942"/>
      <c r="AC68" s="2942"/>
    </row>
    <row r="69" spans="1:29" ht="21.75" thickBot="1">
      <c r="A69" s="698" t="s">
        <v>2491</v>
      </c>
      <c r="B69" s="694"/>
      <c r="C69" s="699"/>
      <c r="D69" s="699"/>
      <c r="E69" s="699"/>
      <c r="F69" s="700"/>
      <c r="G69" s="700"/>
      <c r="H69" s="699"/>
      <c r="I69" s="699"/>
      <c r="J69" s="1065"/>
      <c r="K69" s="1066"/>
      <c r="L69" s="1067"/>
      <c r="M69" s="1065"/>
      <c r="N69" s="2986"/>
      <c r="O69" s="2986"/>
      <c r="P69" s="2986"/>
      <c r="Q69" s="2956"/>
      <c r="R69" s="2942"/>
      <c r="S69" s="2942"/>
      <c r="T69" s="2942"/>
      <c r="U69" s="2942"/>
      <c r="V69" s="2942"/>
      <c r="W69" s="2942"/>
      <c r="X69" s="2942"/>
      <c r="Y69" s="2942"/>
      <c r="Z69" s="2942"/>
      <c r="AA69" s="2942"/>
      <c r="AB69" s="2942"/>
      <c r="AC69" s="2942"/>
    </row>
    <row r="70" spans="1:29" s="460" customFormat="1" ht="15">
      <c r="A70" s="2167" t="s">
        <v>2599</v>
      </c>
      <c r="B70" s="1263"/>
      <c r="C70" s="1337" t="str">
        <f>YEAR(C68)&amp;"-"&amp;ROUNDUP(MONTH(C68)/3,0)</f>
        <v>2022-1</v>
      </c>
      <c r="D70" s="1337" t="str">
        <f>YEAR(D68)&amp;"-"&amp;ROUNDUP(MONTH(D68)/3,0)</f>
        <v>2021-4</v>
      </c>
      <c r="E70" s="1337" t="str">
        <f t="shared" ref="E70:O70" si="19">YEAR(E68)&amp;"-"&amp;ROUNDUP(MONTH(E68)/3,0)</f>
        <v>2021-3</v>
      </c>
      <c r="F70" s="1337" t="str">
        <f t="shared" si="19"/>
        <v>2021-2</v>
      </c>
      <c r="G70" s="1337" t="str">
        <f t="shared" si="19"/>
        <v>2021-1</v>
      </c>
      <c r="H70" s="1337" t="str">
        <f t="shared" si="19"/>
        <v>2020-4</v>
      </c>
      <c r="I70" s="1337" t="str">
        <f t="shared" si="19"/>
        <v>2020-3</v>
      </c>
      <c r="J70" s="1337" t="str">
        <f t="shared" si="19"/>
        <v>2020-2</v>
      </c>
      <c r="K70" s="1337" t="str">
        <f t="shared" si="19"/>
        <v>2020-1</v>
      </c>
      <c r="L70" s="1337" t="str">
        <f t="shared" si="19"/>
        <v>2019-4</v>
      </c>
      <c r="M70" s="1337" t="str">
        <f t="shared" si="19"/>
        <v>2019-3</v>
      </c>
      <c r="N70" s="1337" t="str">
        <f t="shared" si="19"/>
        <v>2019-2</v>
      </c>
      <c r="O70" s="1337" t="str">
        <f t="shared" si="19"/>
        <v>2019-1</v>
      </c>
      <c r="P70" s="2993" t="s">
        <v>5682</v>
      </c>
      <c r="Q70" s="2958" t="s">
        <v>5514</v>
      </c>
      <c r="R70" s="2958" t="s">
        <v>5683</v>
      </c>
      <c r="S70" s="2958"/>
      <c r="T70" s="2958"/>
      <c r="U70" s="2958"/>
      <c r="V70" s="2958"/>
      <c r="W70" s="2958"/>
      <c r="X70" s="2958"/>
      <c r="Y70" s="2958"/>
      <c r="Z70" s="2958"/>
      <c r="AA70" s="2958"/>
      <c r="AB70" s="2958"/>
      <c r="AC70" s="2958"/>
    </row>
    <row r="71" spans="1:29" s="108" customFormat="1" ht="30" customHeight="1">
      <c r="A71" s="2168" t="s">
        <v>2600</v>
      </c>
      <c r="B71" s="289" t="str">
        <f>"北京市平均增长率"&amp;TEXT(SUMIF(基准地价修正!N21:N25,A71,基准地价修正!P21:P25),"0.00%")</f>
        <v>北京市平均增长率0.00%</v>
      </c>
      <c r="C71" s="555">
        <v>100</v>
      </c>
      <c r="D71" s="547">
        <v>100</v>
      </c>
      <c r="E71" s="547">
        <v>100</v>
      </c>
      <c r="F71" s="547">
        <v>100</v>
      </c>
      <c r="G71" s="547">
        <v>100</v>
      </c>
      <c r="H71" s="547">
        <v>100</v>
      </c>
      <c r="I71" s="547">
        <v>100</v>
      </c>
      <c r="J71" s="547">
        <v>100</v>
      </c>
      <c r="K71" s="547">
        <f t="shared" ref="K71:M71" si="20">J71-$C$72</f>
        <v>99.5</v>
      </c>
      <c r="L71" s="547">
        <f t="shared" si="20"/>
        <v>99</v>
      </c>
      <c r="M71" s="547">
        <f t="shared" si="20"/>
        <v>98.5</v>
      </c>
      <c r="N71" s="547">
        <f>M71-$C$72</f>
        <v>98</v>
      </c>
      <c r="O71" s="547">
        <f t="shared" ref="O71:R71" si="21">N71-$C$72</f>
        <v>97.5</v>
      </c>
      <c r="P71" s="547">
        <f t="shared" si="21"/>
        <v>97</v>
      </c>
      <c r="Q71" s="547">
        <f t="shared" si="21"/>
        <v>96.5</v>
      </c>
      <c r="R71" s="547">
        <f t="shared" si="21"/>
        <v>96</v>
      </c>
      <c r="S71" s="2877"/>
      <c r="T71" s="2877"/>
      <c r="U71" s="2877"/>
      <c r="V71" s="2877"/>
      <c r="W71" s="2877"/>
      <c r="X71" s="2877"/>
      <c r="Y71" s="2877"/>
      <c r="Z71" s="2877"/>
      <c r="AA71" s="2877"/>
      <c r="AB71" s="2877"/>
      <c r="AC71" s="2877"/>
    </row>
    <row r="72" spans="1:29" s="108" customFormat="1" ht="15.75" thickBot="1">
      <c r="A72" s="467" t="s">
        <v>2402</v>
      </c>
      <c r="B72" s="468"/>
      <c r="C72" s="469">
        <v>0.5</v>
      </c>
      <c r="D72" s="470"/>
      <c r="E72" s="470"/>
      <c r="F72" s="470"/>
      <c r="G72" s="470"/>
      <c r="H72" s="470"/>
      <c r="I72" s="470"/>
      <c r="J72" s="470"/>
      <c r="K72" s="470"/>
      <c r="L72" s="470"/>
      <c r="M72" s="471"/>
      <c r="N72" s="470"/>
      <c r="O72" s="1068"/>
      <c r="P72" s="2956"/>
      <c r="Q72" s="2956"/>
      <c r="R72" s="2877"/>
      <c r="S72" s="2877"/>
      <c r="T72" s="2877"/>
      <c r="U72" s="2877"/>
      <c r="V72" s="2877"/>
      <c r="W72" s="2877"/>
      <c r="X72" s="2877"/>
      <c r="Y72" s="2877"/>
      <c r="Z72" s="2877"/>
      <c r="AA72" s="2877"/>
      <c r="AB72" s="2877"/>
      <c r="AC72" s="2877"/>
    </row>
    <row r="73" spans="1:29" s="108" customFormat="1" ht="15">
      <c r="A73" s="473" t="s">
        <v>2367</v>
      </c>
      <c r="B73" s="462"/>
      <c r="C73" s="474" t="s">
        <v>2469</v>
      </c>
      <c r="D73" s="475"/>
      <c r="E73" s="475"/>
      <c r="F73" s="475"/>
      <c r="G73" s="475"/>
      <c r="H73" s="475"/>
      <c r="I73" s="475"/>
      <c r="J73" s="475"/>
      <c r="K73" s="475"/>
      <c r="L73" s="476"/>
      <c r="M73" s="477"/>
      <c r="N73" s="2969"/>
      <c r="O73" s="2969"/>
      <c r="P73" s="2994"/>
      <c r="Q73" s="2956"/>
      <c r="R73" s="2877"/>
      <c r="S73" s="2877"/>
      <c r="T73" s="2877"/>
      <c r="U73" s="2877"/>
      <c r="V73" s="2877"/>
      <c r="W73" s="2877"/>
      <c r="X73" s="2877"/>
      <c r="Y73" s="2877"/>
      <c r="Z73" s="2877"/>
      <c r="AA73" s="2877"/>
      <c r="AB73" s="2877"/>
      <c r="AC73" s="2877"/>
    </row>
    <row r="74" spans="1:29" s="108" customFormat="1" ht="15.75" thickBot="1">
      <c r="A74" s="473"/>
      <c r="B74" s="462"/>
      <c r="C74" s="590">
        <v>100</v>
      </c>
      <c r="D74" s="464"/>
      <c r="E74" s="464"/>
      <c r="F74" s="464"/>
      <c r="G74" s="464"/>
      <c r="H74" s="464"/>
      <c r="I74" s="464"/>
      <c r="J74" s="464"/>
      <c r="K74" s="464"/>
      <c r="L74" s="464"/>
      <c r="M74" s="466"/>
      <c r="N74" s="2969"/>
      <c r="O74" s="2969"/>
      <c r="P74" s="2956"/>
      <c r="Q74" s="2956"/>
      <c r="R74" s="2877"/>
      <c r="S74" s="2877"/>
      <c r="T74" s="2877"/>
      <c r="U74" s="2877"/>
      <c r="V74" s="2877"/>
      <c r="W74" s="2877"/>
      <c r="X74" s="2877"/>
      <c r="Y74" s="2877"/>
      <c r="Z74" s="2877"/>
      <c r="AA74" s="2877"/>
      <c r="AB74" s="2877"/>
      <c r="AC74" s="2877"/>
    </row>
    <row r="75" spans="1:29">
      <c r="A75" s="479" t="s">
        <v>2405</v>
      </c>
      <c r="B75" s="480" t="s">
        <v>2371</v>
      </c>
      <c r="C75" s="3090" t="s">
        <v>3378</v>
      </c>
      <c r="D75" s="3090" t="s">
        <v>3379</v>
      </c>
      <c r="E75" s="482"/>
      <c r="F75" s="482"/>
      <c r="G75" s="482"/>
      <c r="H75" s="482"/>
      <c r="I75" s="482"/>
      <c r="J75" s="482"/>
      <c r="K75" s="483"/>
      <c r="L75" s="484"/>
      <c r="M75" s="485"/>
      <c r="N75" s="2970"/>
      <c r="O75" s="2970"/>
      <c r="P75" s="2995"/>
      <c r="Q75" s="2956"/>
      <c r="R75" s="2942"/>
      <c r="S75" s="2942"/>
      <c r="T75" s="2942"/>
      <c r="U75" s="2942"/>
      <c r="V75" s="2942"/>
      <c r="W75" s="2942"/>
      <c r="X75" s="2942"/>
      <c r="Y75" s="2942"/>
      <c r="Z75" s="2942"/>
      <c r="AA75" s="2942"/>
      <c r="AB75" s="2942"/>
      <c r="AC75" s="2942"/>
    </row>
    <row r="76" spans="1:29" ht="15.75" thickBot="1">
      <c r="A76" s="486"/>
      <c r="B76" s="487"/>
      <c r="C76" s="488">
        <v>100</v>
      </c>
      <c r="D76" s="488">
        <v>98</v>
      </c>
      <c r="E76" s="488"/>
      <c r="F76" s="488"/>
      <c r="G76" s="488"/>
      <c r="H76" s="488"/>
      <c r="I76" s="488"/>
      <c r="J76" s="488"/>
      <c r="K76" s="488"/>
      <c r="L76" s="488"/>
      <c r="M76" s="489"/>
      <c r="N76" s="2971"/>
      <c r="O76" s="2971"/>
      <c r="P76" s="2995"/>
      <c r="Q76" s="2956"/>
      <c r="R76" s="2942"/>
      <c r="S76" s="2942"/>
      <c r="T76" s="2942"/>
      <c r="U76" s="2942"/>
      <c r="V76" s="2942"/>
      <c r="W76" s="2942"/>
      <c r="X76" s="2942"/>
      <c r="Y76" s="2942"/>
      <c r="Z76" s="2942"/>
      <c r="AA76" s="2942"/>
      <c r="AB76" s="2942"/>
      <c r="AC76" s="2942"/>
    </row>
    <row r="77" spans="1:29" ht="27.75" thickTop="1">
      <c r="A77" s="486"/>
      <c r="B77" s="490" t="s">
        <v>2374</v>
      </c>
      <c r="C77" s="491"/>
      <c r="D77" s="491"/>
      <c r="E77" s="491"/>
      <c r="F77" s="491"/>
      <c r="G77" s="491"/>
      <c r="H77" s="491"/>
      <c r="I77" s="491"/>
      <c r="J77" s="491"/>
      <c r="K77" s="492"/>
      <c r="L77" s="493"/>
      <c r="M77" s="494"/>
      <c r="N77" s="2970"/>
      <c r="O77" s="2970"/>
      <c r="P77" s="2995"/>
      <c r="Q77" s="2956"/>
      <c r="R77" s="2942"/>
      <c r="S77" s="2942"/>
      <c r="T77" s="2942"/>
      <c r="U77" s="2942"/>
      <c r="V77" s="2942"/>
      <c r="W77" s="2942"/>
      <c r="X77" s="2942"/>
      <c r="Y77" s="2942"/>
      <c r="Z77" s="2942"/>
      <c r="AA77" s="2942"/>
      <c r="AB77" s="2942"/>
      <c r="AC77" s="2942"/>
    </row>
    <row r="78" spans="1:29" ht="15.75" thickBot="1">
      <c r="A78" s="486"/>
      <c r="B78" s="495"/>
      <c r="C78" s="496"/>
      <c r="D78" s="496"/>
      <c r="E78" s="496"/>
      <c r="F78" s="496"/>
      <c r="G78" s="496"/>
      <c r="H78" s="496"/>
      <c r="I78" s="496"/>
      <c r="J78" s="496"/>
      <c r="K78" s="496"/>
      <c r="L78" s="496"/>
      <c r="M78" s="497"/>
      <c r="N78" s="2971"/>
      <c r="O78" s="2971"/>
      <c r="P78" s="2995"/>
      <c r="Q78" s="2956"/>
      <c r="R78" s="2942"/>
      <c r="S78" s="2942"/>
      <c r="T78" s="2942"/>
      <c r="U78" s="2942"/>
      <c r="V78" s="2942"/>
      <c r="W78" s="2942"/>
      <c r="X78" s="2942"/>
      <c r="Y78" s="2942"/>
      <c r="Z78" s="2942"/>
      <c r="AA78" s="2942"/>
      <c r="AB78" s="2942"/>
      <c r="AC78" s="2942"/>
    </row>
    <row r="79" spans="1:29" ht="15.75" thickTop="1">
      <c r="A79" s="486"/>
      <c r="B79" s="498" t="s">
        <v>2375</v>
      </c>
      <c r="C79" s="499" t="str">
        <f>C80&amp;"（含）"&amp;"-"&amp;D80</f>
        <v>0（含）-0.5</v>
      </c>
      <c r="D79" s="499" t="str">
        <f t="shared" ref="D79:L79" si="22">D80&amp;"（含）"&amp;"-"&amp;E80</f>
        <v>0.5（含）-1</v>
      </c>
      <c r="E79" s="499" t="str">
        <f t="shared" si="22"/>
        <v>1（含）-1.5</v>
      </c>
      <c r="F79" s="499" t="str">
        <f t="shared" si="22"/>
        <v>1.5（含）-2</v>
      </c>
      <c r="G79" s="499" t="str">
        <f t="shared" si="22"/>
        <v>2（含）-2.5</v>
      </c>
      <c r="H79" s="499" t="str">
        <f t="shared" si="22"/>
        <v>2.5（含）-3</v>
      </c>
      <c r="I79" s="499" t="str">
        <f t="shared" si="22"/>
        <v>3（含）-</v>
      </c>
      <c r="J79" s="499" t="str">
        <f t="shared" si="22"/>
        <v>（含）-</v>
      </c>
      <c r="K79" s="499" t="str">
        <f t="shared" si="22"/>
        <v>（含）-</v>
      </c>
      <c r="L79" s="499" t="str">
        <f t="shared" si="22"/>
        <v>（含）-</v>
      </c>
      <c r="M79" s="402"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86"/>
      <c r="B80" s="500"/>
      <c r="C80" s="501">
        <v>0</v>
      </c>
      <c r="D80" s="501">
        <v>0.5</v>
      </c>
      <c r="E80" s="501">
        <v>1</v>
      </c>
      <c r="F80" s="501">
        <v>1.5</v>
      </c>
      <c r="G80" s="501">
        <v>2</v>
      </c>
      <c r="H80" s="501">
        <v>2.5</v>
      </c>
      <c r="I80" s="501">
        <v>3</v>
      </c>
      <c r="J80" s="501"/>
      <c r="K80" s="502"/>
      <c r="L80" s="503"/>
      <c r="M80" s="504"/>
      <c r="N80" s="2970"/>
      <c r="O80" s="2970"/>
      <c r="P80" s="2995"/>
      <c r="Q80" s="2956"/>
      <c r="R80" s="2942"/>
      <c r="S80" s="2942"/>
      <c r="T80" s="2942"/>
      <c r="U80" s="2942"/>
      <c r="V80" s="2942"/>
      <c r="W80" s="2942"/>
      <c r="X80" s="2942"/>
      <c r="Y80" s="2942"/>
      <c r="Z80" s="2942"/>
      <c r="AA80" s="2942"/>
      <c r="AB80" s="2942"/>
      <c r="AC80" s="2942"/>
    </row>
    <row r="81" spans="1:29" ht="15.75" thickBot="1">
      <c r="A81" s="486"/>
      <c r="B81" s="487"/>
      <c r="C81" s="496">
        <v>100</v>
      </c>
      <c r="D81" s="496">
        <f t="shared" ref="D81:M81" si="23">IF($B$46="单位面积地价",C81+$K11,C81-$K11)</f>
        <v>95</v>
      </c>
      <c r="E81" s="496">
        <f t="shared" si="23"/>
        <v>90</v>
      </c>
      <c r="F81" s="496">
        <f t="shared" si="23"/>
        <v>85</v>
      </c>
      <c r="G81" s="496">
        <f t="shared" si="23"/>
        <v>80</v>
      </c>
      <c r="H81" s="496">
        <f t="shared" si="23"/>
        <v>75</v>
      </c>
      <c r="I81" s="496">
        <f t="shared" si="23"/>
        <v>70</v>
      </c>
      <c r="J81" s="496">
        <f t="shared" si="23"/>
        <v>65</v>
      </c>
      <c r="K81" s="496">
        <f t="shared" si="23"/>
        <v>60</v>
      </c>
      <c r="L81" s="496">
        <f t="shared" si="23"/>
        <v>55</v>
      </c>
      <c r="M81" s="496">
        <f t="shared" si="23"/>
        <v>50</v>
      </c>
      <c r="N81" s="2971"/>
      <c r="O81" s="2971"/>
      <c r="P81" s="2995"/>
      <c r="Q81" s="2956"/>
      <c r="R81" s="2942"/>
      <c r="S81" s="2942"/>
      <c r="T81" s="2942"/>
      <c r="U81" s="2942"/>
      <c r="V81" s="2942"/>
      <c r="W81" s="2942"/>
      <c r="X81" s="2942"/>
      <c r="Y81" s="2942"/>
      <c r="Z81" s="2942"/>
      <c r="AA81" s="2942"/>
      <c r="AB81" s="2942"/>
      <c r="AC81" s="2942"/>
    </row>
    <row r="82" spans="1:29" s="425" customFormat="1" ht="15.75" thickTop="1">
      <c r="A82" s="505"/>
      <c r="B82" s="490" t="str">
        <f>B12</f>
        <v>配建</v>
      </c>
      <c r="C82" s="3089" t="s">
        <v>3380</v>
      </c>
      <c r="D82" s="3089" t="s">
        <v>3381</v>
      </c>
      <c r="E82" s="506"/>
      <c r="F82" s="506"/>
      <c r="G82" s="506"/>
      <c r="H82" s="507"/>
      <c r="I82" s="507"/>
      <c r="J82" s="507"/>
      <c r="K82" s="507"/>
      <c r="L82" s="508"/>
      <c r="M82" s="509"/>
      <c r="N82" s="2972"/>
      <c r="O82" s="2972"/>
      <c r="P82" s="2996"/>
      <c r="Q82" s="2963"/>
      <c r="R82" s="2964"/>
      <c r="S82" s="2964"/>
      <c r="T82" s="2964"/>
      <c r="U82" s="2964"/>
      <c r="V82" s="2964"/>
      <c r="W82" s="2964"/>
      <c r="X82" s="2964"/>
      <c r="Y82" s="2964"/>
      <c r="Z82" s="2964"/>
      <c r="AA82" s="2964"/>
      <c r="AB82" s="2964"/>
      <c r="AC82" s="2964"/>
    </row>
    <row r="83" spans="1:29" s="425" customFormat="1" ht="15.75" thickBot="1">
      <c r="A83" s="505"/>
      <c r="B83" s="495"/>
      <c r="C83" s="512">
        <v>100</v>
      </c>
      <c r="D83" s="488">
        <v>97</v>
      </c>
      <c r="E83" s="488"/>
      <c r="F83" s="488"/>
      <c r="G83" s="488"/>
      <c r="H83" s="488"/>
      <c r="I83" s="488"/>
      <c r="J83" s="488"/>
      <c r="K83" s="488"/>
      <c r="L83" s="488"/>
      <c r="M83" s="489"/>
      <c r="N83" s="2971"/>
      <c r="O83" s="2971"/>
      <c r="P83" s="2996"/>
      <c r="Q83" s="2963"/>
      <c r="R83" s="2964"/>
      <c r="S83" s="2964"/>
      <c r="T83" s="2964"/>
      <c r="U83" s="2964"/>
      <c r="V83" s="2964"/>
      <c r="W83" s="2964"/>
      <c r="X83" s="2964"/>
      <c r="Y83" s="2964"/>
      <c r="Z83" s="2964"/>
      <c r="AA83" s="2964"/>
      <c r="AB83" s="2964"/>
      <c r="AC83" s="2964"/>
    </row>
    <row r="84" spans="1:29" s="425" customFormat="1" ht="29.25" thickTop="1">
      <c r="A84" s="505"/>
      <c r="B84" s="490" t="str">
        <f>B13</f>
        <v>自持</v>
      </c>
      <c r="C84" s="506">
        <v>0</v>
      </c>
      <c r="D84" s="506" t="s">
        <v>3382</v>
      </c>
      <c r="E84" s="506" t="s">
        <v>3383</v>
      </c>
      <c r="F84" s="506" t="s">
        <v>3384</v>
      </c>
      <c r="G84" s="506" t="s">
        <v>3390</v>
      </c>
      <c r="H84" s="507"/>
      <c r="I84" s="507"/>
      <c r="J84" s="507"/>
      <c r="K84" s="507"/>
      <c r="L84" s="508"/>
      <c r="M84" s="509"/>
      <c r="N84" s="2972"/>
      <c r="O84" s="2972"/>
      <c r="P84" s="2940"/>
      <c r="Q84" s="2966"/>
      <c r="R84" s="2964"/>
      <c r="S84" s="2964"/>
      <c r="T84" s="2964"/>
      <c r="U84" s="2964"/>
      <c r="V84" s="2964"/>
      <c r="W84" s="2964"/>
      <c r="X84" s="2964"/>
      <c r="Y84" s="2964"/>
      <c r="Z84" s="2964"/>
      <c r="AA84" s="2964"/>
      <c r="AB84" s="2964"/>
      <c r="AC84" s="2964"/>
    </row>
    <row r="85" spans="1:29" s="425" customFormat="1" ht="15.75" thickBot="1">
      <c r="A85" s="505"/>
      <c r="B85" s="495"/>
      <c r="C85" s="512">
        <v>100</v>
      </c>
      <c r="D85" s="512">
        <v>98</v>
      </c>
      <c r="E85" s="512">
        <v>96</v>
      </c>
      <c r="F85" s="512">
        <v>94</v>
      </c>
      <c r="G85" s="512">
        <v>92</v>
      </c>
      <c r="H85" s="514"/>
      <c r="I85" s="514"/>
      <c r="J85" s="514"/>
      <c r="K85" s="514"/>
      <c r="L85" s="514"/>
      <c r="M85" s="515"/>
      <c r="N85" s="2972"/>
      <c r="O85" s="2972"/>
      <c r="P85" s="2996"/>
      <c r="Q85" s="2963"/>
      <c r="R85" s="2964"/>
      <c r="S85" s="2964"/>
      <c r="T85" s="2964"/>
      <c r="U85" s="2964"/>
      <c r="V85" s="2964"/>
      <c r="W85" s="2964"/>
      <c r="X85" s="2964"/>
      <c r="Y85" s="2964"/>
      <c r="Z85" s="2964"/>
      <c r="AA85" s="2964"/>
      <c r="AB85" s="2964"/>
      <c r="AC85" s="2964"/>
    </row>
    <row r="86" spans="1:29" s="425" customFormat="1" ht="15.75" thickTop="1">
      <c r="A86" s="505"/>
      <c r="B86" s="498" t="str">
        <f>B14</f>
        <v>限价区间</v>
      </c>
      <c r="C86" s="475" t="s">
        <v>3385</v>
      </c>
      <c r="D86" s="475" t="s">
        <v>3386</v>
      </c>
      <c r="E86" s="475" t="s">
        <v>3387</v>
      </c>
      <c r="F86" s="475"/>
      <c r="G86" s="475"/>
      <c r="H86" s="516"/>
      <c r="I86" s="516"/>
      <c r="J86" s="516"/>
      <c r="K86" s="516"/>
      <c r="L86" s="517"/>
      <c r="M86" s="518"/>
      <c r="N86" s="2972"/>
      <c r="O86" s="2972"/>
      <c r="P86" s="3001"/>
      <c r="Q86" s="2963"/>
      <c r="R86" s="2964"/>
      <c r="S86" s="2964"/>
      <c r="T86" s="2964"/>
      <c r="U86" s="2964"/>
      <c r="V86" s="2964"/>
      <c r="W86" s="2964"/>
      <c r="X86" s="2964"/>
      <c r="Y86" s="2964"/>
      <c r="Z86" s="2964"/>
      <c r="AA86" s="2964"/>
      <c r="AB86" s="2964"/>
      <c r="AC86" s="2964"/>
    </row>
    <row r="87" spans="1:29" s="425" customFormat="1" ht="15.75" thickBot="1">
      <c r="A87" s="520"/>
      <c r="B87" s="521"/>
      <c r="C87" s="522">
        <v>100</v>
      </c>
      <c r="D87" s="522">
        <v>97</v>
      </c>
      <c r="E87" s="522">
        <v>94</v>
      </c>
      <c r="F87" s="522"/>
      <c r="G87" s="522"/>
      <c r="H87" s="523"/>
      <c r="I87" s="523"/>
      <c r="J87" s="523"/>
      <c r="K87" s="523"/>
      <c r="L87" s="523"/>
      <c r="M87" s="524"/>
      <c r="N87" s="2972"/>
      <c r="O87" s="2972"/>
      <c r="P87" s="2996"/>
      <c r="Q87" s="2963"/>
      <c r="R87" s="2964"/>
      <c r="S87" s="2964"/>
      <c r="T87" s="2964"/>
      <c r="U87" s="2964"/>
      <c r="V87" s="2964"/>
      <c r="W87" s="2964"/>
      <c r="X87" s="2964"/>
      <c r="Y87" s="2964"/>
      <c r="Z87" s="2964"/>
      <c r="AA87" s="2964"/>
      <c r="AB87" s="2964"/>
      <c r="AC87" s="2964"/>
    </row>
    <row r="88" spans="1:29">
      <c r="A88" s="479" t="s">
        <v>2376</v>
      </c>
      <c r="B88" s="480" t="s">
        <v>2413</v>
      </c>
      <c r="C88" s="525" t="s">
        <v>2414</v>
      </c>
      <c r="D88" s="525" t="s">
        <v>2415</v>
      </c>
      <c r="E88" s="525" t="s">
        <v>2416</v>
      </c>
      <c r="F88" s="525" t="s">
        <v>2417</v>
      </c>
      <c r="G88" s="525" t="s">
        <v>2418</v>
      </c>
      <c r="H88" s="481"/>
      <c r="I88" s="481"/>
      <c r="J88" s="481"/>
      <c r="K88" s="526"/>
      <c r="L88" s="527"/>
      <c r="M88" s="528"/>
      <c r="N88" s="2970"/>
      <c r="O88" s="2970"/>
      <c r="P88" s="2997"/>
      <c r="Q88" s="2956"/>
      <c r="R88" s="2942"/>
      <c r="S88" s="2942"/>
      <c r="T88" s="2942"/>
      <c r="U88" s="2942"/>
      <c r="V88" s="2942"/>
      <c r="W88" s="2942"/>
      <c r="X88" s="2942"/>
      <c r="Y88" s="2942"/>
      <c r="Z88" s="2942"/>
      <c r="AA88" s="2942"/>
      <c r="AB88" s="2942"/>
      <c r="AC88" s="2942"/>
    </row>
    <row r="89" spans="1:29" ht="15.75" thickBot="1">
      <c r="A89" s="486"/>
      <c r="B89" s="495"/>
      <c r="C89" s="496">
        <v>100</v>
      </c>
      <c r="D89" s="496">
        <f>C89-$K15</f>
        <v>95</v>
      </c>
      <c r="E89" s="496">
        <f>D89-$K15</f>
        <v>90</v>
      </c>
      <c r="F89" s="496">
        <f>E89-$K15</f>
        <v>85</v>
      </c>
      <c r="G89" s="496">
        <f>F89-$K15</f>
        <v>80</v>
      </c>
      <c r="H89" s="496"/>
      <c r="I89" s="496"/>
      <c r="J89" s="496"/>
      <c r="K89" s="496"/>
      <c r="L89" s="496"/>
      <c r="M89" s="497"/>
      <c r="N89" s="2971"/>
      <c r="O89" s="2971"/>
      <c r="P89" s="2995"/>
      <c r="Q89" s="2956"/>
      <c r="R89" s="2942"/>
      <c r="S89" s="2942"/>
      <c r="T89" s="2942"/>
      <c r="U89" s="2942"/>
      <c r="V89" s="2942"/>
      <c r="W89" s="2942"/>
      <c r="X89" s="2942"/>
      <c r="Y89" s="2942"/>
      <c r="Z89" s="2942"/>
      <c r="AA89" s="2942"/>
      <c r="AB89" s="2942"/>
      <c r="AC89" s="2942"/>
    </row>
    <row r="90" spans="1:29" ht="15.75" thickTop="1">
      <c r="A90" s="486"/>
      <c r="B90" s="490" t="s">
        <v>2601</v>
      </c>
      <c r="C90" s="530" t="s">
        <v>2414</v>
      </c>
      <c r="D90" s="530" t="s">
        <v>2415</v>
      </c>
      <c r="E90" s="530" t="s">
        <v>2416</v>
      </c>
      <c r="F90" s="530" t="s">
        <v>2417</v>
      </c>
      <c r="G90" s="530" t="s">
        <v>2418</v>
      </c>
      <c r="H90" s="491"/>
      <c r="I90" s="491"/>
      <c r="J90" s="491"/>
      <c r="K90" s="492"/>
      <c r="L90" s="493"/>
      <c r="M90" s="494"/>
      <c r="N90" s="2970"/>
      <c r="O90" s="2970"/>
      <c r="P90" s="2995"/>
      <c r="Q90" s="2956"/>
      <c r="R90" s="2942"/>
      <c r="S90" s="2942"/>
      <c r="T90" s="2942"/>
      <c r="U90" s="2942"/>
      <c r="V90" s="2942"/>
      <c r="W90" s="2942"/>
      <c r="X90" s="2942"/>
      <c r="Y90" s="2942"/>
      <c r="Z90" s="2942"/>
      <c r="AA90" s="2942"/>
      <c r="AB90" s="2942"/>
      <c r="AC90" s="2942"/>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971"/>
      <c r="O91" s="2971"/>
      <c r="P91" s="2995"/>
      <c r="Q91" s="2956"/>
      <c r="R91" s="2942"/>
      <c r="S91" s="2942"/>
      <c r="T91" s="2942"/>
      <c r="U91" s="2942"/>
      <c r="V91" s="2942"/>
      <c r="W91" s="2942"/>
      <c r="X91" s="2942"/>
      <c r="Y91" s="2942"/>
      <c r="Z91" s="2942"/>
      <c r="AA91" s="2942"/>
      <c r="AB91" s="2942"/>
      <c r="AC91" s="2942"/>
    </row>
    <row r="92" spans="1:29" ht="15.75" thickTop="1">
      <c r="A92" s="486"/>
      <c r="B92" s="490" t="s">
        <v>2514</v>
      </c>
      <c r="C92" s="530" t="s">
        <v>2414</v>
      </c>
      <c r="D92" s="530" t="s">
        <v>2415</v>
      </c>
      <c r="E92" s="530" t="s">
        <v>2416</v>
      </c>
      <c r="F92" s="530" t="s">
        <v>2417</v>
      </c>
      <c r="G92" s="530" t="s">
        <v>2418</v>
      </c>
      <c r="H92" s="491"/>
      <c r="I92" s="491"/>
      <c r="J92" s="491"/>
      <c r="K92" s="492"/>
      <c r="L92" s="493"/>
      <c r="M92" s="494"/>
      <c r="N92" s="2970"/>
      <c r="O92" s="2970"/>
      <c r="P92" s="2995"/>
      <c r="Q92" s="2956"/>
      <c r="R92" s="2942"/>
      <c r="S92" s="2942"/>
      <c r="T92" s="2942"/>
      <c r="U92" s="2942"/>
      <c r="V92" s="2942"/>
      <c r="W92" s="2942"/>
      <c r="X92" s="2942"/>
      <c r="Y92" s="2942"/>
      <c r="Z92" s="2942"/>
      <c r="AA92" s="2942"/>
      <c r="AB92" s="2942"/>
      <c r="AC92" s="2942"/>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971"/>
      <c r="O93" s="2971"/>
      <c r="P93" s="2995"/>
      <c r="Q93" s="2956"/>
      <c r="R93" s="2942"/>
      <c r="S93" s="2942"/>
      <c r="T93" s="2942"/>
      <c r="U93" s="2942"/>
      <c r="V93" s="2942"/>
      <c r="W93" s="2942"/>
      <c r="X93" s="2942"/>
      <c r="Y93" s="2942"/>
      <c r="Z93" s="2942"/>
      <c r="AA93" s="2942"/>
      <c r="AB93" s="2942"/>
      <c r="AC93" s="2942"/>
    </row>
    <row r="94" spans="1:29" ht="15.75" thickTop="1">
      <c r="A94" s="486"/>
      <c r="B94" s="490" t="s">
        <v>2419</v>
      </c>
      <c r="C94" s="530" t="s">
        <v>2414</v>
      </c>
      <c r="D94" s="530" t="s">
        <v>2415</v>
      </c>
      <c r="E94" s="530" t="s">
        <v>2416</v>
      </c>
      <c r="F94" s="530" t="s">
        <v>2417</v>
      </c>
      <c r="G94" s="530" t="s">
        <v>2418</v>
      </c>
      <c r="H94" s="491"/>
      <c r="I94" s="491"/>
      <c r="J94" s="491"/>
      <c r="K94" s="492"/>
      <c r="L94" s="493"/>
      <c r="M94" s="494"/>
      <c r="N94" s="2970"/>
      <c r="O94" s="2970"/>
      <c r="P94" s="2995"/>
      <c r="Q94" s="2956"/>
      <c r="R94" s="2942"/>
      <c r="S94" s="2942"/>
      <c r="T94" s="2942"/>
      <c r="U94" s="2942"/>
      <c r="V94" s="2942"/>
      <c r="W94" s="2942"/>
      <c r="X94" s="2942"/>
      <c r="Y94" s="2942"/>
      <c r="Z94" s="2942"/>
      <c r="AA94" s="2942"/>
      <c r="AB94" s="2942"/>
      <c r="AC94" s="2942"/>
    </row>
    <row r="95" spans="1:29" ht="15.75" thickBot="1">
      <c r="A95" s="486"/>
      <c r="B95" s="495"/>
      <c r="C95" s="496">
        <v>100</v>
      </c>
      <c r="D95" s="496">
        <f>C95-$K21</f>
        <v>98</v>
      </c>
      <c r="E95" s="496">
        <f>D95-$K21</f>
        <v>96</v>
      </c>
      <c r="F95" s="496">
        <f>E95-$K21</f>
        <v>94</v>
      </c>
      <c r="G95" s="496">
        <f>F95-$K21</f>
        <v>92</v>
      </c>
      <c r="H95" s="496"/>
      <c r="I95" s="496"/>
      <c r="J95" s="496"/>
      <c r="K95" s="496"/>
      <c r="L95" s="496"/>
      <c r="M95" s="497"/>
      <c r="N95" s="2971"/>
      <c r="O95" s="2971"/>
      <c r="P95" s="2995"/>
      <c r="Q95" s="2956"/>
      <c r="R95" s="2942"/>
      <c r="S95" s="2942"/>
      <c r="T95" s="2942"/>
      <c r="U95" s="2942"/>
      <c r="V95" s="2942"/>
      <c r="W95" s="2942"/>
      <c r="X95" s="2942"/>
      <c r="Y95" s="2942"/>
      <c r="Z95" s="2942"/>
      <c r="AA95" s="2942"/>
      <c r="AB95" s="2942"/>
      <c r="AC95" s="2942"/>
    </row>
    <row r="96" spans="1:29" s="108" customFormat="1" ht="15.75" thickTop="1">
      <c r="A96" s="531"/>
      <c r="B96" s="490" t="s">
        <v>2602</v>
      </c>
      <c r="C96" s="530" t="s">
        <v>2414</v>
      </c>
      <c r="D96" s="530" t="s">
        <v>2415</v>
      </c>
      <c r="E96" s="530" t="s">
        <v>2416</v>
      </c>
      <c r="F96" s="530" t="s">
        <v>2417</v>
      </c>
      <c r="G96" s="530" t="s">
        <v>2418</v>
      </c>
      <c r="H96" s="530"/>
      <c r="I96" s="530"/>
      <c r="J96" s="530"/>
      <c r="K96" s="530"/>
      <c r="L96" s="649"/>
      <c r="M96" s="573"/>
      <c r="N96" s="2969"/>
      <c r="O96" s="2969"/>
      <c r="P96" s="2995"/>
      <c r="Q96" s="2956"/>
      <c r="R96" s="2877"/>
      <c r="S96" s="2877"/>
      <c r="T96" s="2877"/>
      <c r="U96" s="2877"/>
      <c r="V96" s="2877"/>
      <c r="W96" s="2877"/>
      <c r="X96" s="2877"/>
      <c r="Y96" s="2877"/>
      <c r="Z96" s="2877"/>
      <c r="AA96" s="2877"/>
      <c r="AB96" s="2877"/>
      <c r="AC96" s="2877"/>
    </row>
    <row r="97" spans="1:29" s="108" customFormat="1" ht="15.75" thickBot="1">
      <c r="A97" s="531"/>
      <c r="B97" s="495"/>
      <c r="C97" s="534">
        <v>100</v>
      </c>
      <c r="D97" s="496">
        <f>C97-$K23</f>
        <v>98</v>
      </c>
      <c r="E97" s="496">
        <f>D97-$K23</f>
        <v>96</v>
      </c>
      <c r="F97" s="496">
        <f>E97-$K23</f>
        <v>94</v>
      </c>
      <c r="G97" s="496">
        <f>F97-$K23</f>
        <v>92</v>
      </c>
      <c r="H97" s="496"/>
      <c r="I97" s="496"/>
      <c r="J97" s="496"/>
      <c r="K97" s="496"/>
      <c r="L97" s="496"/>
      <c r="M97" s="497"/>
      <c r="N97" s="2971"/>
      <c r="O97" s="2971"/>
      <c r="P97" s="2995"/>
      <c r="Q97" s="2956"/>
      <c r="R97" s="2877"/>
      <c r="S97" s="2877"/>
      <c r="T97" s="2877"/>
      <c r="U97" s="2877"/>
      <c r="V97" s="2877"/>
      <c r="W97" s="2877"/>
      <c r="X97" s="2877"/>
      <c r="Y97" s="2877"/>
      <c r="Z97" s="2877"/>
      <c r="AA97" s="2877"/>
      <c r="AB97" s="2877"/>
      <c r="AC97" s="2877"/>
    </row>
    <row r="98" spans="1:29" s="108" customFormat="1" ht="27.75" thickTop="1">
      <c r="A98" s="531"/>
      <c r="B98" s="490" t="s">
        <v>2603</v>
      </c>
      <c r="C98" s="525" t="s">
        <v>2414</v>
      </c>
      <c r="D98" s="525" t="s">
        <v>2415</v>
      </c>
      <c r="E98" s="525" t="s">
        <v>2416</v>
      </c>
      <c r="F98" s="525" t="s">
        <v>2417</v>
      </c>
      <c r="G98" s="525" t="s">
        <v>2418</v>
      </c>
      <c r="H98" s="530"/>
      <c r="I98" s="530"/>
      <c r="J98" s="530"/>
      <c r="K98" s="530"/>
      <c r="L98" s="530"/>
      <c r="M98" s="573"/>
      <c r="N98" s="2969"/>
      <c r="O98" s="2969"/>
      <c r="P98" s="2995"/>
      <c r="Q98" s="2956"/>
      <c r="R98" s="2877"/>
      <c r="S98" s="2877"/>
      <c r="T98" s="2877"/>
      <c r="U98" s="2877"/>
      <c r="V98" s="2877"/>
      <c r="W98" s="2877"/>
      <c r="X98" s="2877"/>
      <c r="Y98" s="2877"/>
      <c r="Z98" s="2877"/>
      <c r="AA98" s="2877"/>
      <c r="AB98" s="2877"/>
      <c r="AC98" s="2877"/>
    </row>
    <row r="99" spans="1:29" s="108" customFormat="1" ht="15.75" thickBot="1">
      <c r="A99" s="531"/>
      <c r="B99" s="495"/>
      <c r="C99" s="496">
        <v>100</v>
      </c>
      <c r="D99" s="496">
        <f>C99-$K25</f>
        <v>98</v>
      </c>
      <c r="E99" s="496">
        <f>D99-$K25</f>
        <v>96</v>
      </c>
      <c r="F99" s="496">
        <f>E99-$K25</f>
        <v>94</v>
      </c>
      <c r="G99" s="496">
        <f>F99-$K25</f>
        <v>92</v>
      </c>
      <c r="H99" s="496"/>
      <c r="I99" s="496"/>
      <c r="J99" s="496"/>
      <c r="K99" s="496"/>
      <c r="L99" s="496"/>
      <c r="M99" s="497"/>
      <c r="N99" s="2971"/>
      <c r="O99" s="2971"/>
      <c r="P99" s="2995"/>
      <c r="Q99" s="2956"/>
      <c r="R99" s="2877"/>
      <c r="S99" s="2877"/>
      <c r="T99" s="2877"/>
      <c r="U99" s="2877"/>
      <c r="V99" s="2877"/>
      <c r="W99" s="2877"/>
      <c r="X99" s="2877"/>
      <c r="Y99" s="2877"/>
      <c r="Z99" s="2877"/>
      <c r="AA99" s="2877"/>
      <c r="AB99" s="2877"/>
      <c r="AC99" s="2877"/>
    </row>
    <row r="100" spans="1:29" s="425" customFormat="1" ht="15.75" thickTop="1">
      <c r="A100" s="505"/>
      <c r="B100" s="490" t="s">
        <v>2471</v>
      </c>
      <c r="C100" s="525" t="s">
        <v>2414</v>
      </c>
      <c r="D100" s="525" t="s">
        <v>2415</v>
      </c>
      <c r="E100" s="525" t="s">
        <v>2416</v>
      </c>
      <c r="F100" s="525" t="s">
        <v>2417</v>
      </c>
      <c r="G100" s="525" t="s">
        <v>2418</v>
      </c>
      <c r="H100" s="552"/>
      <c r="I100" s="552"/>
      <c r="J100" s="552"/>
      <c r="K100" s="552"/>
      <c r="L100" s="553"/>
      <c r="M100" s="554"/>
      <c r="N100" s="2972"/>
      <c r="O100" s="2972"/>
      <c r="P100" s="2996"/>
      <c r="Q100" s="2963"/>
      <c r="R100" s="2964"/>
      <c r="S100" s="2964"/>
      <c r="T100" s="2964"/>
      <c r="U100" s="2964"/>
      <c r="V100" s="2964"/>
      <c r="W100" s="2964"/>
      <c r="X100" s="2964"/>
      <c r="Y100" s="2964"/>
      <c r="Z100" s="2964"/>
      <c r="AA100" s="2964"/>
      <c r="AB100" s="2964"/>
      <c r="AC100" s="2964"/>
    </row>
    <row r="101" spans="1:29" s="425" customFormat="1" ht="15.75" thickBot="1">
      <c r="A101" s="505"/>
      <c r="B101" s="495"/>
      <c r="C101" s="496">
        <v>100</v>
      </c>
      <c r="D101" s="496">
        <f>C101-$K27</f>
        <v>98</v>
      </c>
      <c r="E101" s="496">
        <f>D101-$K27</f>
        <v>96</v>
      </c>
      <c r="F101" s="496">
        <f>E101-$K27</f>
        <v>94</v>
      </c>
      <c r="G101" s="496">
        <f>F101-$K27</f>
        <v>92</v>
      </c>
      <c r="H101" s="559"/>
      <c r="I101" s="559"/>
      <c r="J101" s="559"/>
      <c r="K101" s="559"/>
      <c r="L101" s="559"/>
      <c r="M101" s="560"/>
      <c r="N101" s="2972"/>
      <c r="O101" s="2972"/>
      <c r="P101" s="2996"/>
      <c r="Q101" s="2963"/>
      <c r="R101" s="2964"/>
      <c r="S101" s="2964"/>
      <c r="T101" s="2964"/>
      <c r="U101" s="2964"/>
      <c r="V101" s="2964"/>
      <c r="W101" s="2964"/>
      <c r="X101" s="2964"/>
      <c r="Y101" s="2964"/>
      <c r="Z101" s="2964"/>
      <c r="AA101" s="2964"/>
      <c r="AB101" s="2964"/>
      <c r="AC101" s="2964"/>
    </row>
    <row r="102" spans="1:29" s="425" customFormat="1" ht="15.75" thickTop="1">
      <c r="A102" s="505"/>
      <c r="B102" s="498" t="s">
        <v>2472</v>
      </c>
      <c r="C102" s="611" t="s">
        <v>2492</v>
      </c>
      <c r="D102" s="611" t="s">
        <v>2493</v>
      </c>
      <c r="E102" s="611" t="s">
        <v>2494</v>
      </c>
      <c r="F102" s="611" t="s">
        <v>2495</v>
      </c>
      <c r="G102" s="611" t="s">
        <v>2496</v>
      </c>
      <c r="H102" s="552"/>
      <c r="I102" s="552"/>
      <c r="J102" s="552"/>
      <c r="K102" s="552"/>
      <c r="L102" s="552"/>
      <c r="M102" s="1288"/>
      <c r="N102" s="2972"/>
      <c r="O102" s="2972"/>
      <c r="P102" s="2996"/>
      <c r="Q102" s="2963"/>
      <c r="R102" s="2964"/>
      <c r="S102" s="2964"/>
      <c r="T102" s="2964"/>
      <c r="U102" s="2964"/>
      <c r="V102" s="2964"/>
      <c r="W102" s="2964"/>
      <c r="X102" s="2964"/>
      <c r="Y102" s="2964"/>
      <c r="Z102" s="2964"/>
      <c r="AA102" s="2964"/>
      <c r="AB102" s="2964"/>
      <c r="AC102" s="2964"/>
    </row>
    <row r="103" spans="1:29" s="425" customFormat="1" ht="15.75" thickBot="1">
      <c r="A103" s="505"/>
      <c r="B103" s="498"/>
      <c r="C103" s="496">
        <v>100</v>
      </c>
      <c r="D103" s="496">
        <f>C103-$K29</f>
        <v>99</v>
      </c>
      <c r="E103" s="496">
        <f>D103-$K29</f>
        <v>98</v>
      </c>
      <c r="F103" s="496">
        <f>E103-$K29</f>
        <v>97</v>
      </c>
      <c r="G103" s="496">
        <f>F103-$K29</f>
        <v>96</v>
      </c>
      <c r="H103" s="500"/>
      <c r="I103" s="500"/>
      <c r="J103" s="500"/>
      <c r="K103" s="500"/>
      <c r="L103" s="500"/>
      <c r="M103" s="1288"/>
      <c r="N103" s="2972"/>
      <c r="O103" s="2972"/>
      <c r="P103" s="2996"/>
      <c r="Q103" s="2963"/>
      <c r="R103" s="2964"/>
      <c r="S103" s="2964"/>
      <c r="T103" s="2964"/>
      <c r="U103" s="2964"/>
      <c r="V103" s="2964"/>
      <c r="W103" s="2964"/>
      <c r="X103" s="2964"/>
      <c r="Y103" s="2964"/>
      <c r="Z103" s="2964"/>
      <c r="AA103" s="2964"/>
      <c r="AB103" s="2964"/>
      <c r="AC103" s="2964"/>
    </row>
    <row r="104" spans="1:29" ht="15.75" thickTop="1">
      <c r="A104" s="486"/>
      <c r="B104" s="490" t="str">
        <f>B31</f>
        <v>临街状况</v>
      </c>
      <c r="C104" s="491" t="s">
        <v>2604</v>
      </c>
      <c r="D104" s="491" t="s">
        <v>2605</v>
      </c>
      <c r="E104" s="491" t="s">
        <v>2606</v>
      </c>
      <c r="F104" s="491" t="s">
        <v>2607</v>
      </c>
      <c r="G104" s="491"/>
      <c r="H104" s="491"/>
      <c r="I104" s="491"/>
      <c r="J104" s="491"/>
      <c r="K104" s="492"/>
      <c r="L104" s="493"/>
      <c r="M104" s="494"/>
      <c r="N104" s="2970"/>
      <c r="O104" s="2970"/>
      <c r="P104" s="2995"/>
      <c r="Q104" s="2956"/>
      <c r="R104" s="2942"/>
      <c r="S104" s="2942"/>
      <c r="T104" s="2942"/>
      <c r="U104" s="2942"/>
      <c r="V104" s="2942"/>
      <c r="W104" s="2942"/>
      <c r="X104" s="2942"/>
      <c r="Y104" s="2942"/>
      <c r="Z104" s="2942"/>
      <c r="AA104" s="2942"/>
      <c r="AB104" s="2942"/>
      <c r="AC104" s="2942"/>
    </row>
    <row r="105" spans="1:29" ht="15.75" thickBot="1">
      <c r="A105" s="486"/>
      <c r="B105" s="495"/>
      <c r="C105" s="496">
        <v>100</v>
      </c>
      <c r="D105" s="496">
        <f>C105-$K31</f>
        <v>100</v>
      </c>
      <c r="E105" s="496">
        <f t="shared" ref="E105:M105" si="24">D105-$K31</f>
        <v>100</v>
      </c>
      <c r="F105" s="496">
        <f t="shared" si="24"/>
        <v>100</v>
      </c>
      <c r="G105" s="496">
        <f t="shared" si="24"/>
        <v>100</v>
      </c>
      <c r="H105" s="496">
        <f t="shared" si="24"/>
        <v>100</v>
      </c>
      <c r="I105" s="496">
        <f t="shared" si="24"/>
        <v>100</v>
      </c>
      <c r="J105" s="496">
        <f t="shared" si="24"/>
        <v>100</v>
      </c>
      <c r="K105" s="496">
        <f t="shared" si="24"/>
        <v>100</v>
      </c>
      <c r="L105" s="496">
        <f t="shared" si="24"/>
        <v>100</v>
      </c>
      <c r="M105" s="496">
        <f t="shared" si="24"/>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86"/>
      <c r="B106" s="490" t="s">
        <v>2508</v>
      </c>
      <c r="C106" s="3089" t="s">
        <v>3367</v>
      </c>
      <c r="D106" s="3089" t="s">
        <v>3368</v>
      </c>
      <c r="E106" s="3089" t="s">
        <v>3370</v>
      </c>
      <c r="F106" s="3089" t="s">
        <v>3372</v>
      </c>
      <c r="G106" s="506"/>
      <c r="H106" s="535"/>
      <c r="I106" s="535"/>
      <c r="J106" s="535"/>
      <c r="K106" s="536"/>
      <c r="L106" s="537"/>
      <c r="M106" s="538"/>
      <c r="N106" s="2970"/>
      <c r="O106" s="2970"/>
      <c r="P106" s="2995"/>
      <c r="Q106" s="2956"/>
      <c r="R106" s="2942"/>
      <c r="S106" s="2942"/>
      <c r="T106" s="2942"/>
      <c r="U106" s="2942"/>
      <c r="V106" s="2942"/>
      <c r="W106" s="2942"/>
      <c r="X106" s="2942"/>
      <c r="Y106" s="2942"/>
      <c r="Z106" s="2942"/>
      <c r="AA106" s="2942"/>
      <c r="AB106" s="2942"/>
      <c r="AC106" s="2942"/>
    </row>
    <row r="107" spans="1:29" ht="15.75" thickBot="1">
      <c r="A107" s="486"/>
      <c r="B107" s="495"/>
      <c r="C107" s="496">
        <v>100</v>
      </c>
      <c r="D107" s="496">
        <f>C107-$K32</f>
        <v>98</v>
      </c>
      <c r="E107" s="496">
        <f t="shared" ref="E107:M107" si="25">D107-$K32</f>
        <v>96</v>
      </c>
      <c r="F107" s="496">
        <f t="shared" si="25"/>
        <v>94</v>
      </c>
      <c r="G107" s="496">
        <f t="shared" si="25"/>
        <v>92</v>
      </c>
      <c r="H107" s="496">
        <f t="shared" si="25"/>
        <v>90</v>
      </c>
      <c r="I107" s="496">
        <f t="shared" si="25"/>
        <v>88</v>
      </c>
      <c r="J107" s="496">
        <f t="shared" si="25"/>
        <v>86</v>
      </c>
      <c r="K107" s="496">
        <f t="shared" si="25"/>
        <v>84</v>
      </c>
      <c r="L107" s="496">
        <f t="shared" si="25"/>
        <v>82</v>
      </c>
      <c r="M107" s="496">
        <f t="shared" si="25"/>
        <v>80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86"/>
      <c r="B108" s="490" t="s">
        <v>2567</v>
      </c>
      <c r="C108" s="3088" t="s">
        <v>3373</v>
      </c>
      <c r="D108" s="3088" t="s">
        <v>3374</v>
      </c>
      <c r="E108" s="3088" t="s">
        <v>3375</v>
      </c>
      <c r="F108" s="3088" t="s">
        <v>3376</v>
      </c>
      <c r="G108" s="3088" t="s">
        <v>3377</v>
      </c>
      <c r="H108" s="535"/>
      <c r="I108" s="535"/>
      <c r="J108" s="535"/>
      <c r="K108" s="536"/>
      <c r="L108" s="537"/>
      <c r="M108" s="538"/>
      <c r="N108" s="2970"/>
      <c r="O108" s="2970"/>
      <c r="P108" s="2995"/>
      <c r="Q108" s="2956"/>
      <c r="R108" s="2942"/>
      <c r="S108" s="2942"/>
      <c r="T108" s="2942"/>
      <c r="U108" s="2942"/>
      <c r="V108" s="2942"/>
      <c r="W108" s="2942"/>
      <c r="X108" s="2942"/>
      <c r="Y108" s="2942"/>
      <c r="Z108" s="2942"/>
      <c r="AA108" s="2942"/>
      <c r="AB108" s="2942"/>
      <c r="AC108" s="2942"/>
    </row>
    <row r="109" spans="1:29" ht="15.75" thickBot="1">
      <c r="A109" s="486"/>
      <c r="B109" s="495"/>
      <c r="C109" s="496">
        <v>100</v>
      </c>
      <c r="D109" s="496">
        <f>C109-$K34</f>
        <v>98</v>
      </c>
      <c r="E109" s="496">
        <f t="shared" ref="E109:M109" si="26">D109-$K34</f>
        <v>96</v>
      </c>
      <c r="F109" s="496">
        <f t="shared" si="26"/>
        <v>94</v>
      </c>
      <c r="G109" s="496">
        <f t="shared" si="26"/>
        <v>92</v>
      </c>
      <c r="H109" s="496">
        <f t="shared" si="26"/>
        <v>90</v>
      </c>
      <c r="I109" s="496">
        <f t="shared" si="26"/>
        <v>88</v>
      </c>
      <c r="J109" s="496">
        <f t="shared" si="26"/>
        <v>86</v>
      </c>
      <c r="K109" s="496">
        <f t="shared" si="26"/>
        <v>84</v>
      </c>
      <c r="L109" s="496">
        <f t="shared" si="26"/>
        <v>82</v>
      </c>
      <c r="M109" s="496">
        <f t="shared" si="26"/>
        <v>80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86"/>
      <c r="B110" s="498">
        <f>B35</f>
        <v>111</v>
      </c>
      <c r="C110" s="506"/>
      <c r="D110" s="506"/>
      <c r="E110" s="506"/>
      <c r="F110" s="506"/>
      <c r="G110" s="539"/>
      <c r="H110" s="539"/>
      <c r="I110" s="539"/>
      <c r="J110" s="539"/>
      <c r="K110" s="540"/>
      <c r="L110" s="541"/>
      <c r="M110" s="542"/>
      <c r="N110" s="2970"/>
      <c r="O110" s="2970"/>
      <c r="P110" s="2995"/>
      <c r="Q110" s="2956"/>
      <c r="R110" s="2942"/>
      <c r="S110" s="2942"/>
      <c r="T110" s="2942"/>
      <c r="U110" s="2942"/>
      <c r="V110" s="2942"/>
      <c r="W110" s="2942"/>
      <c r="X110" s="2942"/>
      <c r="Y110" s="2942"/>
      <c r="Z110" s="2942"/>
      <c r="AA110" s="2942"/>
      <c r="AB110" s="2942"/>
      <c r="AC110" s="2942"/>
    </row>
    <row r="111" spans="1:29" ht="15.75" thickBot="1">
      <c r="A111" s="486"/>
      <c r="B111" s="521"/>
      <c r="C111" s="512"/>
      <c r="D111" s="512"/>
      <c r="E111" s="512"/>
      <c r="F111" s="512"/>
      <c r="G111" s="543"/>
      <c r="H111" s="543"/>
      <c r="I111" s="543"/>
      <c r="J111" s="543"/>
      <c r="K111" s="543"/>
      <c r="L111" s="543"/>
      <c r="M111" s="544"/>
      <c r="N111" s="2971"/>
      <c r="O111" s="2971"/>
      <c r="P111" s="2995"/>
      <c r="Q111" s="2956"/>
      <c r="R111" s="2942"/>
      <c r="S111" s="2942"/>
      <c r="T111" s="2942"/>
      <c r="U111" s="2942"/>
      <c r="V111" s="2942"/>
      <c r="W111" s="2942"/>
      <c r="X111" s="2942"/>
      <c r="Y111" s="2942"/>
      <c r="Z111" s="2942"/>
      <c r="AA111" s="2942"/>
      <c r="AB111" s="2942"/>
      <c r="AC111" s="2942"/>
    </row>
    <row r="112" spans="1:29" ht="15" thickTop="1">
      <c r="A112" s="626"/>
      <c r="B112" s="490">
        <f>B36</f>
        <v>111</v>
      </c>
      <c r="C112" s="475"/>
      <c r="D112" s="475"/>
      <c r="E112" s="475"/>
      <c r="F112" s="475"/>
      <c r="G112" s="535"/>
      <c r="H112" s="535"/>
      <c r="I112" s="535"/>
      <c r="J112" s="535"/>
      <c r="K112" s="536"/>
      <c r="L112" s="537"/>
      <c r="M112" s="538"/>
      <c r="N112" s="2970"/>
      <c r="O112" s="2970"/>
      <c r="P112" s="2995"/>
      <c r="Q112" s="2956"/>
      <c r="R112" s="2942"/>
      <c r="S112" s="2942"/>
      <c r="T112" s="2942"/>
      <c r="U112" s="2942"/>
      <c r="V112" s="2942"/>
      <c r="W112" s="2942"/>
      <c r="X112" s="2942"/>
      <c r="Y112" s="2942"/>
      <c r="Z112" s="2942"/>
      <c r="AA112" s="2942"/>
      <c r="AB112" s="2942"/>
      <c r="AC112" s="2942"/>
    </row>
    <row r="113" spans="1:29" ht="15.75" thickBot="1">
      <c r="A113" s="486"/>
      <c r="B113" s="495"/>
      <c r="C113" s="522"/>
      <c r="D113" s="522"/>
      <c r="E113" s="522"/>
      <c r="F113" s="522"/>
      <c r="G113" s="488"/>
      <c r="H113" s="488"/>
      <c r="I113" s="488"/>
      <c r="J113" s="488"/>
      <c r="K113" s="488"/>
      <c r="L113" s="488"/>
      <c r="M113" s="489"/>
      <c r="N113" s="2971"/>
      <c r="O113" s="2971"/>
      <c r="P113" s="2995"/>
      <c r="Q113" s="2956"/>
      <c r="R113" s="2942"/>
      <c r="S113" s="2942"/>
      <c r="T113" s="2942"/>
      <c r="U113" s="2942"/>
      <c r="V113" s="2942"/>
      <c r="W113" s="2942"/>
      <c r="X113" s="2942"/>
      <c r="Y113" s="2942"/>
      <c r="Z113" s="2942"/>
      <c r="AA113" s="2942"/>
      <c r="AB113" s="2942"/>
      <c r="AC113" s="2942"/>
    </row>
    <row r="114" spans="1:29" s="425" customFormat="1" ht="15" thickTop="1">
      <c r="A114" s="545"/>
      <c r="B114" s="546">
        <f>B37</f>
        <v>111</v>
      </c>
      <c r="C114" s="547"/>
      <c r="D114" s="547"/>
      <c r="E114" s="547"/>
      <c r="F114" s="547"/>
      <c r="G114" s="547"/>
      <c r="H114" s="547"/>
      <c r="I114" s="547"/>
      <c r="J114" s="548"/>
      <c r="K114" s="548"/>
      <c r="L114" s="549"/>
      <c r="M114" s="550"/>
      <c r="N114" s="2972"/>
      <c r="O114" s="2972"/>
      <c r="P114" s="2996"/>
      <c r="Q114" s="2963"/>
      <c r="R114" s="2964"/>
      <c r="S114" s="2964"/>
      <c r="T114" s="2964"/>
      <c r="U114" s="2964"/>
      <c r="V114" s="2964"/>
      <c r="W114" s="2964"/>
      <c r="X114" s="2964"/>
      <c r="Y114" s="2964"/>
      <c r="Z114" s="2964"/>
      <c r="AA114" s="2964"/>
      <c r="AB114" s="2964"/>
      <c r="AC114" s="2964"/>
    </row>
    <row r="115" spans="1:29" s="425" customFormat="1" ht="15.75" thickBot="1">
      <c r="A115" s="505"/>
      <c r="B115" s="498"/>
      <c r="C115" s="464"/>
      <c r="D115" s="628"/>
      <c r="E115" s="628"/>
      <c r="F115" s="628"/>
      <c r="G115" s="628"/>
      <c r="H115" s="628"/>
      <c r="I115" s="628"/>
      <c r="J115" s="628"/>
      <c r="K115" s="628"/>
      <c r="L115" s="628"/>
      <c r="M115" s="650"/>
      <c r="N115" s="2971"/>
      <c r="O115" s="2971"/>
      <c r="P115" s="2996"/>
      <c r="Q115" s="2963"/>
      <c r="R115" s="2964"/>
      <c r="S115" s="2964"/>
      <c r="T115" s="2964"/>
      <c r="U115" s="2964"/>
      <c r="V115" s="2964"/>
      <c r="W115" s="2964"/>
      <c r="X115" s="2964"/>
      <c r="Y115" s="2964"/>
      <c r="Z115" s="2964"/>
      <c r="AA115" s="2964"/>
      <c r="AB115" s="2964"/>
      <c r="AC115" s="2964"/>
    </row>
    <row r="116" spans="1:29" ht="28.5">
      <c r="A116" s="479" t="s">
        <v>2380</v>
      </c>
      <c r="B116" s="480" t="s">
        <v>2608</v>
      </c>
      <c r="C116" s="481" t="str">
        <f>C117&amp;"(含)"&amp;"-"&amp;D117</f>
        <v>0(含)-20000</v>
      </c>
      <c r="D116" s="481" t="str">
        <f t="shared" ref="D116:M116" si="27">D117&amp;"(含)"&amp;"-"&amp;E117</f>
        <v>20000(含)-40000</v>
      </c>
      <c r="E116" s="481" t="str">
        <f t="shared" si="27"/>
        <v>40000(含)-60000</v>
      </c>
      <c r="F116" s="481" t="str">
        <f t="shared" si="27"/>
        <v>60000(含)-80000</v>
      </c>
      <c r="G116" s="481" t="str">
        <f t="shared" si="27"/>
        <v>80000(含)-100000</v>
      </c>
      <c r="H116" s="481" t="str">
        <f t="shared" si="27"/>
        <v>100000(含)-</v>
      </c>
      <c r="I116" s="481" t="str">
        <f t="shared" si="27"/>
        <v>(含)-</v>
      </c>
      <c r="J116" s="481" t="str">
        <f t="shared" si="27"/>
        <v>(含)-</v>
      </c>
      <c r="K116" s="481" t="str">
        <f t="shared" si="27"/>
        <v>(含)-</v>
      </c>
      <c r="L116" s="481" t="str">
        <f t="shared" si="27"/>
        <v>(含)-</v>
      </c>
      <c r="M116" s="481" t="str">
        <f t="shared" si="27"/>
        <v>(含)-</v>
      </c>
      <c r="N116" s="2970"/>
      <c r="O116" s="2970"/>
      <c r="P116" s="2995"/>
      <c r="Q116" s="2956"/>
      <c r="R116" s="2942"/>
      <c r="S116" s="2942"/>
      <c r="T116" s="2942"/>
      <c r="U116" s="2942"/>
      <c r="V116" s="2942"/>
      <c r="W116" s="2942"/>
      <c r="X116" s="2942"/>
      <c r="Y116" s="2942"/>
      <c r="Z116" s="2942"/>
      <c r="AA116" s="2942"/>
      <c r="AB116" s="2942"/>
      <c r="AC116" s="2942"/>
    </row>
    <row r="117" spans="1:29" ht="15">
      <c r="A117" s="486"/>
      <c r="B117" s="498"/>
      <c r="C117" s="547">
        <v>0</v>
      </c>
      <c r="D117" s="547">
        <v>20000</v>
      </c>
      <c r="E117" s="547">
        <v>40000</v>
      </c>
      <c r="F117" s="547">
        <v>60000</v>
      </c>
      <c r="G117" s="547">
        <v>80000</v>
      </c>
      <c r="H117" s="547">
        <v>100000</v>
      </c>
      <c r="I117" s="547"/>
      <c r="J117" s="548"/>
      <c r="K117" s="548"/>
      <c r="L117" s="549"/>
      <c r="M117" s="550"/>
      <c r="N117" s="2970"/>
      <c r="O117" s="2970"/>
      <c r="P117" s="2995"/>
      <c r="Q117" s="2956"/>
      <c r="R117" s="2942"/>
      <c r="S117" s="2942"/>
      <c r="T117" s="2942"/>
      <c r="U117" s="2942"/>
      <c r="V117" s="2942"/>
      <c r="W117" s="2942"/>
      <c r="X117" s="2942"/>
      <c r="Y117" s="2942"/>
      <c r="Z117" s="2942"/>
      <c r="AA117" s="2942"/>
      <c r="AB117" s="2942"/>
      <c r="AC117" s="2942"/>
    </row>
    <row r="118" spans="1:29" ht="15.75" thickBot="1">
      <c r="A118" s="486"/>
      <c r="B118" s="495"/>
      <c r="C118" s="522">
        <v>100</v>
      </c>
      <c r="D118" s="543">
        <v>102</v>
      </c>
      <c r="E118" s="543">
        <v>104</v>
      </c>
      <c r="F118" s="543">
        <v>106</v>
      </c>
      <c r="G118" s="543">
        <v>108</v>
      </c>
      <c r="H118" s="543">
        <v>110</v>
      </c>
      <c r="I118" s="543"/>
      <c r="J118" s="543"/>
      <c r="K118" s="543"/>
      <c r="L118" s="543"/>
      <c r="M118" s="544"/>
      <c r="N118" s="2971"/>
      <c r="O118" s="2971"/>
      <c r="P118" s="2995"/>
      <c r="Q118" s="2956"/>
      <c r="R118" s="2942"/>
      <c r="S118" s="2942"/>
      <c r="T118" s="2942"/>
      <c r="U118" s="2942"/>
      <c r="V118" s="2942"/>
      <c r="W118" s="2942"/>
      <c r="X118" s="2942"/>
      <c r="Y118" s="2942"/>
      <c r="Z118" s="2942"/>
      <c r="AA118" s="2942"/>
      <c r="AB118" s="2942"/>
      <c r="AC118" s="2942"/>
    </row>
    <row r="119" spans="1:29" ht="15" thickTop="1">
      <c r="A119" s="551"/>
      <c r="B119" s="490" t="s">
        <v>2609</v>
      </c>
      <c r="C119" s="3088" t="s">
        <v>3355</v>
      </c>
      <c r="D119" s="3088" t="s">
        <v>3356</v>
      </c>
      <c r="E119" s="3088" t="s">
        <v>3357</v>
      </c>
      <c r="F119" s="3088" t="s">
        <v>3358</v>
      </c>
      <c r="G119" s="535"/>
      <c r="H119" s="535"/>
      <c r="I119" s="535"/>
      <c r="J119" s="535"/>
      <c r="K119" s="536"/>
      <c r="L119" s="537"/>
      <c r="M119" s="538"/>
      <c r="N119" s="2970"/>
      <c r="O119" s="2970"/>
      <c r="P119" s="2995"/>
      <c r="Q119" s="2956"/>
      <c r="R119" s="2942"/>
      <c r="S119" s="2942"/>
      <c r="T119" s="2942"/>
      <c r="U119" s="2942"/>
      <c r="V119" s="2942"/>
      <c r="W119" s="2942"/>
      <c r="X119" s="2942"/>
      <c r="Y119" s="2942"/>
      <c r="Z119" s="2942"/>
      <c r="AA119" s="2942"/>
      <c r="AB119" s="2942"/>
      <c r="AC119" s="2942"/>
    </row>
    <row r="120" spans="1:29" ht="15.75" thickBot="1">
      <c r="A120" s="486"/>
      <c r="B120" s="495"/>
      <c r="C120" s="496">
        <v>100</v>
      </c>
      <c r="D120" s="496">
        <f t="shared" ref="D120:M120" si="28">C120-$K39</f>
        <v>98</v>
      </c>
      <c r="E120" s="496">
        <f t="shared" si="28"/>
        <v>96</v>
      </c>
      <c r="F120" s="496">
        <f t="shared" si="28"/>
        <v>94</v>
      </c>
      <c r="G120" s="496">
        <f t="shared" si="28"/>
        <v>92</v>
      </c>
      <c r="H120" s="496">
        <f t="shared" si="28"/>
        <v>90</v>
      </c>
      <c r="I120" s="496">
        <f t="shared" si="28"/>
        <v>88</v>
      </c>
      <c r="J120" s="496">
        <f t="shared" si="28"/>
        <v>86</v>
      </c>
      <c r="K120" s="496">
        <f t="shared" si="28"/>
        <v>84</v>
      </c>
      <c r="L120" s="496">
        <f t="shared" si="28"/>
        <v>82</v>
      </c>
      <c r="M120" s="497">
        <f t="shared" si="28"/>
        <v>80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1"/>
      <c r="B121" s="490" t="s">
        <v>2610</v>
      </c>
      <c r="C121" s="506"/>
      <c r="D121" s="506"/>
      <c r="E121" s="506"/>
      <c r="F121" s="535"/>
      <c r="G121" s="535"/>
      <c r="H121" s="535"/>
      <c r="I121" s="535"/>
      <c r="J121" s="535"/>
      <c r="K121" s="536"/>
      <c r="L121" s="537"/>
      <c r="M121" s="538"/>
      <c r="N121" s="2970"/>
      <c r="O121" s="2970"/>
      <c r="P121" s="2995"/>
      <c r="Q121" s="2956"/>
      <c r="R121" s="2942"/>
      <c r="S121" s="2942"/>
      <c r="T121" s="2942"/>
      <c r="U121" s="2942"/>
      <c r="V121" s="2942"/>
      <c r="W121" s="2942"/>
      <c r="X121" s="2942"/>
      <c r="Y121" s="2942"/>
      <c r="Z121" s="2942"/>
      <c r="AA121" s="2942"/>
      <c r="AB121" s="2942"/>
      <c r="AC121" s="2942"/>
    </row>
    <row r="122" spans="1:29" ht="15.75" thickBot="1">
      <c r="A122" s="486"/>
      <c r="B122" s="495"/>
      <c r="C122" s="496">
        <v>100</v>
      </c>
      <c r="D122" s="496">
        <f t="shared" ref="D122:M122" si="29">C122-$K40</f>
        <v>100</v>
      </c>
      <c r="E122" s="496">
        <f t="shared" si="29"/>
        <v>100</v>
      </c>
      <c r="F122" s="496">
        <f t="shared" si="29"/>
        <v>100</v>
      </c>
      <c r="G122" s="496">
        <f t="shared" si="29"/>
        <v>100</v>
      </c>
      <c r="H122" s="496">
        <f t="shared" si="29"/>
        <v>100</v>
      </c>
      <c r="I122" s="496">
        <f t="shared" si="29"/>
        <v>100</v>
      </c>
      <c r="J122" s="496">
        <f t="shared" si="29"/>
        <v>100</v>
      </c>
      <c r="K122" s="496">
        <f t="shared" si="29"/>
        <v>100</v>
      </c>
      <c r="L122" s="496">
        <f t="shared" si="29"/>
        <v>100</v>
      </c>
      <c r="M122" s="497">
        <f t="shared" si="29"/>
        <v>100</v>
      </c>
      <c r="N122" s="2971"/>
      <c r="O122" s="2971"/>
      <c r="P122" s="2995"/>
      <c r="Q122" s="2956"/>
      <c r="R122" s="2942"/>
      <c r="S122" s="2942"/>
      <c r="T122" s="2942"/>
      <c r="U122" s="2942"/>
      <c r="V122" s="2942"/>
      <c r="W122" s="2942"/>
      <c r="X122" s="2942"/>
      <c r="Y122" s="2942"/>
      <c r="Z122" s="2942"/>
      <c r="AA122" s="2942"/>
      <c r="AB122" s="2942"/>
      <c r="AC122" s="2942"/>
    </row>
    <row r="123" spans="1:29" s="425" customFormat="1" ht="15" thickTop="1">
      <c r="A123" s="545"/>
      <c r="B123" s="490" t="s">
        <v>2611</v>
      </c>
      <c r="C123" s="3089" t="s">
        <v>3360</v>
      </c>
      <c r="D123" s="3089" t="s">
        <v>3361</v>
      </c>
      <c r="E123" s="3089" t="s">
        <v>3363</v>
      </c>
      <c r="F123" s="3089" t="s">
        <v>3364</v>
      </c>
      <c r="G123" s="3089" t="s">
        <v>3366</v>
      </c>
      <c r="H123" s="3088" t="s">
        <v>3414</v>
      </c>
      <c r="I123" s="535"/>
      <c r="J123" s="535"/>
      <c r="K123" s="536"/>
      <c r="L123" s="537"/>
      <c r="M123" s="538"/>
      <c r="N123" s="2972"/>
      <c r="O123" s="2972"/>
      <c r="P123" s="2996"/>
      <c r="Q123" s="2963"/>
      <c r="R123" s="2964"/>
      <c r="S123" s="2964"/>
      <c r="T123" s="2964"/>
      <c r="U123" s="2964"/>
      <c r="V123" s="2964"/>
      <c r="W123" s="2964"/>
      <c r="X123" s="2964"/>
      <c r="Y123" s="2964"/>
      <c r="Z123" s="2964"/>
      <c r="AA123" s="2964"/>
      <c r="AB123" s="2964"/>
      <c r="AC123" s="2964"/>
    </row>
    <row r="124" spans="1:29" s="425" customFormat="1" ht="15.75" thickBot="1">
      <c r="A124" s="505"/>
      <c r="B124" s="495"/>
      <c r="C124" s="496">
        <v>100</v>
      </c>
      <c r="D124" s="496">
        <f>C124-$K41</f>
        <v>99.5</v>
      </c>
      <c r="E124" s="496">
        <f t="shared" ref="E124:M124" si="30">D124-$K41</f>
        <v>99</v>
      </c>
      <c r="F124" s="496">
        <f t="shared" si="30"/>
        <v>98.5</v>
      </c>
      <c r="G124" s="496">
        <f t="shared" si="30"/>
        <v>98</v>
      </c>
      <c r="H124" s="496">
        <f t="shared" si="30"/>
        <v>97.5</v>
      </c>
      <c r="I124" s="496">
        <f t="shared" si="30"/>
        <v>97</v>
      </c>
      <c r="J124" s="496">
        <f t="shared" si="30"/>
        <v>96.5</v>
      </c>
      <c r="K124" s="496">
        <f t="shared" si="30"/>
        <v>96</v>
      </c>
      <c r="L124" s="496">
        <f t="shared" si="30"/>
        <v>95.5</v>
      </c>
      <c r="M124" s="497">
        <f t="shared" si="30"/>
        <v>95</v>
      </c>
      <c r="N124" s="2972"/>
      <c r="O124" s="2972"/>
      <c r="P124" s="2996"/>
      <c r="Q124" s="2963"/>
      <c r="R124" s="2964"/>
      <c r="S124" s="2964"/>
      <c r="T124" s="2964"/>
      <c r="U124" s="2964"/>
      <c r="V124" s="2964"/>
      <c r="W124" s="2964"/>
      <c r="X124" s="2964"/>
      <c r="Y124" s="2964"/>
      <c r="Z124" s="2964"/>
      <c r="AA124" s="2964"/>
      <c r="AB124" s="2964"/>
      <c r="AC124" s="2964"/>
    </row>
    <row r="125" spans="1:29" ht="15" thickTop="1">
      <c r="A125" s="551"/>
      <c r="B125" s="490" t="s">
        <v>2612</v>
      </c>
      <c r="C125" s="506"/>
      <c r="D125" s="506"/>
      <c r="E125" s="535"/>
      <c r="F125" s="535"/>
      <c r="G125" s="535"/>
      <c r="H125" s="535"/>
      <c r="I125" s="535"/>
      <c r="J125" s="535"/>
      <c r="K125" s="536"/>
      <c r="L125" s="537"/>
      <c r="M125" s="538"/>
      <c r="N125" s="2970"/>
      <c r="O125" s="2970"/>
      <c r="P125" s="2995"/>
      <c r="Q125" s="2956"/>
      <c r="R125" s="2942"/>
      <c r="S125" s="2942"/>
      <c r="T125" s="2942"/>
      <c r="U125" s="2942"/>
      <c r="V125" s="2942"/>
      <c r="W125" s="2942"/>
      <c r="X125" s="2942"/>
      <c r="Y125" s="2942"/>
      <c r="Z125" s="2942"/>
      <c r="AA125" s="2942"/>
      <c r="AB125" s="2942"/>
      <c r="AC125" s="2942"/>
    </row>
    <row r="126" spans="1:29" ht="15.75" thickBot="1">
      <c r="A126" s="486"/>
      <c r="B126" s="495"/>
      <c r="C126" s="496">
        <v>100</v>
      </c>
      <c r="D126" s="496">
        <f t="shared" ref="D126:M126" si="31">C126-$K42</f>
        <v>100</v>
      </c>
      <c r="E126" s="496">
        <f t="shared" si="31"/>
        <v>100</v>
      </c>
      <c r="F126" s="496">
        <f t="shared" si="31"/>
        <v>100</v>
      </c>
      <c r="G126" s="496">
        <f t="shared" si="31"/>
        <v>100</v>
      </c>
      <c r="H126" s="496">
        <f t="shared" si="31"/>
        <v>100</v>
      </c>
      <c r="I126" s="496">
        <f t="shared" si="31"/>
        <v>100</v>
      </c>
      <c r="J126" s="496">
        <f t="shared" si="31"/>
        <v>100</v>
      </c>
      <c r="K126" s="496">
        <f t="shared" si="31"/>
        <v>100</v>
      </c>
      <c r="L126" s="496">
        <f t="shared" si="31"/>
        <v>100</v>
      </c>
      <c r="M126" s="497">
        <f t="shared" si="31"/>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1"/>
      <c r="B127" s="490">
        <f>B43</f>
        <v>111</v>
      </c>
      <c r="C127" s="506"/>
      <c r="D127" s="506"/>
      <c r="E127" s="506"/>
      <c r="F127" s="506"/>
      <c r="G127" s="506"/>
      <c r="H127" s="535"/>
      <c r="I127" s="535"/>
      <c r="J127" s="535"/>
      <c r="K127" s="536"/>
      <c r="L127" s="537"/>
      <c r="M127" s="538"/>
      <c r="N127" s="2970"/>
      <c r="O127" s="2970"/>
      <c r="P127" s="2995"/>
      <c r="Q127" s="2956"/>
      <c r="R127" s="2942"/>
      <c r="S127" s="2942"/>
      <c r="T127" s="2942"/>
      <c r="U127" s="2942"/>
      <c r="V127" s="2942"/>
      <c r="W127" s="2942"/>
      <c r="X127" s="2942"/>
      <c r="Y127" s="2942"/>
      <c r="Z127" s="2942"/>
      <c r="AA127" s="2942"/>
      <c r="AB127" s="2942"/>
      <c r="AC127" s="2942"/>
    </row>
    <row r="128" spans="1:29" ht="15.75" thickBot="1">
      <c r="A128" s="486"/>
      <c r="B128" s="495"/>
      <c r="C128" s="512"/>
      <c r="D128" s="512"/>
      <c r="E128" s="512"/>
      <c r="F128" s="512"/>
      <c r="G128" s="488"/>
      <c r="H128" s="488"/>
      <c r="I128" s="488"/>
      <c r="J128" s="488"/>
      <c r="K128" s="488"/>
      <c r="L128" s="488"/>
      <c r="M128" s="489"/>
      <c r="N128" s="2971"/>
      <c r="O128" s="2971"/>
      <c r="P128" s="2995"/>
      <c r="Q128" s="2956"/>
      <c r="R128" s="2942"/>
      <c r="S128" s="2942"/>
      <c r="T128" s="2942"/>
      <c r="U128" s="2942"/>
      <c r="V128" s="2942"/>
      <c r="W128" s="2942"/>
      <c r="X128" s="2942"/>
      <c r="Y128" s="2942"/>
      <c r="Z128" s="2942"/>
      <c r="AA128" s="2942"/>
      <c r="AB128" s="2942"/>
      <c r="AC128" s="2942"/>
    </row>
    <row r="129" spans="1:29" ht="15" thickTop="1">
      <c r="A129" s="551"/>
      <c r="B129" s="490">
        <f>B44</f>
        <v>111</v>
      </c>
      <c r="C129" s="475"/>
      <c r="D129" s="475"/>
      <c r="E129" s="475"/>
      <c r="F129" s="475"/>
      <c r="G129" s="535"/>
      <c r="H129" s="535"/>
      <c r="I129" s="535"/>
      <c r="J129" s="535"/>
      <c r="K129" s="536"/>
      <c r="L129" s="537"/>
      <c r="M129" s="538"/>
      <c r="N129" s="2970"/>
      <c r="O129" s="2970"/>
      <c r="P129" s="2995"/>
      <c r="Q129" s="2956"/>
      <c r="R129" s="2942"/>
      <c r="S129" s="2942"/>
      <c r="T129" s="2942"/>
      <c r="U129" s="2942"/>
      <c r="V129" s="2942"/>
      <c r="W129" s="2942"/>
      <c r="X129" s="2942"/>
      <c r="Y129" s="2942"/>
      <c r="Z129" s="2942"/>
      <c r="AA129" s="2942"/>
      <c r="AB129" s="2942"/>
      <c r="AC129" s="2942"/>
    </row>
    <row r="130" spans="1:29" ht="15.75" thickBot="1">
      <c r="A130" s="486"/>
      <c r="B130" s="495"/>
      <c r="C130" s="522"/>
      <c r="D130" s="522"/>
      <c r="E130" s="522"/>
      <c r="F130" s="522"/>
      <c r="G130" s="488"/>
      <c r="H130" s="488"/>
      <c r="I130" s="488"/>
      <c r="J130" s="488"/>
      <c r="K130" s="488"/>
      <c r="L130" s="488"/>
      <c r="M130" s="489"/>
      <c r="N130" s="2971"/>
      <c r="O130" s="2971"/>
      <c r="P130" s="2995"/>
      <c r="Q130" s="2956"/>
      <c r="R130" s="2942"/>
      <c r="S130" s="2942"/>
      <c r="T130" s="2942"/>
      <c r="U130" s="2942"/>
      <c r="V130" s="2942"/>
      <c r="W130" s="2942"/>
      <c r="X130" s="2942"/>
      <c r="Y130" s="2942"/>
      <c r="Z130" s="2942"/>
      <c r="AA130" s="2942"/>
      <c r="AB130" s="2942"/>
      <c r="AC130" s="2942"/>
    </row>
    <row r="131" spans="1:29" s="425" customFormat="1" ht="15" thickTop="1">
      <c r="A131" s="545"/>
      <c r="B131" s="490">
        <f>B45</f>
        <v>111</v>
      </c>
      <c r="C131" s="475"/>
      <c r="D131" s="475"/>
      <c r="E131" s="475"/>
      <c r="F131" s="475"/>
      <c r="G131" s="507"/>
      <c r="H131" s="507"/>
      <c r="I131" s="507"/>
      <c r="J131" s="507"/>
      <c r="K131" s="507"/>
      <c r="L131" s="508"/>
      <c r="M131" s="509"/>
      <c r="N131" s="2972"/>
      <c r="O131" s="2972"/>
      <c r="P131" s="2996"/>
      <c r="Q131" s="2963"/>
      <c r="R131" s="2964"/>
      <c r="S131" s="2964"/>
      <c r="T131" s="2964"/>
      <c r="U131" s="2964"/>
      <c r="V131" s="2964"/>
      <c r="W131" s="2964"/>
      <c r="X131" s="2964"/>
      <c r="Y131" s="2964"/>
      <c r="Z131" s="2964"/>
      <c r="AA131" s="2964"/>
      <c r="AB131" s="2964"/>
      <c r="AC131" s="2964"/>
    </row>
    <row r="132" spans="1:29" s="425" customFormat="1" ht="15.75" thickBot="1">
      <c r="A132" s="520"/>
      <c r="B132" s="651"/>
      <c r="C132" s="522"/>
      <c r="D132" s="522"/>
      <c r="E132" s="522"/>
      <c r="F132" s="522"/>
      <c r="G132" s="543"/>
      <c r="H132" s="543"/>
      <c r="I132" s="543"/>
      <c r="J132" s="543"/>
      <c r="K132" s="543"/>
      <c r="L132" s="543"/>
      <c r="M132" s="544"/>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08" priority="18" stopIfTrue="1" operator="containsText" text="超过">
      <formula>NOT(ISERROR(SEARCH("超过",F51)))</formula>
    </cfRule>
  </conditionalFormatting>
  <conditionalFormatting sqref="J53">
    <cfRule type="containsText" dxfId="207" priority="17" stopIfTrue="1" operator="containsText" text="超过">
      <formula>NOT(ISERROR(SEARCH("超过",J53)))</formula>
    </cfRule>
  </conditionalFormatting>
  <conditionalFormatting sqref="H53">
    <cfRule type="containsText" dxfId="206" priority="16" stopIfTrue="1" operator="containsText" text="超过">
      <formula>NOT(ISERROR(SEARCH("超过",H53)))</formula>
    </cfRule>
  </conditionalFormatting>
  <conditionalFormatting sqref="F53">
    <cfRule type="containsText" dxfId="205" priority="15" stopIfTrue="1" operator="containsText" text="超过">
      <formula>NOT(ISERROR(SEARCH("超过",F53)))</formula>
    </cfRule>
  </conditionalFormatting>
  <conditionalFormatting sqref="F52 H52 J52">
    <cfRule type="containsText" dxfId="204" priority="14" stopIfTrue="1" operator="containsText" text="超过">
      <formula>NOT(ISERROR(SEARCH("超过",F52)))</formula>
    </cfRule>
  </conditionalFormatting>
  <conditionalFormatting sqref="E51">
    <cfRule type="expression" dxfId="203" priority="13" stopIfTrue="1">
      <formula>$F$51="超过30%"</formula>
    </cfRule>
  </conditionalFormatting>
  <conditionalFormatting sqref="G53">
    <cfRule type="expression" dxfId="202" priority="12" stopIfTrue="1">
      <formula>$H$53="超过30%"</formula>
    </cfRule>
  </conditionalFormatting>
  <conditionalFormatting sqref="E52">
    <cfRule type="expression" dxfId="201" priority="11" stopIfTrue="1">
      <formula>$F$52="超过20%"</formula>
    </cfRule>
  </conditionalFormatting>
  <conditionalFormatting sqref="E53">
    <cfRule type="expression" dxfId="200" priority="10" stopIfTrue="1">
      <formula>$F$53="超过30%"</formula>
    </cfRule>
  </conditionalFormatting>
  <conditionalFormatting sqref="G51">
    <cfRule type="expression" dxfId="199" priority="9" stopIfTrue="1">
      <formula>$H$53+$H$51="超过30%"</formula>
    </cfRule>
  </conditionalFormatting>
  <conditionalFormatting sqref="G52">
    <cfRule type="expression" dxfId="198" priority="8" stopIfTrue="1">
      <formula>$H$52="超过20%"</formula>
    </cfRule>
  </conditionalFormatting>
  <conditionalFormatting sqref="I51">
    <cfRule type="expression" dxfId="197" priority="7" stopIfTrue="1">
      <formula>$J$51="超过30%"</formula>
    </cfRule>
  </conditionalFormatting>
  <conditionalFormatting sqref="I52">
    <cfRule type="expression" dxfId="196" priority="6" stopIfTrue="1">
      <formula>$J$52="超过20%"</formula>
    </cfRule>
  </conditionalFormatting>
  <conditionalFormatting sqref="I53">
    <cfRule type="expression" dxfId="195" priority="5" stopIfTrue="1">
      <formula>$J$53="超过30%"</formula>
    </cfRule>
  </conditionalFormatting>
  <conditionalFormatting sqref="F47">
    <cfRule type="expression" dxfId="194" priority="4">
      <formula>$D$47="简单平均"</formula>
    </cfRule>
  </conditionalFormatting>
  <conditionalFormatting sqref="H47">
    <cfRule type="expression" dxfId="193" priority="3">
      <formula>$D$47="简单平均"</formula>
    </cfRule>
  </conditionalFormatting>
  <conditionalFormatting sqref="J47">
    <cfRule type="expression" dxfId="192" priority="2">
      <formula>$D$47="简单平均"</formula>
    </cfRule>
  </conditionalFormatting>
  <conditionalFormatting sqref="F7:F45 H7:H45 J7:J45">
    <cfRule type="cellIs" dxfId="191" priority="1" operator="notEqual">
      <formula>100</formula>
    </cfRule>
  </conditionalFormatting>
  <dataValidations count="25">
    <dataValidation type="list" allowBlank="1" showInputMessage="1" showErrorMessage="1" sqref="C25" xr:uid="{00000000-0002-0000-1A00-000000000000}">
      <formula1>住宅朝向</formula1>
    </dataValidation>
    <dataValidation type="list" allowBlank="1" showInputMessage="1" showErrorMessage="1" sqref="E28 C28 G28 I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C26 E26 G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G62" xr:uid="{00000000-0002-0000-1A00-000013000000}">
      <formula1>"商业,办公,住宅,工业"</formula1>
    </dataValidation>
    <dataValidation type="list" allowBlank="1" showInputMessage="1" showErrorMessage="1" sqref="G63" xr:uid="{00000000-0002-0000-1A00-000014000000}">
      <formula1>"住宅,工业"</formula1>
    </dataValidation>
    <dataValidation type="list" allowBlank="1" showInputMessage="1" showErrorMessage="1" sqref="D57:D65" xr:uid="{00000000-0002-0000-1A00-000015000000}">
      <formula1>"25%,1"</formula1>
    </dataValidation>
    <dataValidation type="list" allowBlank="1" showInputMessage="1" showErrorMessage="1" sqref="C30 E30 G30 I30" xr:uid="{00000000-0002-0000-1A00-000016000000}">
      <formula1>基础设施水平</formula1>
    </dataValidation>
    <dataValidation type="list" allowBlank="1" showInputMessage="1" showErrorMessage="1" sqref="A71" xr:uid="{00000000-0002-0000-1A00-000017000000}">
      <formula1>"综合,商业,办公,住宅"</formula1>
    </dataValidation>
    <dataValidation type="list" allowBlank="1" showInputMessage="1" showErrorMessage="1" sqref="D47"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131"/>
  <sheetViews>
    <sheetView workbookViewId="0">
      <selection activeCell="D30" sqref="D30"/>
    </sheetView>
  </sheetViews>
  <sheetFormatPr defaultRowHeight="13.5"/>
  <cols>
    <col min="1" max="1" width="66.25" style="3079" customWidth="1"/>
    <col min="2" max="2" width="6.25" style="3079" customWidth="1"/>
    <col min="3" max="5" width="13.875" style="3079" customWidth="1"/>
    <col min="6" max="6" width="28.125" style="3079" customWidth="1"/>
    <col min="7" max="7" width="10.875" style="3079" customWidth="1"/>
    <col min="8" max="8" width="7.875" style="3079" customWidth="1"/>
    <col min="9" max="9" width="22" style="3079" customWidth="1"/>
    <col min="10" max="10" width="7.875" style="3079" customWidth="1"/>
    <col min="11" max="12" width="11.625" style="3079" bestFit="1" customWidth="1"/>
    <col min="13" max="14" width="10.625" style="3079" customWidth="1"/>
    <col min="15" max="15" width="14.375" style="3079" customWidth="1"/>
    <col min="16" max="16" width="6.25" style="3079" customWidth="1"/>
    <col min="17" max="17" width="41.5" style="3079" customWidth="1"/>
    <col min="18" max="20" width="7.875" style="3079" customWidth="1"/>
    <col min="21" max="259" width="9" style="3079"/>
    <col min="260" max="260" width="122.875" style="3079" customWidth="1"/>
    <col min="261" max="261" width="6.25" style="3079" customWidth="1"/>
    <col min="262" max="264" width="13.875" style="3079" customWidth="1"/>
    <col min="265" max="265" width="66.375" style="3079" customWidth="1"/>
    <col min="266" max="266" width="7.875" style="3079" customWidth="1"/>
    <col min="267" max="267" width="67.375" style="3079" customWidth="1"/>
    <col min="268" max="268" width="7.875" style="3079" customWidth="1"/>
    <col min="269" max="270" width="9" style="3079"/>
    <col min="271" max="272" width="10.625" style="3079" customWidth="1"/>
    <col min="273" max="273" width="14.375" style="3079" customWidth="1"/>
    <col min="274" max="274" width="6.25" style="3079" customWidth="1"/>
    <col min="275" max="275" width="103.75" style="3079" customWidth="1"/>
    <col min="276" max="276" width="7.875" style="3079" customWidth="1"/>
    <col min="277" max="515" width="9" style="3079"/>
    <col min="516" max="516" width="122.875" style="3079" customWidth="1"/>
    <col min="517" max="517" width="6.25" style="3079" customWidth="1"/>
    <col min="518" max="520" width="13.875" style="3079" customWidth="1"/>
    <col min="521" max="521" width="66.375" style="3079" customWidth="1"/>
    <col min="522" max="522" width="7.875" style="3079" customWidth="1"/>
    <col min="523" max="523" width="67.375" style="3079" customWidth="1"/>
    <col min="524" max="524" width="7.875" style="3079" customWidth="1"/>
    <col min="525" max="526" width="9" style="3079"/>
    <col min="527" max="528" width="10.625" style="3079" customWidth="1"/>
    <col min="529" max="529" width="14.375" style="3079" customWidth="1"/>
    <col min="530" max="530" width="6.25" style="3079" customWidth="1"/>
    <col min="531" max="531" width="103.75" style="3079" customWidth="1"/>
    <col min="532" max="532" width="7.875" style="3079" customWidth="1"/>
    <col min="533" max="771" width="9" style="3079"/>
    <col min="772" max="772" width="122.875" style="3079" customWidth="1"/>
    <col min="773" max="773" width="6.25" style="3079" customWidth="1"/>
    <col min="774" max="776" width="13.875" style="3079" customWidth="1"/>
    <col min="777" max="777" width="66.375" style="3079" customWidth="1"/>
    <col min="778" max="778" width="7.875" style="3079" customWidth="1"/>
    <col min="779" max="779" width="67.375" style="3079" customWidth="1"/>
    <col min="780" max="780" width="7.875" style="3079" customWidth="1"/>
    <col min="781" max="782" width="9" style="3079"/>
    <col min="783" max="784" width="10.625" style="3079" customWidth="1"/>
    <col min="785" max="785" width="14.375" style="3079" customWidth="1"/>
    <col min="786" max="786" width="6.25" style="3079" customWidth="1"/>
    <col min="787" max="787" width="103.75" style="3079" customWidth="1"/>
    <col min="788" max="788" width="7.875" style="3079" customWidth="1"/>
    <col min="789" max="1027" width="9" style="3079"/>
    <col min="1028" max="1028" width="122.875" style="3079" customWidth="1"/>
    <col min="1029" max="1029" width="6.25" style="3079" customWidth="1"/>
    <col min="1030" max="1032" width="13.875" style="3079" customWidth="1"/>
    <col min="1033" max="1033" width="66.375" style="3079" customWidth="1"/>
    <col min="1034" max="1034" width="7.875" style="3079" customWidth="1"/>
    <col min="1035" max="1035" width="67.375" style="3079" customWidth="1"/>
    <col min="1036" max="1036" width="7.875" style="3079" customWidth="1"/>
    <col min="1037" max="1038" width="9" style="3079"/>
    <col min="1039" max="1040" width="10.625" style="3079" customWidth="1"/>
    <col min="1041" max="1041" width="14.375" style="3079" customWidth="1"/>
    <col min="1042" max="1042" width="6.25" style="3079" customWidth="1"/>
    <col min="1043" max="1043" width="103.75" style="3079" customWidth="1"/>
    <col min="1044" max="1044" width="7.875" style="3079" customWidth="1"/>
    <col min="1045" max="1283" width="9" style="3079"/>
    <col min="1284" max="1284" width="122.875" style="3079" customWidth="1"/>
    <col min="1285" max="1285" width="6.25" style="3079" customWidth="1"/>
    <col min="1286" max="1288" width="13.875" style="3079" customWidth="1"/>
    <col min="1289" max="1289" width="66.375" style="3079" customWidth="1"/>
    <col min="1290" max="1290" width="7.875" style="3079" customWidth="1"/>
    <col min="1291" max="1291" width="67.375" style="3079" customWidth="1"/>
    <col min="1292" max="1292" width="7.875" style="3079" customWidth="1"/>
    <col min="1293" max="1294" width="9" style="3079"/>
    <col min="1295" max="1296" width="10.625" style="3079" customWidth="1"/>
    <col min="1297" max="1297" width="14.375" style="3079" customWidth="1"/>
    <col min="1298" max="1298" width="6.25" style="3079" customWidth="1"/>
    <col min="1299" max="1299" width="103.75" style="3079" customWidth="1"/>
    <col min="1300" max="1300" width="7.875" style="3079" customWidth="1"/>
    <col min="1301" max="1539" width="9" style="3079"/>
    <col min="1540" max="1540" width="122.875" style="3079" customWidth="1"/>
    <col min="1541" max="1541" width="6.25" style="3079" customWidth="1"/>
    <col min="1542" max="1544" width="13.875" style="3079" customWidth="1"/>
    <col min="1545" max="1545" width="66.375" style="3079" customWidth="1"/>
    <col min="1546" max="1546" width="7.875" style="3079" customWidth="1"/>
    <col min="1547" max="1547" width="67.375" style="3079" customWidth="1"/>
    <col min="1548" max="1548" width="7.875" style="3079" customWidth="1"/>
    <col min="1549" max="1550" width="9" style="3079"/>
    <col min="1551" max="1552" width="10.625" style="3079" customWidth="1"/>
    <col min="1553" max="1553" width="14.375" style="3079" customWidth="1"/>
    <col min="1554" max="1554" width="6.25" style="3079" customWidth="1"/>
    <col min="1555" max="1555" width="103.75" style="3079" customWidth="1"/>
    <col min="1556" max="1556" width="7.875" style="3079" customWidth="1"/>
    <col min="1557" max="1795" width="9" style="3079"/>
    <col min="1796" max="1796" width="122.875" style="3079" customWidth="1"/>
    <col min="1797" max="1797" width="6.25" style="3079" customWidth="1"/>
    <col min="1798" max="1800" width="13.875" style="3079" customWidth="1"/>
    <col min="1801" max="1801" width="66.375" style="3079" customWidth="1"/>
    <col min="1802" max="1802" width="7.875" style="3079" customWidth="1"/>
    <col min="1803" max="1803" width="67.375" style="3079" customWidth="1"/>
    <col min="1804" max="1804" width="7.875" style="3079" customWidth="1"/>
    <col min="1805" max="1806" width="9" style="3079"/>
    <col min="1807" max="1808" width="10.625" style="3079" customWidth="1"/>
    <col min="1809" max="1809" width="14.375" style="3079" customWidth="1"/>
    <col min="1810" max="1810" width="6.25" style="3079" customWidth="1"/>
    <col min="1811" max="1811" width="103.75" style="3079" customWidth="1"/>
    <col min="1812" max="1812" width="7.875" style="3079" customWidth="1"/>
    <col min="1813" max="2051" width="9" style="3079"/>
    <col min="2052" max="2052" width="122.875" style="3079" customWidth="1"/>
    <col min="2053" max="2053" width="6.25" style="3079" customWidth="1"/>
    <col min="2054" max="2056" width="13.875" style="3079" customWidth="1"/>
    <col min="2057" max="2057" width="66.375" style="3079" customWidth="1"/>
    <col min="2058" max="2058" width="7.875" style="3079" customWidth="1"/>
    <col min="2059" max="2059" width="67.375" style="3079" customWidth="1"/>
    <col min="2060" max="2060" width="7.875" style="3079" customWidth="1"/>
    <col min="2061" max="2062" width="9" style="3079"/>
    <col min="2063" max="2064" width="10.625" style="3079" customWidth="1"/>
    <col min="2065" max="2065" width="14.375" style="3079" customWidth="1"/>
    <col min="2066" max="2066" width="6.25" style="3079" customWidth="1"/>
    <col min="2067" max="2067" width="103.75" style="3079" customWidth="1"/>
    <col min="2068" max="2068" width="7.875" style="3079" customWidth="1"/>
    <col min="2069" max="2307" width="9" style="3079"/>
    <col min="2308" max="2308" width="122.875" style="3079" customWidth="1"/>
    <col min="2309" max="2309" width="6.25" style="3079" customWidth="1"/>
    <col min="2310" max="2312" width="13.875" style="3079" customWidth="1"/>
    <col min="2313" max="2313" width="66.375" style="3079" customWidth="1"/>
    <col min="2314" max="2314" width="7.875" style="3079" customWidth="1"/>
    <col min="2315" max="2315" width="67.375" style="3079" customWidth="1"/>
    <col min="2316" max="2316" width="7.875" style="3079" customWidth="1"/>
    <col min="2317" max="2318" width="9" style="3079"/>
    <col min="2319" max="2320" width="10.625" style="3079" customWidth="1"/>
    <col min="2321" max="2321" width="14.375" style="3079" customWidth="1"/>
    <col min="2322" max="2322" width="6.25" style="3079" customWidth="1"/>
    <col min="2323" max="2323" width="103.75" style="3079" customWidth="1"/>
    <col min="2324" max="2324" width="7.875" style="3079" customWidth="1"/>
    <col min="2325" max="2563" width="9" style="3079"/>
    <col min="2564" max="2564" width="122.875" style="3079" customWidth="1"/>
    <col min="2565" max="2565" width="6.25" style="3079" customWidth="1"/>
    <col min="2566" max="2568" width="13.875" style="3079" customWidth="1"/>
    <col min="2569" max="2569" width="66.375" style="3079" customWidth="1"/>
    <col min="2570" max="2570" width="7.875" style="3079" customWidth="1"/>
    <col min="2571" max="2571" width="67.375" style="3079" customWidth="1"/>
    <col min="2572" max="2572" width="7.875" style="3079" customWidth="1"/>
    <col min="2573" max="2574" width="9" style="3079"/>
    <col min="2575" max="2576" width="10.625" style="3079" customWidth="1"/>
    <col min="2577" max="2577" width="14.375" style="3079" customWidth="1"/>
    <col min="2578" max="2578" width="6.25" style="3079" customWidth="1"/>
    <col min="2579" max="2579" width="103.75" style="3079" customWidth="1"/>
    <col min="2580" max="2580" width="7.875" style="3079" customWidth="1"/>
    <col min="2581" max="2819" width="9" style="3079"/>
    <col min="2820" max="2820" width="122.875" style="3079" customWidth="1"/>
    <col min="2821" max="2821" width="6.25" style="3079" customWidth="1"/>
    <col min="2822" max="2824" width="13.875" style="3079" customWidth="1"/>
    <col min="2825" max="2825" width="66.375" style="3079" customWidth="1"/>
    <col min="2826" max="2826" width="7.875" style="3079" customWidth="1"/>
    <col min="2827" max="2827" width="67.375" style="3079" customWidth="1"/>
    <col min="2828" max="2828" width="7.875" style="3079" customWidth="1"/>
    <col min="2829" max="2830" width="9" style="3079"/>
    <col min="2831" max="2832" width="10.625" style="3079" customWidth="1"/>
    <col min="2833" max="2833" width="14.375" style="3079" customWidth="1"/>
    <col min="2834" max="2834" width="6.25" style="3079" customWidth="1"/>
    <col min="2835" max="2835" width="103.75" style="3079" customWidth="1"/>
    <col min="2836" max="2836" width="7.875" style="3079" customWidth="1"/>
    <col min="2837" max="3075" width="9" style="3079"/>
    <col min="3076" max="3076" width="122.875" style="3079" customWidth="1"/>
    <col min="3077" max="3077" width="6.25" style="3079" customWidth="1"/>
    <col min="3078" max="3080" width="13.875" style="3079" customWidth="1"/>
    <col min="3081" max="3081" width="66.375" style="3079" customWidth="1"/>
    <col min="3082" max="3082" width="7.875" style="3079" customWidth="1"/>
    <col min="3083" max="3083" width="67.375" style="3079" customWidth="1"/>
    <col min="3084" max="3084" width="7.875" style="3079" customWidth="1"/>
    <col min="3085" max="3086" width="9" style="3079"/>
    <col min="3087" max="3088" width="10.625" style="3079" customWidth="1"/>
    <col min="3089" max="3089" width="14.375" style="3079" customWidth="1"/>
    <col min="3090" max="3090" width="6.25" style="3079" customWidth="1"/>
    <col min="3091" max="3091" width="103.75" style="3079" customWidth="1"/>
    <col min="3092" max="3092" width="7.875" style="3079" customWidth="1"/>
    <col min="3093" max="3331" width="9" style="3079"/>
    <col min="3332" max="3332" width="122.875" style="3079" customWidth="1"/>
    <col min="3333" max="3333" width="6.25" style="3079" customWidth="1"/>
    <col min="3334" max="3336" width="13.875" style="3079" customWidth="1"/>
    <col min="3337" max="3337" width="66.375" style="3079" customWidth="1"/>
    <col min="3338" max="3338" width="7.875" style="3079" customWidth="1"/>
    <col min="3339" max="3339" width="67.375" style="3079" customWidth="1"/>
    <col min="3340" max="3340" width="7.875" style="3079" customWidth="1"/>
    <col min="3341" max="3342" width="9" style="3079"/>
    <col min="3343" max="3344" width="10.625" style="3079" customWidth="1"/>
    <col min="3345" max="3345" width="14.375" style="3079" customWidth="1"/>
    <col min="3346" max="3346" width="6.25" style="3079" customWidth="1"/>
    <col min="3347" max="3347" width="103.75" style="3079" customWidth="1"/>
    <col min="3348" max="3348" width="7.875" style="3079" customWidth="1"/>
    <col min="3349" max="3587" width="9" style="3079"/>
    <col min="3588" max="3588" width="122.875" style="3079" customWidth="1"/>
    <col min="3589" max="3589" width="6.25" style="3079" customWidth="1"/>
    <col min="3590" max="3592" width="13.875" style="3079" customWidth="1"/>
    <col min="3593" max="3593" width="66.375" style="3079" customWidth="1"/>
    <col min="3594" max="3594" width="7.875" style="3079" customWidth="1"/>
    <col min="3595" max="3595" width="67.375" style="3079" customWidth="1"/>
    <col min="3596" max="3596" width="7.875" style="3079" customWidth="1"/>
    <col min="3597" max="3598" width="9" style="3079"/>
    <col min="3599" max="3600" width="10.625" style="3079" customWidth="1"/>
    <col min="3601" max="3601" width="14.375" style="3079" customWidth="1"/>
    <col min="3602" max="3602" width="6.25" style="3079" customWidth="1"/>
    <col min="3603" max="3603" width="103.75" style="3079" customWidth="1"/>
    <col min="3604" max="3604" width="7.875" style="3079" customWidth="1"/>
    <col min="3605" max="3843" width="9" style="3079"/>
    <col min="3844" max="3844" width="122.875" style="3079" customWidth="1"/>
    <col min="3845" max="3845" width="6.25" style="3079" customWidth="1"/>
    <col min="3846" max="3848" width="13.875" style="3079" customWidth="1"/>
    <col min="3849" max="3849" width="66.375" style="3079" customWidth="1"/>
    <col min="3850" max="3850" width="7.875" style="3079" customWidth="1"/>
    <col min="3851" max="3851" width="67.375" style="3079" customWidth="1"/>
    <col min="3852" max="3852" width="7.875" style="3079" customWidth="1"/>
    <col min="3853" max="3854" width="9" style="3079"/>
    <col min="3855" max="3856" width="10.625" style="3079" customWidth="1"/>
    <col min="3857" max="3857" width="14.375" style="3079" customWidth="1"/>
    <col min="3858" max="3858" width="6.25" style="3079" customWidth="1"/>
    <col min="3859" max="3859" width="103.75" style="3079" customWidth="1"/>
    <col min="3860" max="3860" width="7.875" style="3079" customWidth="1"/>
    <col min="3861" max="4099" width="9" style="3079"/>
    <col min="4100" max="4100" width="122.875" style="3079" customWidth="1"/>
    <col min="4101" max="4101" width="6.25" style="3079" customWidth="1"/>
    <col min="4102" max="4104" width="13.875" style="3079" customWidth="1"/>
    <col min="4105" max="4105" width="66.375" style="3079" customWidth="1"/>
    <col min="4106" max="4106" width="7.875" style="3079" customWidth="1"/>
    <col min="4107" max="4107" width="67.375" style="3079" customWidth="1"/>
    <col min="4108" max="4108" width="7.875" style="3079" customWidth="1"/>
    <col min="4109" max="4110" width="9" style="3079"/>
    <col min="4111" max="4112" width="10.625" style="3079" customWidth="1"/>
    <col min="4113" max="4113" width="14.375" style="3079" customWidth="1"/>
    <col min="4114" max="4114" width="6.25" style="3079" customWidth="1"/>
    <col min="4115" max="4115" width="103.75" style="3079" customWidth="1"/>
    <col min="4116" max="4116" width="7.875" style="3079" customWidth="1"/>
    <col min="4117" max="4355" width="9" style="3079"/>
    <col min="4356" max="4356" width="122.875" style="3079" customWidth="1"/>
    <col min="4357" max="4357" width="6.25" style="3079" customWidth="1"/>
    <col min="4358" max="4360" width="13.875" style="3079" customWidth="1"/>
    <col min="4361" max="4361" width="66.375" style="3079" customWidth="1"/>
    <col min="4362" max="4362" width="7.875" style="3079" customWidth="1"/>
    <col min="4363" max="4363" width="67.375" style="3079" customWidth="1"/>
    <col min="4364" max="4364" width="7.875" style="3079" customWidth="1"/>
    <col min="4365" max="4366" width="9" style="3079"/>
    <col min="4367" max="4368" width="10.625" style="3079" customWidth="1"/>
    <col min="4369" max="4369" width="14.375" style="3079" customWidth="1"/>
    <col min="4370" max="4370" width="6.25" style="3079" customWidth="1"/>
    <col min="4371" max="4371" width="103.75" style="3079" customWidth="1"/>
    <col min="4372" max="4372" width="7.875" style="3079" customWidth="1"/>
    <col min="4373" max="4611" width="9" style="3079"/>
    <col min="4612" max="4612" width="122.875" style="3079" customWidth="1"/>
    <col min="4613" max="4613" width="6.25" style="3079" customWidth="1"/>
    <col min="4614" max="4616" width="13.875" style="3079" customWidth="1"/>
    <col min="4617" max="4617" width="66.375" style="3079" customWidth="1"/>
    <col min="4618" max="4618" width="7.875" style="3079" customWidth="1"/>
    <col min="4619" max="4619" width="67.375" style="3079" customWidth="1"/>
    <col min="4620" max="4620" width="7.875" style="3079" customWidth="1"/>
    <col min="4621" max="4622" width="9" style="3079"/>
    <col min="4623" max="4624" width="10.625" style="3079" customWidth="1"/>
    <col min="4625" max="4625" width="14.375" style="3079" customWidth="1"/>
    <col min="4626" max="4626" width="6.25" style="3079" customWidth="1"/>
    <col min="4627" max="4627" width="103.75" style="3079" customWidth="1"/>
    <col min="4628" max="4628" width="7.875" style="3079" customWidth="1"/>
    <col min="4629" max="4867" width="9" style="3079"/>
    <col min="4868" max="4868" width="122.875" style="3079" customWidth="1"/>
    <col min="4869" max="4869" width="6.25" style="3079" customWidth="1"/>
    <col min="4870" max="4872" width="13.875" style="3079" customWidth="1"/>
    <col min="4873" max="4873" width="66.375" style="3079" customWidth="1"/>
    <col min="4874" max="4874" width="7.875" style="3079" customWidth="1"/>
    <col min="4875" max="4875" width="67.375" style="3079" customWidth="1"/>
    <col min="4876" max="4876" width="7.875" style="3079" customWidth="1"/>
    <col min="4877" max="4878" width="9" style="3079"/>
    <col min="4879" max="4880" width="10.625" style="3079" customWidth="1"/>
    <col min="4881" max="4881" width="14.375" style="3079" customWidth="1"/>
    <col min="4882" max="4882" width="6.25" style="3079" customWidth="1"/>
    <col min="4883" max="4883" width="103.75" style="3079" customWidth="1"/>
    <col min="4884" max="4884" width="7.875" style="3079" customWidth="1"/>
    <col min="4885" max="5123" width="9" style="3079"/>
    <col min="5124" max="5124" width="122.875" style="3079" customWidth="1"/>
    <col min="5125" max="5125" width="6.25" style="3079" customWidth="1"/>
    <col min="5126" max="5128" width="13.875" style="3079" customWidth="1"/>
    <col min="5129" max="5129" width="66.375" style="3079" customWidth="1"/>
    <col min="5130" max="5130" width="7.875" style="3079" customWidth="1"/>
    <col min="5131" max="5131" width="67.375" style="3079" customWidth="1"/>
    <col min="5132" max="5132" width="7.875" style="3079" customWidth="1"/>
    <col min="5133" max="5134" width="9" style="3079"/>
    <col min="5135" max="5136" width="10.625" style="3079" customWidth="1"/>
    <col min="5137" max="5137" width="14.375" style="3079" customWidth="1"/>
    <col min="5138" max="5138" width="6.25" style="3079" customWidth="1"/>
    <col min="5139" max="5139" width="103.75" style="3079" customWidth="1"/>
    <col min="5140" max="5140" width="7.875" style="3079" customWidth="1"/>
    <col min="5141" max="5379" width="9" style="3079"/>
    <col min="5380" max="5380" width="122.875" style="3079" customWidth="1"/>
    <col min="5381" max="5381" width="6.25" style="3079" customWidth="1"/>
    <col min="5382" max="5384" width="13.875" style="3079" customWidth="1"/>
    <col min="5385" max="5385" width="66.375" style="3079" customWidth="1"/>
    <col min="5386" max="5386" width="7.875" style="3079" customWidth="1"/>
    <col min="5387" max="5387" width="67.375" style="3079" customWidth="1"/>
    <col min="5388" max="5388" width="7.875" style="3079" customWidth="1"/>
    <col min="5389" max="5390" width="9" style="3079"/>
    <col min="5391" max="5392" width="10.625" style="3079" customWidth="1"/>
    <col min="5393" max="5393" width="14.375" style="3079" customWidth="1"/>
    <col min="5394" max="5394" width="6.25" style="3079" customWidth="1"/>
    <col min="5395" max="5395" width="103.75" style="3079" customWidth="1"/>
    <col min="5396" max="5396" width="7.875" style="3079" customWidth="1"/>
    <col min="5397" max="5635" width="9" style="3079"/>
    <col min="5636" max="5636" width="122.875" style="3079" customWidth="1"/>
    <col min="5637" max="5637" width="6.25" style="3079" customWidth="1"/>
    <col min="5638" max="5640" width="13.875" style="3079" customWidth="1"/>
    <col min="5641" max="5641" width="66.375" style="3079" customWidth="1"/>
    <col min="5642" max="5642" width="7.875" style="3079" customWidth="1"/>
    <col min="5643" max="5643" width="67.375" style="3079" customWidth="1"/>
    <col min="5644" max="5644" width="7.875" style="3079" customWidth="1"/>
    <col min="5645" max="5646" width="9" style="3079"/>
    <col min="5647" max="5648" width="10.625" style="3079" customWidth="1"/>
    <col min="5649" max="5649" width="14.375" style="3079" customWidth="1"/>
    <col min="5650" max="5650" width="6.25" style="3079" customWidth="1"/>
    <col min="5651" max="5651" width="103.75" style="3079" customWidth="1"/>
    <col min="5652" max="5652" width="7.875" style="3079" customWidth="1"/>
    <col min="5653" max="5891" width="9" style="3079"/>
    <col min="5892" max="5892" width="122.875" style="3079" customWidth="1"/>
    <col min="5893" max="5893" width="6.25" style="3079" customWidth="1"/>
    <col min="5894" max="5896" width="13.875" style="3079" customWidth="1"/>
    <col min="5897" max="5897" width="66.375" style="3079" customWidth="1"/>
    <col min="5898" max="5898" width="7.875" style="3079" customWidth="1"/>
    <col min="5899" max="5899" width="67.375" style="3079" customWidth="1"/>
    <col min="5900" max="5900" width="7.875" style="3079" customWidth="1"/>
    <col min="5901" max="5902" width="9" style="3079"/>
    <col min="5903" max="5904" width="10.625" style="3079" customWidth="1"/>
    <col min="5905" max="5905" width="14.375" style="3079" customWidth="1"/>
    <col min="5906" max="5906" width="6.25" style="3079" customWidth="1"/>
    <col min="5907" max="5907" width="103.75" style="3079" customWidth="1"/>
    <col min="5908" max="5908" width="7.875" style="3079" customWidth="1"/>
    <col min="5909" max="6147" width="9" style="3079"/>
    <col min="6148" max="6148" width="122.875" style="3079" customWidth="1"/>
    <col min="6149" max="6149" width="6.25" style="3079" customWidth="1"/>
    <col min="6150" max="6152" width="13.875" style="3079" customWidth="1"/>
    <col min="6153" max="6153" width="66.375" style="3079" customWidth="1"/>
    <col min="6154" max="6154" width="7.875" style="3079" customWidth="1"/>
    <col min="6155" max="6155" width="67.375" style="3079" customWidth="1"/>
    <col min="6156" max="6156" width="7.875" style="3079" customWidth="1"/>
    <col min="6157" max="6158" width="9" style="3079"/>
    <col min="6159" max="6160" width="10.625" style="3079" customWidth="1"/>
    <col min="6161" max="6161" width="14.375" style="3079" customWidth="1"/>
    <col min="6162" max="6162" width="6.25" style="3079" customWidth="1"/>
    <col min="6163" max="6163" width="103.75" style="3079" customWidth="1"/>
    <col min="6164" max="6164" width="7.875" style="3079" customWidth="1"/>
    <col min="6165" max="6403" width="9" style="3079"/>
    <col min="6404" max="6404" width="122.875" style="3079" customWidth="1"/>
    <col min="6405" max="6405" width="6.25" style="3079" customWidth="1"/>
    <col min="6406" max="6408" width="13.875" style="3079" customWidth="1"/>
    <col min="6409" max="6409" width="66.375" style="3079" customWidth="1"/>
    <col min="6410" max="6410" width="7.875" style="3079" customWidth="1"/>
    <col min="6411" max="6411" width="67.375" style="3079" customWidth="1"/>
    <col min="6412" max="6412" width="7.875" style="3079" customWidth="1"/>
    <col min="6413" max="6414" width="9" style="3079"/>
    <col min="6415" max="6416" width="10.625" style="3079" customWidth="1"/>
    <col min="6417" max="6417" width="14.375" style="3079" customWidth="1"/>
    <col min="6418" max="6418" width="6.25" style="3079" customWidth="1"/>
    <col min="6419" max="6419" width="103.75" style="3079" customWidth="1"/>
    <col min="6420" max="6420" width="7.875" style="3079" customWidth="1"/>
    <col min="6421" max="6659" width="9" style="3079"/>
    <col min="6660" max="6660" width="122.875" style="3079" customWidth="1"/>
    <col min="6661" max="6661" width="6.25" style="3079" customWidth="1"/>
    <col min="6662" max="6664" width="13.875" style="3079" customWidth="1"/>
    <col min="6665" max="6665" width="66.375" style="3079" customWidth="1"/>
    <col min="6666" max="6666" width="7.875" style="3079" customWidth="1"/>
    <col min="6667" max="6667" width="67.375" style="3079" customWidth="1"/>
    <col min="6668" max="6668" width="7.875" style="3079" customWidth="1"/>
    <col min="6669" max="6670" width="9" style="3079"/>
    <col min="6671" max="6672" width="10.625" style="3079" customWidth="1"/>
    <col min="6673" max="6673" width="14.375" style="3079" customWidth="1"/>
    <col min="6674" max="6674" width="6.25" style="3079" customWidth="1"/>
    <col min="6675" max="6675" width="103.75" style="3079" customWidth="1"/>
    <col min="6676" max="6676" width="7.875" style="3079" customWidth="1"/>
    <col min="6677" max="6915" width="9" style="3079"/>
    <col min="6916" max="6916" width="122.875" style="3079" customWidth="1"/>
    <col min="6917" max="6917" width="6.25" style="3079" customWidth="1"/>
    <col min="6918" max="6920" width="13.875" style="3079" customWidth="1"/>
    <col min="6921" max="6921" width="66.375" style="3079" customWidth="1"/>
    <col min="6922" max="6922" width="7.875" style="3079" customWidth="1"/>
    <col min="6923" max="6923" width="67.375" style="3079" customWidth="1"/>
    <col min="6924" max="6924" width="7.875" style="3079" customWidth="1"/>
    <col min="6925" max="6926" width="9" style="3079"/>
    <col min="6927" max="6928" width="10.625" style="3079" customWidth="1"/>
    <col min="6929" max="6929" width="14.375" style="3079" customWidth="1"/>
    <col min="6930" max="6930" width="6.25" style="3079" customWidth="1"/>
    <col min="6931" max="6931" width="103.75" style="3079" customWidth="1"/>
    <col min="6932" max="6932" width="7.875" style="3079" customWidth="1"/>
    <col min="6933" max="7171" width="9" style="3079"/>
    <col min="7172" max="7172" width="122.875" style="3079" customWidth="1"/>
    <col min="7173" max="7173" width="6.25" style="3079" customWidth="1"/>
    <col min="7174" max="7176" width="13.875" style="3079" customWidth="1"/>
    <col min="7177" max="7177" width="66.375" style="3079" customWidth="1"/>
    <col min="7178" max="7178" width="7.875" style="3079" customWidth="1"/>
    <col min="7179" max="7179" width="67.375" style="3079" customWidth="1"/>
    <col min="7180" max="7180" width="7.875" style="3079" customWidth="1"/>
    <col min="7181" max="7182" width="9" style="3079"/>
    <col min="7183" max="7184" width="10.625" style="3079" customWidth="1"/>
    <col min="7185" max="7185" width="14.375" style="3079" customWidth="1"/>
    <col min="7186" max="7186" width="6.25" style="3079" customWidth="1"/>
    <col min="7187" max="7187" width="103.75" style="3079" customWidth="1"/>
    <col min="7188" max="7188" width="7.875" style="3079" customWidth="1"/>
    <col min="7189" max="7427" width="9" style="3079"/>
    <col min="7428" max="7428" width="122.875" style="3079" customWidth="1"/>
    <col min="7429" max="7429" width="6.25" style="3079" customWidth="1"/>
    <col min="7430" max="7432" width="13.875" style="3079" customWidth="1"/>
    <col min="7433" max="7433" width="66.375" style="3079" customWidth="1"/>
    <col min="7434" max="7434" width="7.875" style="3079" customWidth="1"/>
    <col min="7435" max="7435" width="67.375" style="3079" customWidth="1"/>
    <col min="7436" max="7436" width="7.875" style="3079" customWidth="1"/>
    <col min="7437" max="7438" width="9" style="3079"/>
    <col min="7439" max="7440" width="10.625" style="3079" customWidth="1"/>
    <col min="7441" max="7441" width="14.375" style="3079" customWidth="1"/>
    <col min="7442" max="7442" width="6.25" style="3079" customWidth="1"/>
    <col min="7443" max="7443" width="103.75" style="3079" customWidth="1"/>
    <col min="7444" max="7444" width="7.875" style="3079" customWidth="1"/>
    <col min="7445" max="7683" width="9" style="3079"/>
    <col min="7684" max="7684" width="122.875" style="3079" customWidth="1"/>
    <col min="7685" max="7685" width="6.25" style="3079" customWidth="1"/>
    <col min="7686" max="7688" width="13.875" style="3079" customWidth="1"/>
    <col min="7689" max="7689" width="66.375" style="3079" customWidth="1"/>
    <col min="7690" max="7690" width="7.875" style="3079" customWidth="1"/>
    <col min="7691" max="7691" width="67.375" style="3079" customWidth="1"/>
    <col min="7692" max="7692" width="7.875" style="3079" customWidth="1"/>
    <col min="7693" max="7694" width="9" style="3079"/>
    <col min="7695" max="7696" width="10.625" style="3079" customWidth="1"/>
    <col min="7697" max="7697" width="14.375" style="3079" customWidth="1"/>
    <col min="7698" max="7698" width="6.25" style="3079" customWidth="1"/>
    <col min="7699" max="7699" width="103.75" style="3079" customWidth="1"/>
    <col min="7700" max="7700" width="7.875" style="3079" customWidth="1"/>
    <col min="7701" max="7939" width="9" style="3079"/>
    <col min="7940" max="7940" width="122.875" style="3079" customWidth="1"/>
    <col min="7941" max="7941" width="6.25" style="3079" customWidth="1"/>
    <col min="7942" max="7944" width="13.875" style="3079" customWidth="1"/>
    <col min="7945" max="7945" width="66.375" style="3079" customWidth="1"/>
    <col min="7946" max="7946" width="7.875" style="3079" customWidth="1"/>
    <col min="7947" max="7947" width="67.375" style="3079" customWidth="1"/>
    <col min="7948" max="7948" width="7.875" style="3079" customWidth="1"/>
    <col min="7949" max="7950" width="9" style="3079"/>
    <col min="7951" max="7952" width="10.625" style="3079" customWidth="1"/>
    <col min="7953" max="7953" width="14.375" style="3079" customWidth="1"/>
    <col min="7954" max="7954" width="6.25" style="3079" customWidth="1"/>
    <col min="7955" max="7955" width="103.75" style="3079" customWidth="1"/>
    <col min="7956" max="7956" width="7.875" style="3079" customWidth="1"/>
    <col min="7957" max="8195" width="9" style="3079"/>
    <col min="8196" max="8196" width="122.875" style="3079" customWidth="1"/>
    <col min="8197" max="8197" width="6.25" style="3079" customWidth="1"/>
    <col min="8198" max="8200" width="13.875" style="3079" customWidth="1"/>
    <col min="8201" max="8201" width="66.375" style="3079" customWidth="1"/>
    <col min="8202" max="8202" width="7.875" style="3079" customWidth="1"/>
    <col min="8203" max="8203" width="67.375" style="3079" customWidth="1"/>
    <col min="8204" max="8204" width="7.875" style="3079" customWidth="1"/>
    <col min="8205" max="8206" width="9" style="3079"/>
    <col min="8207" max="8208" width="10.625" style="3079" customWidth="1"/>
    <col min="8209" max="8209" width="14.375" style="3079" customWidth="1"/>
    <col min="8210" max="8210" width="6.25" style="3079" customWidth="1"/>
    <col min="8211" max="8211" width="103.75" style="3079" customWidth="1"/>
    <col min="8212" max="8212" width="7.875" style="3079" customWidth="1"/>
    <col min="8213" max="8451" width="9" style="3079"/>
    <col min="8452" max="8452" width="122.875" style="3079" customWidth="1"/>
    <col min="8453" max="8453" width="6.25" style="3079" customWidth="1"/>
    <col min="8454" max="8456" width="13.875" style="3079" customWidth="1"/>
    <col min="8457" max="8457" width="66.375" style="3079" customWidth="1"/>
    <col min="8458" max="8458" width="7.875" style="3079" customWidth="1"/>
    <col min="8459" max="8459" width="67.375" style="3079" customWidth="1"/>
    <col min="8460" max="8460" width="7.875" style="3079" customWidth="1"/>
    <col min="8461" max="8462" width="9" style="3079"/>
    <col min="8463" max="8464" width="10.625" style="3079" customWidth="1"/>
    <col min="8465" max="8465" width="14.375" style="3079" customWidth="1"/>
    <col min="8466" max="8466" width="6.25" style="3079" customWidth="1"/>
    <col min="8467" max="8467" width="103.75" style="3079" customWidth="1"/>
    <col min="8468" max="8468" width="7.875" style="3079" customWidth="1"/>
    <col min="8469" max="8707" width="9" style="3079"/>
    <col min="8708" max="8708" width="122.875" style="3079" customWidth="1"/>
    <col min="8709" max="8709" width="6.25" style="3079" customWidth="1"/>
    <col min="8710" max="8712" width="13.875" style="3079" customWidth="1"/>
    <col min="8713" max="8713" width="66.375" style="3079" customWidth="1"/>
    <col min="8714" max="8714" width="7.875" style="3079" customWidth="1"/>
    <col min="8715" max="8715" width="67.375" style="3079" customWidth="1"/>
    <col min="8716" max="8716" width="7.875" style="3079" customWidth="1"/>
    <col min="8717" max="8718" width="9" style="3079"/>
    <col min="8719" max="8720" width="10.625" style="3079" customWidth="1"/>
    <col min="8721" max="8721" width="14.375" style="3079" customWidth="1"/>
    <col min="8722" max="8722" width="6.25" style="3079" customWidth="1"/>
    <col min="8723" max="8723" width="103.75" style="3079" customWidth="1"/>
    <col min="8724" max="8724" width="7.875" style="3079" customWidth="1"/>
    <col min="8725" max="8963" width="9" style="3079"/>
    <col min="8964" max="8964" width="122.875" style="3079" customWidth="1"/>
    <col min="8965" max="8965" width="6.25" style="3079" customWidth="1"/>
    <col min="8966" max="8968" width="13.875" style="3079" customWidth="1"/>
    <col min="8969" max="8969" width="66.375" style="3079" customWidth="1"/>
    <col min="8970" max="8970" width="7.875" style="3079" customWidth="1"/>
    <col min="8971" max="8971" width="67.375" style="3079" customWidth="1"/>
    <col min="8972" max="8972" width="7.875" style="3079" customWidth="1"/>
    <col min="8973" max="8974" width="9" style="3079"/>
    <col min="8975" max="8976" width="10.625" style="3079" customWidth="1"/>
    <col min="8977" max="8977" width="14.375" style="3079" customWidth="1"/>
    <col min="8978" max="8978" width="6.25" style="3079" customWidth="1"/>
    <col min="8979" max="8979" width="103.75" style="3079" customWidth="1"/>
    <col min="8980" max="8980" width="7.875" style="3079" customWidth="1"/>
    <col min="8981" max="9219" width="9" style="3079"/>
    <col min="9220" max="9220" width="122.875" style="3079" customWidth="1"/>
    <col min="9221" max="9221" width="6.25" style="3079" customWidth="1"/>
    <col min="9222" max="9224" width="13.875" style="3079" customWidth="1"/>
    <col min="9225" max="9225" width="66.375" style="3079" customWidth="1"/>
    <col min="9226" max="9226" width="7.875" style="3079" customWidth="1"/>
    <col min="9227" max="9227" width="67.375" style="3079" customWidth="1"/>
    <col min="9228" max="9228" width="7.875" style="3079" customWidth="1"/>
    <col min="9229" max="9230" width="9" style="3079"/>
    <col min="9231" max="9232" width="10.625" style="3079" customWidth="1"/>
    <col min="9233" max="9233" width="14.375" style="3079" customWidth="1"/>
    <col min="9234" max="9234" width="6.25" style="3079" customWidth="1"/>
    <col min="9235" max="9235" width="103.75" style="3079" customWidth="1"/>
    <col min="9236" max="9236" width="7.875" style="3079" customWidth="1"/>
    <col min="9237" max="9475" width="9" style="3079"/>
    <col min="9476" max="9476" width="122.875" style="3079" customWidth="1"/>
    <col min="9477" max="9477" width="6.25" style="3079" customWidth="1"/>
    <col min="9478" max="9480" width="13.875" style="3079" customWidth="1"/>
    <col min="9481" max="9481" width="66.375" style="3079" customWidth="1"/>
    <col min="9482" max="9482" width="7.875" style="3079" customWidth="1"/>
    <col min="9483" max="9483" width="67.375" style="3079" customWidth="1"/>
    <col min="9484" max="9484" width="7.875" style="3079" customWidth="1"/>
    <col min="9485" max="9486" width="9" style="3079"/>
    <col min="9487" max="9488" width="10.625" style="3079" customWidth="1"/>
    <col min="9489" max="9489" width="14.375" style="3079" customWidth="1"/>
    <col min="9490" max="9490" width="6.25" style="3079" customWidth="1"/>
    <col min="9491" max="9491" width="103.75" style="3079" customWidth="1"/>
    <col min="9492" max="9492" width="7.875" style="3079" customWidth="1"/>
    <col min="9493" max="9731" width="9" style="3079"/>
    <col min="9732" max="9732" width="122.875" style="3079" customWidth="1"/>
    <col min="9733" max="9733" width="6.25" style="3079" customWidth="1"/>
    <col min="9734" max="9736" width="13.875" style="3079" customWidth="1"/>
    <col min="9737" max="9737" width="66.375" style="3079" customWidth="1"/>
    <col min="9738" max="9738" width="7.875" style="3079" customWidth="1"/>
    <col min="9739" max="9739" width="67.375" style="3079" customWidth="1"/>
    <col min="9740" max="9740" width="7.875" style="3079" customWidth="1"/>
    <col min="9741" max="9742" width="9" style="3079"/>
    <col min="9743" max="9744" width="10.625" style="3079" customWidth="1"/>
    <col min="9745" max="9745" width="14.375" style="3079" customWidth="1"/>
    <col min="9746" max="9746" width="6.25" style="3079" customWidth="1"/>
    <col min="9747" max="9747" width="103.75" style="3079" customWidth="1"/>
    <col min="9748" max="9748" width="7.875" style="3079" customWidth="1"/>
    <col min="9749" max="9987" width="9" style="3079"/>
    <col min="9988" max="9988" width="122.875" style="3079" customWidth="1"/>
    <col min="9989" max="9989" width="6.25" style="3079" customWidth="1"/>
    <col min="9990" max="9992" width="13.875" style="3079" customWidth="1"/>
    <col min="9993" max="9993" width="66.375" style="3079" customWidth="1"/>
    <col min="9994" max="9994" width="7.875" style="3079" customWidth="1"/>
    <col min="9995" max="9995" width="67.375" style="3079" customWidth="1"/>
    <col min="9996" max="9996" width="7.875" style="3079" customWidth="1"/>
    <col min="9997" max="9998" width="9" style="3079"/>
    <col min="9999" max="10000" width="10.625" style="3079" customWidth="1"/>
    <col min="10001" max="10001" width="14.375" style="3079" customWidth="1"/>
    <col min="10002" max="10002" width="6.25" style="3079" customWidth="1"/>
    <col min="10003" max="10003" width="103.75" style="3079" customWidth="1"/>
    <col min="10004" max="10004" width="7.875" style="3079" customWidth="1"/>
    <col min="10005" max="10243" width="9" style="3079"/>
    <col min="10244" max="10244" width="122.875" style="3079" customWidth="1"/>
    <col min="10245" max="10245" width="6.25" style="3079" customWidth="1"/>
    <col min="10246" max="10248" width="13.875" style="3079" customWidth="1"/>
    <col min="10249" max="10249" width="66.375" style="3079" customWidth="1"/>
    <col min="10250" max="10250" width="7.875" style="3079" customWidth="1"/>
    <col min="10251" max="10251" width="67.375" style="3079" customWidth="1"/>
    <col min="10252" max="10252" width="7.875" style="3079" customWidth="1"/>
    <col min="10253" max="10254" width="9" style="3079"/>
    <col min="10255" max="10256" width="10.625" style="3079" customWidth="1"/>
    <col min="10257" max="10257" width="14.375" style="3079" customWidth="1"/>
    <col min="10258" max="10258" width="6.25" style="3079" customWidth="1"/>
    <col min="10259" max="10259" width="103.75" style="3079" customWidth="1"/>
    <col min="10260" max="10260" width="7.875" style="3079" customWidth="1"/>
    <col min="10261" max="10499" width="9" style="3079"/>
    <col min="10500" max="10500" width="122.875" style="3079" customWidth="1"/>
    <col min="10501" max="10501" width="6.25" style="3079" customWidth="1"/>
    <col min="10502" max="10504" width="13.875" style="3079" customWidth="1"/>
    <col min="10505" max="10505" width="66.375" style="3079" customWidth="1"/>
    <col min="10506" max="10506" width="7.875" style="3079" customWidth="1"/>
    <col min="10507" max="10507" width="67.375" style="3079" customWidth="1"/>
    <col min="10508" max="10508" width="7.875" style="3079" customWidth="1"/>
    <col min="10509" max="10510" width="9" style="3079"/>
    <col min="10511" max="10512" width="10.625" style="3079" customWidth="1"/>
    <col min="10513" max="10513" width="14.375" style="3079" customWidth="1"/>
    <col min="10514" max="10514" width="6.25" style="3079" customWidth="1"/>
    <col min="10515" max="10515" width="103.75" style="3079" customWidth="1"/>
    <col min="10516" max="10516" width="7.875" style="3079" customWidth="1"/>
    <col min="10517" max="10755" width="9" style="3079"/>
    <col min="10756" max="10756" width="122.875" style="3079" customWidth="1"/>
    <col min="10757" max="10757" width="6.25" style="3079" customWidth="1"/>
    <col min="10758" max="10760" width="13.875" style="3079" customWidth="1"/>
    <col min="10761" max="10761" width="66.375" style="3079" customWidth="1"/>
    <col min="10762" max="10762" width="7.875" style="3079" customWidth="1"/>
    <col min="10763" max="10763" width="67.375" style="3079" customWidth="1"/>
    <col min="10764" max="10764" width="7.875" style="3079" customWidth="1"/>
    <col min="10765" max="10766" width="9" style="3079"/>
    <col min="10767" max="10768" width="10.625" style="3079" customWidth="1"/>
    <col min="10769" max="10769" width="14.375" style="3079" customWidth="1"/>
    <col min="10770" max="10770" width="6.25" style="3079" customWidth="1"/>
    <col min="10771" max="10771" width="103.75" style="3079" customWidth="1"/>
    <col min="10772" max="10772" width="7.875" style="3079" customWidth="1"/>
    <col min="10773" max="11011" width="9" style="3079"/>
    <col min="11012" max="11012" width="122.875" style="3079" customWidth="1"/>
    <col min="11013" max="11013" width="6.25" style="3079" customWidth="1"/>
    <col min="11014" max="11016" width="13.875" style="3079" customWidth="1"/>
    <col min="11017" max="11017" width="66.375" style="3079" customWidth="1"/>
    <col min="11018" max="11018" width="7.875" style="3079" customWidth="1"/>
    <col min="11019" max="11019" width="67.375" style="3079" customWidth="1"/>
    <col min="11020" max="11020" width="7.875" style="3079" customWidth="1"/>
    <col min="11021" max="11022" width="9" style="3079"/>
    <col min="11023" max="11024" width="10.625" style="3079" customWidth="1"/>
    <col min="11025" max="11025" width="14.375" style="3079" customWidth="1"/>
    <col min="11026" max="11026" width="6.25" style="3079" customWidth="1"/>
    <col min="11027" max="11027" width="103.75" style="3079" customWidth="1"/>
    <col min="11028" max="11028" width="7.875" style="3079" customWidth="1"/>
    <col min="11029" max="11267" width="9" style="3079"/>
    <col min="11268" max="11268" width="122.875" style="3079" customWidth="1"/>
    <col min="11269" max="11269" width="6.25" style="3079" customWidth="1"/>
    <col min="11270" max="11272" width="13.875" style="3079" customWidth="1"/>
    <col min="11273" max="11273" width="66.375" style="3079" customWidth="1"/>
    <col min="11274" max="11274" width="7.875" style="3079" customWidth="1"/>
    <col min="11275" max="11275" width="67.375" style="3079" customWidth="1"/>
    <col min="11276" max="11276" width="7.875" style="3079" customWidth="1"/>
    <col min="11277" max="11278" width="9" style="3079"/>
    <col min="11279" max="11280" width="10.625" style="3079" customWidth="1"/>
    <col min="11281" max="11281" width="14.375" style="3079" customWidth="1"/>
    <col min="11282" max="11282" width="6.25" style="3079" customWidth="1"/>
    <col min="11283" max="11283" width="103.75" style="3079" customWidth="1"/>
    <col min="11284" max="11284" width="7.875" style="3079" customWidth="1"/>
    <col min="11285" max="11523" width="9" style="3079"/>
    <col min="11524" max="11524" width="122.875" style="3079" customWidth="1"/>
    <col min="11525" max="11525" width="6.25" style="3079" customWidth="1"/>
    <col min="11526" max="11528" width="13.875" style="3079" customWidth="1"/>
    <col min="11529" max="11529" width="66.375" style="3079" customWidth="1"/>
    <col min="11530" max="11530" width="7.875" style="3079" customWidth="1"/>
    <col min="11531" max="11531" width="67.375" style="3079" customWidth="1"/>
    <col min="11532" max="11532" width="7.875" style="3079" customWidth="1"/>
    <col min="11533" max="11534" width="9" style="3079"/>
    <col min="11535" max="11536" width="10.625" style="3079" customWidth="1"/>
    <col min="11537" max="11537" width="14.375" style="3079" customWidth="1"/>
    <col min="11538" max="11538" width="6.25" style="3079" customWidth="1"/>
    <col min="11539" max="11539" width="103.75" style="3079" customWidth="1"/>
    <col min="11540" max="11540" width="7.875" style="3079" customWidth="1"/>
    <col min="11541" max="11779" width="9" style="3079"/>
    <col min="11780" max="11780" width="122.875" style="3079" customWidth="1"/>
    <col min="11781" max="11781" width="6.25" style="3079" customWidth="1"/>
    <col min="11782" max="11784" width="13.875" style="3079" customWidth="1"/>
    <col min="11785" max="11785" width="66.375" style="3079" customWidth="1"/>
    <col min="11786" max="11786" width="7.875" style="3079" customWidth="1"/>
    <col min="11787" max="11787" width="67.375" style="3079" customWidth="1"/>
    <col min="11788" max="11788" width="7.875" style="3079" customWidth="1"/>
    <col min="11789" max="11790" width="9" style="3079"/>
    <col min="11791" max="11792" width="10.625" style="3079" customWidth="1"/>
    <col min="11793" max="11793" width="14.375" style="3079" customWidth="1"/>
    <col min="11794" max="11794" width="6.25" style="3079" customWidth="1"/>
    <col min="11795" max="11795" width="103.75" style="3079" customWidth="1"/>
    <col min="11796" max="11796" width="7.875" style="3079" customWidth="1"/>
    <col min="11797" max="12035" width="9" style="3079"/>
    <col min="12036" max="12036" width="122.875" style="3079" customWidth="1"/>
    <col min="12037" max="12037" width="6.25" style="3079" customWidth="1"/>
    <col min="12038" max="12040" width="13.875" style="3079" customWidth="1"/>
    <col min="12041" max="12041" width="66.375" style="3079" customWidth="1"/>
    <col min="12042" max="12042" width="7.875" style="3079" customWidth="1"/>
    <col min="12043" max="12043" width="67.375" style="3079" customWidth="1"/>
    <col min="12044" max="12044" width="7.875" style="3079" customWidth="1"/>
    <col min="12045" max="12046" width="9" style="3079"/>
    <col min="12047" max="12048" width="10.625" style="3079" customWidth="1"/>
    <col min="12049" max="12049" width="14.375" style="3079" customWidth="1"/>
    <col min="12050" max="12050" width="6.25" style="3079" customWidth="1"/>
    <col min="12051" max="12051" width="103.75" style="3079" customWidth="1"/>
    <col min="12052" max="12052" width="7.875" style="3079" customWidth="1"/>
    <col min="12053" max="12291" width="9" style="3079"/>
    <col min="12292" max="12292" width="122.875" style="3079" customWidth="1"/>
    <col min="12293" max="12293" width="6.25" style="3079" customWidth="1"/>
    <col min="12294" max="12296" width="13.875" style="3079" customWidth="1"/>
    <col min="12297" max="12297" width="66.375" style="3079" customWidth="1"/>
    <col min="12298" max="12298" width="7.875" style="3079" customWidth="1"/>
    <col min="12299" max="12299" width="67.375" style="3079" customWidth="1"/>
    <col min="12300" max="12300" width="7.875" style="3079" customWidth="1"/>
    <col min="12301" max="12302" width="9" style="3079"/>
    <col min="12303" max="12304" width="10.625" style="3079" customWidth="1"/>
    <col min="12305" max="12305" width="14.375" style="3079" customWidth="1"/>
    <col min="12306" max="12306" width="6.25" style="3079" customWidth="1"/>
    <col min="12307" max="12307" width="103.75" style="3079" customWidth="1"/>
    <col min="12308" max="12308" width="7.875" style="3079" customWidth="1"/>
    <col min="12309" max="12547" width="9" style="3079"/>
    <col min="12548" max="12548" width="122.875" style="3079" customWidth="1"/>
    <col min="12549" max="12549" width="6.25" style="3079" customWidth="1"/>
    <col min="12550" max="12552" width="13.875" style="3079" customWidth="1"/>
    <col min="12553" max="12553" width="66.375" style="3079" customWidth="1"/>
    <col min="12554" max="12554" width="7.875" style="3079" customWidth="1"/>
    <col min="12555" max="12555" width="67.375" style="3079" customWidth="1"/>
    <col min="12556" max="12556" width="7.875" style="3079" customWidth="1"/>
    <col min="12557" max="12558" width="9" style="3079"/>
    <col min="12559" max="12560" width="10.625" style="3079" customWidth="1"/>
    <col min="12561" max="12561" width="14.375" style="3079" customWidth="1"/>
    <col min="12562" max="12562" width="6.25" style="3079" customWidth="1"/>
    <col min="12563" max="12563" width="103.75" style="3079" customWidth="1"/>
    <col min="12564" max="12564" width="7.875" style="3079" customWidth="1"/>
    <col min="12565" max="12803" width="9" style="3079"/>
    <col min="12804" max="12804" width="122.875" style="3079" customWidth="1"/>
    <col min="12805" max="12805" width="6.25" style="3079" customWidth="1"/>
    <col min="12806" max="12808" width="13.875" style="3079" customWidth="1"/>
    <col min="12809" max="12809" width="66.375" style="3079" customWidth="1"/>
    <col min="12810" max="12810" width="7.875" style="3079" customWidth="1"/>
    <col min="12811" max="12811" width="67.375" style="3079" customWidth="1"/>
    <col min="12812" max="12812" width="7.875" style="3079" customWidth="1"/>
    <col min="12813" max="12814" width="9" style="3079"/>
    <col min="12815" max="12816" width="10.625" style="3079" customWidth="1"/>
    <col min="12817" max="12817" width="14.375" style="3079" customWidth="1"/>
    <col min="12818" max="12818" width="6.25" style="3079" customWidth="1"/>
    <col min="12819" max="12819" width="103.75" style="3079" customWidth="1"/>
    <col min="12820" max="12820" width="7.875" style="3079" customWidth="1"/>
    <col min="12821" max="13059" width="9" style="3079"/>
    <col min="13060" max="13060" width="122.875" style="3079" customWidth="1"/>
    <col min="13061" max="13061" width="6.25" style="3079" customWidth="1"/>
    <col min="13062" max="13064" width="13.875" style="3079" customWidth="1"/>
    <col min="13065" max="13065" width="66.375" style="3079" customWidth="1"/>
    <col min="13066" max="13066" width="7.875" style="3079" customWidth="1"/>
    <col min="13067" max="13067" width="67.375" style="3079" customWidth="1"/>
    <col min="13068" max="13068" width="7.875" style="3079" customWidth="1"/>
    <col min="13069" max="13070" width="9" style="3079"/>
    <col min="13071" max="13072" width="10.625" style="3079" customWidth="1"/>
    <col min="13073" max="13073" width="14.375" style="3079" customWidth="1"/>
    <col min="13074" max="13074" width="6.25" style="3079" customWidth="1"/>
    <col min="13075" max="13075" width="103.75" style="3079" customWidth="1"/>
    <col min="13076" max="13076" width="7.875" style="3079" customWidth="1"/>
    <col min="13077" max="13315" width="9" style="3079"/>
    <col min="13316" max="13316" width="122.875" style="3079" customWidth="1"/>
    <col min="13317" max="13317" width="6.25" style="3079" customWidth="1"/>
    <col min="13318" max="13320" width="13.875" style="3079" customWidth="1"/>
    <col min="13321" max="13321" width="66.375" style="3079" customWidth="1"/>
    <col min="13322" max="13322" width="7.875" style="3079" customWidth="1"/>
    <col min="13323" max="13323" width="67.375" style="3079" customWidth="1"/>
    <col min="13324" max="13324" width="7.875" style="3079" customWidth="1"/>
    <col min="13325" max="13326" width="9" style="3079"/>
    <col min="13327" max="13328" width="10.625" style="3079" customWidth="1"/>
    <col min="13329" max="13329" width="14.375" style="3079" customWidth="1"/>
    <col min="13330" max="13330" width="6.25" style="3079" customWidth="1"/>
    <col min="13331" max="13331" width="103.75" style="3079" customWidth="1"/>
    <col min="13332" max="13332" width="7.875" style="3079" customWidth="1"/>
    <col min="13333" max="13571" width="9" style="3079"/>
    <col min="13572" max="13572" width="122.875" style="3079" customWidth="1"/>
    <col min="13573" max="13573" width="6.25" style="3079" customWidth="1"/>
    <col min="13574" max="13576" width="13.875" style="3079" customWidth="1"/>
    <col min="13577" max="13577" width="66.375" style="3079" customWidth="1"/>
    <col min="13578" max="13578" width="7.875" style="3079" customWidth="1"/>
    <col min="13579" max="13579" width="67.375" style="3079" customWidth="1"/>
    <col min="13580" max="13580" width="7.875" style="3079" customWidth="1"/>
    <col min="13581" max="13582" width="9" style="3079"/>
    <col min="13583" max="13584" width="10.625" style="3079" customWidth="1"/>
    <col min="13585" max="13585" width="14.375" style="3079" customWidth="1"/>
    <col min="13586" max="13586" width="6.25" style="3079" customWidth="1"/>
    <col min="13587" max="13587" width="103.75" style="3079" customWidth="1"/>
    <col min="13588" max="13588" width="7.875" style="3079" customWidth="1"/>
    <col min="13589" max="13827" width="9" style="3079"/>
    <col min="13828" max="13828" width="122.875" style="3079" customWidth="1"/>
    <col min="13829" max="13829" width="6.25" style="3079" customWidth="1"/>
    <col min="13830" max="13832" width="13.875" style="3079" customWidth="1"/>
    <col min="13833" max="13833" width="66.375" style="3079" customWidth="1"/>
    <col min="13834" max="13834" width="7.875" style="3079" customWidth="1"/>
    <col min="13835" max="13835" width="67.375" style="3079" customWidth="1"/>
    <col min="13836" max="13836" width="7.875" style="3079" customWidth="1"/>
    <col min="13837" max="13838" width="9" style="3079"/>
    <col min="13839" max="13840" width="10.625" style="3079" customWidth="1"/>
    <col min="13841" max="13841" width="14.375" style="3079" customWidth="1"/>
    <col min="13842" max="13842" width="6.25" style="3079" customWidth="1"/>
    <col min="13843" max="13843" width="103.75" style="3079" customWidth="1"/>
    <col min="13844" max="13844" width="7.875" style="3079" customWidth="1"/>
    <col min="13845" max="14083" width="9" style="3079"/>
    <col min="14084" max="14084" width="122.875" style="3079" customWidth="1"/>
    <col min="14085" max="14085" width="6.25" style="3079" customWidth="1"/>
    <col min="14086" max="14088" width="13.875" style="3079" customWidth="1"/>
    <col min="14089" max="14089" width="66.375" style="3079" customWidth="1"/>
    <col min="14090" max="14090" width="7.875" style="3079" customWidth="1"/>
    <col min="14091" max="14091" width="67.375" style="3079" customWidth="1"/>
    <col min="14092" max="14092" width="7.875" style="3079" customWidth="1"/>
    <col min="14093" max="14094" width="9" style="3079"/>
    <col min="14095" max="14096" width="10.625" style="3079" customWidth="1"/>
    <col min="14097" max="14097" width="14.375" style="3079" customWidth="1"/>
    <col min="14098" max="14098" width="6.25" style="3079" customWidth="1"/>
    <col min="14099" max="14099" width="103.75" style="3079" customWidth="1"/>
    <col min="14100" max="14100" width="7.875" style="3079" customWidth="1"/>
    <col min="14101" max="14339" width="9" style="3079"/>
    <col min="14340" max="14340" width="122.875" style="3079" customWidth="1"/>
    <col min="14341" max="14341" width="6.25" style="3079" customWidth="1"/>
    <col min="14342" max="14344" width="13.875" style="3079" customWidth="1"/>
    <col min="14345" max="14345" width="66.375" style="3079" customWidth="1"/>
    <col min="14346" max="14346" width="7.875" style="3079" customWidth="1"/>
    <col min="14347" max="14347" width="67.375" style="3079" customWidth="1"/>
    <col min="14348" max="14348" width="7.875" style="3079" customWidth="1"/>
    <col min="14349" max="14350" width="9" style="3079"/>
    <col min="14351" max="14352" width="10.625" style="3079" customWidth="1"/>
    <col min="14353" max="14353" width="14.375" style="3079" customWidth="1"/>
    <col min="14354" max="14354" width="6.25" style="3079" customWidth="1"/>
    <col min="14355" max="14355" width="103.75" style="3079" customWidth="1"/>
    <col min="14356" max="14356" width="7.875" style="3079" customWidth="1"/>
    <col min="14357" max="14595" width="9" style="3079"/>
    <col min="14596" max="14596" width="122.875" style="3079" customWidth="1"/>
    <col min="14597" max="14597" width="6.25" style="3079" customWidth="1"/>
    <col min="14598" max="14600" width="13.875" style="3079" customWidth="1"/>
    <col min="14601" max="14601" width="66.375" style="3079" customWidth="1"/>
    <col min="14602" max="14602" width="7.875" style="3079" customWidth="1"/>
    <col min="14603" max="14603" width="67.375" style="3079" customWidth="1"/>
    <col min="14604" max="14604" width="7.875" style="3079" customWidth="1"/>
    <col min="14605" max="14606" width="9" style="3079"/>
    <col min="14607" max="14608" width="10.625" style="3079" customWidth="1"/>
    <col min="14609" max="14609" width="14.375" style="3079" customWidth="1"/>
    <col min="14610" max="14610" width="6.25" style="3079" customWidth="1"/>
    <col min="14611" max="14611" width="103.75" style="3079" customWidth="1"/>
    <col min="14612" max="14612" width="7.875" style="3079" customWidth="1"/>
    <col min="14613" max="14851" width="9" style="3079"/>
    <col min="14852" max="14852" width="122.875" style="3079" customWidth="1"/>
    <col min="14853" max="14853" width="6.25" style="3079" customWidth="1"/>
    <col min="14854" max="14856" width="13.875" style="3079" customWidth="1"/>
    <col min="14857" max="14857" width="66.375" style="3079" customWidth="1"/>
    <col min="14858" max="14858" width="7.875" style="3079" customWidth="1"/>
    <col min="14859" max="14859" width="67.375" style="3079" customWidth="1"/>
    <col min="14860" max="14860" width="7.875" style="3079" customWidth="1"/>
    <col min="14861" max="14862" width="9" style="3079"/>
    <col min="14863" max="14864" width="10.625" style="3079" customWidth="1"/>
    <col min="14865" max="14865" width="14.375" style="3079" customWidth="1"/>
    <col min="14866" max="14866" width="6.25" style="3079" customWidth="1"/>
    <col min="14867" max="14867" width="103.75" style="3079" customWidth="1"/>
    <col min="14868" max="14868" width="7.875" style="3079" customWidth="1"/>
    <col min="14869" max="15107" width="9" style="3079"/>
    <col min="15108" max="15108" width="122.875" style="3079" customWidth="1"/>
    <col min="15109" max="15109" width="6.25" style="3079" customWidth="1"/>
    <col min="15110" max="15112" width="13.875" style="3079" customWidth="1"/>
    <col min="15113" max="15113" width="66.375" style="3079" customWidth="1"/>
    <col min="15114" max="15114" width="7.875" style="3079" customWidth="1"/>
    <col min="15115" max="15115" width="67.375" style="3079" customWidth="1"/>
    <col min="15116" max="15116" width="7.875" style="3079" customWidth="1"/>
    <col min="15117" max="15118" width="9" style="3079"/>
    <col min="15119" max="15120" width="10.625" style="3079" customWidth="1"/>
    <col min="15121" max="15121" width="14.375" style="3079" customWidth="1"/>
    <col min="15122" max="15122" width="6.25" style="3079" customWidth="1"/>
    <col min="15123" max="15123" width="103.75" style="3079" customWidth="1"/>
    <col min="15124" max="15124" width="7.875" style="3079" customWidth="1"/>
    <col min="15125" max="15363" width="9" style="3079"/>
    <col min="15364" max="15364" width="122.875" style="3079" customWidth="1"/>
    <col min="15365" max="15365" width="6.25" style="3079" customWidth="1"/>
    <col min="15366" max="15368" width="13.875" style="3079" customWidth="1"/>
    <col min="15369" max="15369" width="66.375" style="3079" customWidth="1"/>
    <col min="15370" max="15370" width="7.875" style="3079" customWidth="1"/>
    <col min="15371" max="15371" width="67.375" style="3079" customWidth="1"/>
    <col min="15372" max="15372" width="7.875" style="3079" customWidth="1"/>
    <col min="15373" max="15374" width="9" style="3079"/>
    <col min="15375" max="15376" width="10.625" style="3079" customWidth="1"/>
    <col min="15377" max="15377" width="14.375" style="3079" customWidth="1"/>
    <col min="15378" max="15378" width="6.25" style="3079" customWidth="1"/>
    <col min="15379" max="15379" width="103.75" style="3079" customWidth="1"/>
    <col min="15380" max="15380" width="7.875" style="3079" customWidth="1"/>
    <col min="15381" max="15619" width="9" style="3079"/>
    <col min="15620" max="15620" width="122.875" style="3079" customWidth="1"/>
    <col min="15621" max="15621" width="6.25" style="3079" customWidth="1"/>
    <col min="15622" max="15624" width="13.875" style="3079" customWidth="1"/>
    <col min="15625" max="15625" width="66.375" style="3079" customWidth="1"/>
    <col min="15626" max="15626" width="7.875" style="3079" customWidth="1"/>
    <col min="15627" max="15627" width="67.375" style="3079" customWidth="1"/>
    <col min="15628" max="15628" width="7.875" style="3079" customWidth="1"/>
    <col min="15629" max="15630" width="9" style="3079"/>
    <col min="15631" max="15632" width="10.625" style="3079" customWidth="1"/>
    <col min="15633" max="15633" width="14.375" style="3079" customWidth="1"/>
    <col min="15634" max="15634" width="6.25" style="3079" customWidth="1"/>
    <col min="15635" max="15635" width="103.75" style="3079" customWidth="1"/>
    <col min="15636" max="15636" width="7.875" style="3079" customWidth="1"/>
    <col min="15637" max="15875" width="9" style="3079"/>
    <col min="15876" max="15876" width="122.875" style="3079" customWidth="1"/>
    <col min="15877" max="15877" width="6.25" style="3079" customWidth="1"/>
    <col min="15878" max="15880" width="13.875" style="3079" customWidth="1"/>
    <col min="15881" max="15881" width="66.375" style="3079" customWidth="1"/>
    <col min="15882" max="15882" width="7.875" style="3079" customWidth="1"/>
    <col min="15883" max="15883" width="67.375" style="3079" customWidth="1"/>
    <col min="15884" max="15884" width="7.875" style="3079" customWidth="1"/>
    <col min="15885" max="15886" width="9" style="3079"/>
    <col min="15887" max="15888" width="10.625" style="3079" customWidth="1"/>
    <col min="15889" max="15889" width="14.375" style="3079" customWidth="1"/>
    <col min="15890" max="15890" width="6.25" style="3079" customWidth="1"/>
    <col min="15891" max="15891" width="103.75" style="3079" customWidth="1"/>
    <col min="15892" max="15892" width="7.875" style="3079" customWidth="1"/>
    <col min="15893" max="16131" width="9" style="3079"/>
    <col min="16132" max="16132" width="122.875" style="3079" customWidth="1"/>
    <col min="16133" max="16133" width="6.25" style="3079" customWidth="1"/>
    <col min="16134" max="16136" width="13.875" style="3079" customWidth="1"/>
    <col min="16137" max="16137" width="66.375" style="3079" customWidth="1"/>
    <col min="16138" max="16138" width="7.875" style="3079" customWidth="1"/>
    <col min="16139" max="16139" width="67.375" style="3079" customWidth="1"/>
    <col min="16140" max="16140" width="7.875" style="3079" customWidth="1"/>
    <col min="16141" max="16142" width="9" style="3079"/>
    <col min="16143" max="16144" width="10.625" style="3079" customWidth="1"/>
    <col min="16145" max="16145" width="14.375" style="3079" customWidth="1"/>
    <col min="16146" max="16146" width="6.25" style="3079" customWidth="1"/>
    <col min="16147" max="16147" width="103.75" style="3079" customWidth="1"/>
    <col min="16148" max="16148" width="7.875" style="3079" customWidth="1"/>
    <col min="16149" max="16384" width="9" style="3079"/>
  </cols>
  <sheetData>
    <row r="1" spans="1:23" ht="27">
      <c r="A1" s="3079" t="s">
        <v>3259</v>
      </c>
      <c r="B1" s="3079" t="s">
        <v>3260</v>
      </c>
      <c r="C1" s="3079" t="s">
        <v>3261</v>
      </c>
      <c r="D1" s="3079" t="s">
        <v>3262</v>
      </c>
      <c r="E1" s="3079" t="s">
        <v>3263</v>
      </c>
      <c r="F1" s="3079" t="s">
        <v>3264</v>
      </c>
      <c r="G1" s="3080" t="s">
        <v>3345</v>
      </c>
      <c r="H1" s="3079" t="s">
        <v>3265</v>
      </c>
      <c r="I1" s="3079" t="s">
        <v>3266</v>
      </c>
      <c r="J1" s="3079" t="s">
        <v>3267</v>
      </c>
      <c r="K1" s="3079" t="s">
        <v>3268</v>
      </c>
      <c r="L1" s="3079" t="s">
        <v>3269</v>
      </c>
      <c r="M1" s="3079" t="s">
        <v>3270</v>
      </c>
      <c r="N1" s="3079" t="s">
        <v>3271</v>
      </c>
      <c r="O1" s="3079" t="s">
        <v>3272</v>
      </c>
      <c r="P1" s="3079" t="s">
        <v>3273</v>
      </c>
      <c r="Q1" s="3079" t="s">
        <v>3274</v>
      </c>
      <c r="R1" s="3079" t="s">
        <v>3275</v>
      </c>
      <c r="S1" s="3081" t="s">
        <v>3348</v>
      </c>
      <c r="T1" s="3081" t="s">
        <v>3347</v>
      </c>
      <c r="U1" s="3081" t="s">
        <v>3346</v>
      </c>
      <c r="V1" s="3081" t="s">
        <v>3350</v>
      </c>
      <c r="W1" s="3081" t="s">
        <v>3352</v>
      </c>
    </row>
    <row r="2" spans="1:23" s="3082" customFormat="1" ht="27">
      <c r="A2" s="3082" t="s">
        <v>3276</v>
      </c>
      <c r="B2" s="3082" t="s">
        <v>3227</v>
      </c>
      <c r="C2" s="3082" t="s">
        <v>3277</v>
      </c>
      <c r="D2" s="3082">
        <v>105143.73</v>
      </c>
      <c r="E2" s="3082">
        <v>262859.32</v>
      </c>
      <c r="F2" s="3082" t="s">
        <v>3278</v>
      </c>
      <c r="G2" s="3082">
        <f>ROUND(E2/D2,1)</f>
        <v>2.5</v>
      </c>
      <c r="H2" s="3082" t="s">
        <v>3279</v>
      </c>
      <c r="I2" s="3082" t="s">
        <v>3280</v>
      </c>
      <c r="J2" s="3082">
        <v>0</v>
      </c>
      <c r="K2" s="3082" t="s">
        <v>3281</v>
      </c>
      <c r="L2" s="3082" t="s">
        <v>3281</v>
      </c>
      <c r="M2" s="3082">
        <v>502000</v>
      </c>
      <c r="N2" s="3082">
        <v>677700</v>
      </c>
      <c r="O2" s="3082">
        <v>25781.84</v>
      </c>
      <c r="P2" s="3082">
        <v>35</v>
      </c>
      <c r="Q2" s="3082" t="s">
        <v>3282</v>
      </c>
      <c r="R2" s="3082" t="s">
        <v>3283</v>
      </c>
      <c r="S2" s="3082">
        <v>162162</v>
      </c>
      <c r="T2" s="3082">
        <f>1000+1500+12735+11000+1000+2113</f>
        <v>29348</v>
      </c>
      <c r="U2" s="3082">
        <f>ROUND((S2*1.6+N2)/E2*10000,0)</f>
        <v>35653</v>
      </c>
      <c r="V2" s="3084">
        <v>0.23</v>
      </c>
      <c r="W2" s="3085" t="s">
        <v>3351</v>
      </c>
    </row>
    <row r="3" spans="1:23" ht="27">
      <c r="A3" s="3079" t="s">
        <v>3284</v>
      </c>
      <c r="B3" s="3079" t="s">
        <v>3227</v>
      </c>
      <c r="C3" s="3079" t="s">
        <v>3277</v>
      </c>
      <c r="D3" s="3079">
        <v>57208.800000000003</v>
      </c>
      <c r="E3" s="3079">
        <v>91534.080000000002</v>
      </c>
      <c r="F3" s="3079" t="s">
        <v>3285</v>
      </c>
      <c r="G3" s="3079">
        <f t="shared" ref="G3:G18" si="0">ROUND(E3/D3,1)</f>
        <v>1.6</v>
      </c>
      <c r="H3" s="3079" t="s">
        <v>3279</v>
      </c>
      <c r="I3" s="3079" t="s">
        <v>3286</v>
      </c>
      <c r="J3" s="3079">
        <v>0</v>
      </c>
      <c r="K3" s="3079" t="s">
        <v>3287</v>
      </c>
      <c r="L3" s="3079" t="s">
        <v>3287</v>
      </c>
      <c r="M3" s="3079">
        <v>177000</v>
      </c>
      <c r="N3" s="3079">
        <v>205000</v>
      </c>
      <c r="O3" s="3079">
        <v>22396.02</v>
      </c>
      <c r="P3" s="3079">
        <v>15.82</v>
      </c>
      <c r="Q3" s="3079" t="s">
        <v>3288</v>
      </c>
      <c r="R3" s="3079" t="s">
        <v>3283</v>
      </c>
    </row>
    <row r="4" spans="1:23" ht="54" hidden="1">
      <c r="A4" s="3079" t="s">
        <v>3289</v>
      </c>
      <c r="B4" s="3079" t="s">
        <v>3227</v>
      </c>
      <c r="C4" s="3079" t="s">
        <v>3290</v>
      </c>
      <c r="D4" s="3079">
        <v>125102.17</v>
      </c>
      <c r="E4" s="3079">
        <v>219262.23</v>
      </c>
      <c r="F4" s="3079" t="s">
        <v>3291</v>
      </c>
      <c r="G4" s="3079">
        <f t="shared" si="0"/>
        <v>1.8</v>
      </c>
      <c r="H4" s="3079" t="s">
        <v>3279</v>
      </c>
      <c r="I4" s="3079" t="s">
        <v>3292</v>
      </c>
      <c r="J4" s="3079">
        <v>0</v>
      </c>
      <c r="K4" s="3079" t="s">
        <v>3287</v>
      </c>
      <c r="L4" s="3079" t="s">
        <v>3287</v>
      </c>
      <c r="M4" s="3079">
        <v>404000</v>
      </c>
      <c r="N4" s="3079">
        <v>406100</v>
      </c>
      <c r="O4" s="3079">
        <v>18521.2</v>
      </c>
      <c r="P4" s="3079">
        <v>0.52</v>
      </c>
      <c r="Q4" s="3079" t="s">
        <v>3293</v>
      </c>
      <c r="R4" s="3079" t="s">
        <v>3283</v>
      </c>
    </row>
    <row r="5" spans="1:23" ht="54" hidden="1">
      <c r="A5" s="3079" t="s">
        <v>3294</v>
      </c>
      <c r="B5" s="3079" t="s">
        <v>3227</v>
      </c>
      <c r="C5" s="3079" t="s">
        <v>3290</v>
      </c>
      <c r="D5" s="3079">
        <v>122243.7</v>
      </c>
      <c r="E5" s="3079">
        <v>206085.13</v>
      </c>
      <c r="F5" s="3079" t="s">
        <v>3295</v>
      </c>
      <c r="G5" s="3079">
        <f t="shared" si="0"/>
        <v>1.7</v>
      </c>
      <c r="H5" s="3079" t="s">
        <v>3279</v>
      </c>
      <c r="I5" s="3079" t="s">
        <v>3296</v>
      </c>
      <c r="J5" s="3079">
        <v>0</v>
      </c>
      <c r="K5" s="3079" t="s">
        <v>3297</v>
      </c>
      <c r="L5" s="3079" t="s">
        <v>3297</v>
      </c>
      <c r="M5" s="3079">
        <v>311800</v>
      </c>
      <c r="N5" s="3079">
        <v>311800</v>
      </c>
      <c r="O5" s="3079">
        <v>15129.67</v>
      </c>
      <c r="P5" s="3079">
        <v>0</v>
      </c>
      <c r="Q5" s="3079" t="s">
        <v>3298</v>
      </c>
      <c r="R5" s="3079" t="s">
        <v>3299</v>
      </c>
    </row>
    <row r="6" spans="1:23" ht="27" hidden="1">
      <c r="A6" s="3079" t="s">
        <v>3300</v>
      </c>
      <c r="B6" s="3079" t="s">
        <v>3227</v>
      </c>
      <c r="C6" s="3079" t="s">
        <v>3290</v>
      </c>
      <c r="D6" s="3079">
        <v>83940.05</v>
      </c>
      <c r="E6" s="3079">
        <v>146004.07999999999</v>
      </c>
      <c r="F6" s="3079" t="s">
        <v>3301</v>
      </c>
      <c r="G6" s="3079">
        <f t="shared" si="0"/>
        <v>1.7</v>
      </c>
      <c r="H6" s="3079" t="s">
        <v>3279</v>
      </c>
      <c r="I6" s="3079" t="s">
        <v>3302</v>
      </c>
      <c r="J6" s="3079">
        <v>0</v>
      </c>
      <c r="K6" s="3079" t="s">
        <v>3297</v>
      </c>
      <c r="L6" s="3079" t="s">
        <v>3297</v>
      </c>
      <c r="M6" s="3079">
        <v>243400</v>
      </c>
      <c r="N6" s="3079">
        <v>243400</v>
      </c>
      <c r="O6" s="3079">
        <v>16670.77</v>
      </c>
      <c r="P6" s="3079">
        <v>0</v>
      </c>
      <c r="Q6" s="3079" t="s">
        <v>3303</v>
      </c>
      <c r="R6" s="3079" t="s">
        <v>3304</v>
      </c>
    </row>
    <row r="7" spans="1:23" ht="27" hidden="1">
      <c r="A7" s="3079" t="s">
        <v>3305</v>
      </c>
      <c r="B7" s="3079" t="s">
        <v>3227</v>
      </c>
      <c r="C7" s="3079" t="s">
        <v>3290</v>
      </c>
      <c r="D7" s="3079">
        <v>99454.31</v>
      </c>
      <c r="E7" s="3079">
        <v>153846.89000000001</v>
      </c>
      <c r="F7" s="3079" t="s">
        <v>3306</v>
      </c>
      <c r="G7" s="3079">
        <f t="shared" si="0"/>
        <v>1.5</v>
      </c>
      <c r="H7" s="3079" t="s">
        <v>3279</v>
      </c>
      <c r="I7" s="3079" t="s">
        <v>3307</v>
      </c>
      <c r="J7" s="3079">
        <v>0</v>
      </c>
      <c r="K7" s="3079" t="s">
        <v>3297</v>
      </c>
      <c r="L7" s="3079" t="s">
        <v>3297</v>
      </c>
      <c r="M7" s="3079">
        <v>302400</v>
      </c>
      <c r="N7" s="3079">
        <v>326000</v>
      </c>
      <c r="O7" s="3079">
        <v>21189.9</v>
      </c>
      <c r="P7" s="3079">
        <v>7.8</v>
      </c>
      <c r="Q7" s="3079" t="s">
        <v>3308</v>
      </c>
      <c r="R7" s="3079" t="s">
        <v>3299</v>
      </c>
    </row>
    <row r="8" spans="1:23" ht="27" hidden="1">
      <c r="A8" s="3079" t="s">
        <v>3309</v>
      </c>
      <c r="B8" s="3079" t="s">
        <v>3227</v>
      </c>
      <c r="C8" s="3079" t="s">
        <v>3290</v>
      </c>
      <c r="D8" s="3079">
        <v>57706.7</v>
      </c>
      <c r="E8" s="3079">
        <v>86410.72</v>
      </c>
      <c r="F8" s="3079" t="s">
        <v>3310</v>
      </c>
      <c r="G8" s="3079">
        <f t="shared" si="0"/>
        <v>1.5</v>
      </c>
      <c r="H8" s="3079" t="s">
        <v>3279</v>
      </c>
      <c r="I8" s="3079" t="s">
        <v>3311</v>
      </c>
      <c r="J8" s="3079">
        <v>0</v>
      </c>
      <c r="K8" s="3079" t="s">
        <v>3312</v>
      </c>
      <c r="L8" s="3079" t="s">
        <v>3312</v>
      </c>
      <c r="M8" s="3079">
        <v>142400</v>
      </c>
      <c r="N8" s="3079">
        <v>167000</v>
      </c>
      <c r="O8" s="3079">
        <v>19326.310000000001</v>
      </c>
      <c r="P8" s="3079">
        <v>17.28</v>
      </c>
      <c r="Q8" s="3079" t="s">
        <v>3313</v>
      </c>
      <c r="R8" s="3079" t="s">
        <v>3299</v>
      </c>
    </row>
    <row r="9" spans="1:23" ht="40.5" hidden="1">
      <c r="A9" s="3079" t="s">
        <v>3314</v>
      </c>
      <c r="B9" s="3079" t="s">
        <v>3227</v>
      </c>
      <c r="C9" s="3079" t="s">
        <v>3290</v>
      </c>
      <c r="D9" s="3079">
        <v>87328.39</v>
      </c>
      <c r="E9" s="3079">
        <v>135355.79999999999</v>
      </c>
      <c r="F9" s="3079" t="s">
        <v>3315</v>
      </c>
      <c r="G9" s="3079">
        <f t="shared" si="0"/>
        <v>1.5</v>
      </c>
      <c r="H9" s="3079" t="s">
        <v>3279</v>
      </c>
      <c r="I9" s="3079" t="s">
        <v>3316</v>
      </c>
      <c r="J9" s="3079">
        <v>0</v>
      </c>
      <c r="K9" s="3079" t="s">
        <v>3312</v>
      </c>
      <c r="L9" s="3079" t="s">
        <v>3312</v>
      </c>
      <c r="M9" s="3079">
        <v>241000</v>
      </c>
      <c r="N9" s="3079">
        <v>241000</v>
      </c>
      <c r="O9" s="3079">
        <v>17804.93</v>
      </c>
      <c r="P9" s="3079">
        <v>0</v>
      </c>
      <c r="Q9" s="3079" t="s">
        <v>3317</v>
      </c>
      <c r="R9" s="3079" t="s">
        <v>3299</v>
      </c>
    </row>
    <row r="10" spans="1:23" ht="27" hidden="1">
      <c r="A10" s="3079" t="s">
        <v>3318</v>
      </c>
      <c r="B10" s="3079" t="s">
        <v>3227</v>
      </c>
      <c r="C10" s="3079" t="s">
        <v>3290</v>
      </c>
      <c r="D10" s="3079">
        <v>146640.21</v>
      </c>
      <c r="E10" s="3079">
        <v>288410</v>
      </c>
      <c r="F10" s="3079" t="s">
        <v>3319</v>
      </c>
      <c r="G10" s="3079">
        <f t="shared" si="0"/>
        <v>2</v>
      </c>
      <c r="H10" s="3079" t="s">
        <v>3279</v>
      </c>
      <c r="I10" s="3079" t="s">
        <v>3320</v>
      </c>
      <c r="J10" s="3079">
        <v>0</v>
      </c>
      <c r="K10" s="3079" t="s">
        <v>3321</v>
      </c>
      <c r="L10" s="3079" t="s">
        <v>3321</v>
      </c>
      <c r="M10" s="3079">
        <v>430000</v>
      </c>
      <c r="N10" s="3079">
        <v>430000</v>
      </c>
      <c r="O10" s="3079">
        <v>14909.32</v>
      </c>
      <c r="P10" s="3079">
        <v>0</v>
      </c>
      <c r="Q10" s="3079" t="s">
        <v>3322</v>
      </c>
      <c r="R10" s="3079" t="s">
        <v>3304</v>
      </c>
    </row>
    <row r="11" spans="1:23" s="3086" customFormat="1" ht="27">
      <c r="A11" s="3086" t="s">
        <v>3323</v>
      </c>
      <c r="B11" s="3086" t="s">
        <v>3227</v>
      </c>
      <c r="C11" s="3086" t="s">
        <v>3277</v>
      </c>
      <c r="D11" s="3086">
        <v>96884.68</v>
      </c>
      <c r="E11" s="3086">
        <v>145327</v>
      </c>
      <c r="F11" s="3086" t="s">
        <v>3324</v>
      </c>
      <c r="G11" s="3086">
        <f t="shared" si="0"/>
        <v>1.5</v>
      </c>
      <c r="H11" s="3086" t="s">
        <v>3279</v>
      </c>
      <c r="I11" s="3086" t="s">
        <v>3280</v>
      </c>
      <c r="J11" s="3086">
        <v>0</v>
      </c>
      <c r="K11" s="3086" t="s">
        <v>3325</v>
      </c>
      <c r="L11" s="3086" t="s">
        <v>3325</v>
      </c>
      <c r="M11" s="3086">
        <v>340000</v>
      </c>
      <c r="N11" s="3086">
        <v>410000</v>
      </c>
      <c r="O11" s="3086">
        <v>28212.240000000002</v>
      </c>
      <c r="P11" s="3086">
        <v>20.59</v>
      </c>
      <c r="Q11" s="3086" t="s">
        <v>3326</v>
      </c>
      <c r="R11" s="3086" t="s">
        <v>3304</v>
      </c>
      <c r="W11" s="3086">
        <v>48641</v>
      </c>
    </row>
    <row r="12" spans="1:23" ht="27">
      <c r="A12" s="3079" t="s">
        <v>3327</v>
      </c>
      <c r="B12" s="3079" t="s">
        <v>3227</v>
      </c>
      <c r="C12" s="3079" t="s">
        <v>3277</v>
      </c>
      <c r="D12" s="3079">
        <v>21403.13</v>
      </c>
      <c r="E12" s="3079">
        <v>38526</v>
      </c>
      <c r="F12" s="3079">
        <v>1.8</v>
      </c>
      <c r="G12" s="3079">
        <f t="shared" si="0"/>
        <v>1.8</v>
      </c>
      <c r="H12" s="3079" t="s">
        <v>3279</v>
      </c>
      <c r="I12" s="3079" t="s">
        <v>3280</v>
      </c>
      <c r="J12" s="3079">
        <v>0</v>
      </c>
      <c r="K12" s="3079" t="s">
        <v>3328</v>
      </c>
      <c r="L12" s="3079" t="s">
        <v>3328</v>
      </c>
      <c r="M12" s="3079">
        <v>71000</v>
      </c>
      <c r="N12" s="3079">
        <v>92000</v>
      </c>
      <c r="O12" s="3079">
        <v>23879.97</v>
      </c>
      <c r="P12" s="3079">
        <v>29.58</v>
      </c>
      <c r="Q12" s="3079" t="s">
        <v>3329</v>
      </c>
      <c r="R12" s="3079" t="s">
        <v>3299</v>
      </c>
    </row>
    <row r="13" spans="1:23" s="3086" customFormat="1" ht="40.5">
      <c r="A13" s="3086" t="s">
        <v>3330</v>
      </c>
      <c r="B13" s="3086" t="s">
        <v>3227</v>
      </c>
      <c r="C13" s="3086" t="s">
        <v>3277</v>
      </c>
      <c r="D13" s="3086">
        <v>43325.9</v>
      </c>
      <c r="E13" s="3086">
        <v>64988</v>
      </c>
      <c r="F13" s="3086">
        <v>1.5</v>
      </c>
      <c r="G13" s="3086">
        <f t="shared" si="0"/>
        <v>1.5</v>
      </c>
      <c r="H13" s="3086" t="s">
        <v>3279</v>
      </c>
      <c r="I13" s="3086" t="s">
        <v>3280</v>
      </c>
      <c r="J13" s="3086">
        <v>0</v>
      </c>
      <c r="K13" s="3086" t="s">
        <v>3328</v>
      </c>
      <c r="L13" s="3086" t="s">
        <v>3328</v>
      </c>
      <c r="M13" s="3086">
        <v>190000</v>
      </c>
      <c r="N13" s="3086">
        <v>204000</v>
      </c>
      <c r="O13" s="3086">
        <v>31390.400000000001</v>
      </c>
      <c r="P13" s="3086">
        <v>7.37</v>
      </c>
      <c r="Q13" s="3086" t="s">
        <v>3331</v>
      </c>
      <c r="R13" s="3086" t="s">
        <v>3304</v>
      </c>
      <c r="W13" s="3086">
        <v>55711</v>
      </c>
    </row>
    <row r="14" spans="1:23" ht="27">
      <c r="A14" s="3079" t="s">
        <v>3332</v>
      </c>
      <c r="B14" s="3079" t="s">
        <v>3227</v>
      </c>
      <c r="C14" s="3079" t="s">
        <v>3290</v>
      </c>
      <c r="D14" s="3079">
        <v>28367.279999999999</v>
      </c>
      <c r="E14" s="3079">
        <v>42028</v>
      </c>
      <c r="F14" s="3079">
        <v>1.48</v>
      </c>
      <c r="G14" s="3079">
        <f t="shared" si="0"/>
        <v>1.5</v>
      </c>
      <c r="H14" s="3079" t="s">
        <v>3279</v>
      </c>
      <c r="I14" s="3079" t="s">
        <v>3320</v>
      </c>
      <c r="J14" s="3079">
        <v>0</v>
      </c>
      <c r="K14" s="3079" t="s">
        <v>3333</v>
      </c>
      <c r="L14" s="3079" t="s">
        <v>3333</v>
      </c>
      <c r="M14" s="3079">
        <v>76000</v>
      </c>
      <c r="N14" s="3079">
        <v>88500</v>
      </c>
      <c r="O14" s="3079">
        <v>21057.38</v>
      </c>
      <c r="P14" s="3079">
        <v>16.45</v>
      </c>
      <c r="Q14" s="3079" t="s">
        <v>3334</v>
      </c>
      <c r="R14" s="3079" t="s">
        <v>3299</v>
      </c>
    </row>
    <row r="15" spans="1:23" ht="40.5">
      <c r="A15" s="3079" t="s">
        <v>3335</v>
      </c>
      <c r="B15" s="3079" t="s">
        <v>3227</v>
      </c>
      <c r="C15" s="3079" t="s">
        <v>3290</v>
      </c>
      <c r="D15" s="3079">
        <v>69856.02</v>
      </c>
      <c r="E15" s="3079">
        <v>104180</v>
      </c>
      <c r="F15" s="3079">
        <v>1.49</v>
      </c>
      <c r="G15" s="3079">
        <f t="shared" si="0"/>
        <v>1.5</v>
      </c>
      <c r="H15" s="3079" t="s">
        <v>3279</v>
      </c>
      <c r="I15" s="3079" t="s">
        <v>3336</v>
      </c>
      <c r="J15" s="3079">
        <v>0</v>
      </c>
      <c r="K15" s="3079" t="s">
        <v>3333</v>
      </c>
      <c r="L15" s="3079" t="s">
        <v>3333</v>
      </c>
      <c r="M15" s="3079">
        <v>190000</v>
      </c>
      <c r="N15" s="3079">
        <v>233000</v>
      </c>
      <c r="O15" s="3079">
        <v>22365.13</v>
      </c>
      <c r="P15" s="3079">
        <v>22.63</v>
      </c>
      <c r="Q15" s="3079" t="s">
        <v>3337</v>
      </c>
      <c r="R15" s="3079" t="s">
        <v>3299</v>
      </c>
    </row>
    <row r="16" spans="1:23">
      <c r="A16" s="3079" t="s">
        <v>3338</v>
      </c>
      <c r="B16" s="3079" t="s">
        <v>3227</v>
      </c>
      <c r="C16" s="3079" t="s">
        <v>3277</v>
      </c>
      <c r="D16" s="3079">
        <v>41663.440000000002</v>
      </c>
      <c r="E16" s="3079">
        <v>70828</v>
      </c>
      <c r="F16" s="3079">
        <v>1.7</v>
      </c>
      <c r="G16" s="3079">
        <f t="shared" si="0"/>
        <v>1.7</v>
      </c>
      <c r="H16" s="3079" t="s">
        <v>3279</v>
      </c>
      <c r="I16" s="3079" t="s">
        <v>3280</v>
      </c>
      <c r="J16" s="3079">
        <v>0</v>
      </c>
      <c r="K16" s="3079" t="s">
        <v>3339</v>
      </c>
      <c r="L16" s="3079" t="s">
        <v>3339</v>
      </c>
      <c r="M16" s="3079">
        <v>76700</v>
      </c>
      <c r="N16" s="3079">
        <v>77900</v>
      </c>
      <c r="O16" s="3079">
        <v>10998.47</v>
      </c>
      <c r="P16" s="3079">
        <v>1.56</v>
      </c>
      <c r="Q16" s="3079" t="s">
        <v>3340</v>
      </c>
      <c r="R16" s="3079" t="s">
        <v>3299</v>
      </c>
    </row>
    <row r="17" spans="1:23" s="3082" customFormat="1" ht="27">
      <c r="A17" s="3082" t="s">
        <v>3341</v>
      </c>
      <c r="B17" s="3082" t="s">
        <v>3227</v>
      </c>
      <c r="C17" s="3082" t="s">
        <v>3277</v>
      </c>
      <c r="D17" s="3082">
        <v>66475.23</v>
      </c>
      <c r="E17" s="3082">
        <v>132950</v>
      </c>
      <c r="F17" s="3082">
        <v>2</v>
      </c>
      <c r="G17" s="3082">
        <f t="shared" si="0"/>
        <v>2</v>
      </c>
      <c r="H17" s="3082" t="s">
        <v>3279</v>
      </c>
      <c r="I17" s="3082" t="s">
        <v>3280</v>
      </c>
      <c r="J17" s="3082">
        <v>0</v>
      </c>
      <c r="K17" s="3082" t="s">
        <v>3339</v>
      </c>
      <c r="L17" s="3082" t="s">
        <v>3339</v>
      </c>
      <c r="M17" s="3082">
        <v>380000</v>
      </c>
      <c r="N17" s="3082">
        <v>450000</v>
      </c>
      <c r="O17" s="3082">
        <v>33847</v>
      </c>
      <c r="P17" s="3082">
        <v>18.420000000000002</v>
      </c>
      <c r="Q17" s="3082" t="s">
        <v>3342</v>
      </c>
      <c r="R17" s="3082" t="s">
        <v>3299</v>
      </c>
      <c r="W17" s="3082">
        <v>55711</v>
      </c>
    </row>
    <row r="18" spans="1:23" ht="27">
      <c r="A18" s="3079" t="s">
        <v>3343</v>
      </c>
      <c r="B18" s="3079" t="s">
        <v>3227</v>
      </c>
      <c r="C18" s="3079" t="s">
        <v>3290</v>
      </c>
      <c r="D18" s="3079">
        <v>76571.12</v>
      </c>
      <c r="E18" s="3079">
        <v>132728</v>
      </c>
      <c r="F18" s="3079">
        <v>1.73</v>
      </c>
      <c r="G18" s="3079">
        <f t="shared" si="0"/>
        <v>1.7</v>
      </c>
      <c r="H18" s="3081" t="s">
        <v>3411</v>
      </c>
      <c r="I18" s="3081" t="s">
        <v>3409</v>
      </c>
      <c r="J18" s="3079">
        <v>0</v>
      </c>
      <c r="K18" s="3079" t="s">
        <v>3339</v>
      </c>
      <c r="L18" s="3079" t="s">
        <v>3339</v>
      </c>
      <c r="M18" s="3079">
        <v>165000</v>
      </c>
      <c r="N18" s="3079">
        <v>194500</v>
      </c>
      <c r="O18" s="3079">
        <v>14654.03</v>
      </c>
      <c r="P18" s="3079">
        <v>17.88</v>
      </c>
      <c r="Q18" s="3079" t="s">
        <v>3344</v>
      </c>
      <c r="R18" s="3079" t="s">
        <v>3283</v>
      </c>
    </row>
    <row r="19" spans="1:23" s="3101" customFormat="1" ht="24">
      <c r="A19" s="3100" t="s">
        <v>3405</v>
      </c>
      <c r="B19" s="3101" t="s">
        <v>3227</v>
      </c>
      <c r="C19" s="3101" t="s">
        <v>3277</v>
      </c>
      <c r="D19" s="3101">
        <v>36365.370000000003</v>
      </c>
      <c r="E19" s="3101">
        <v>65458</v>
      </c>
      <c r="F19" s="3100">
        <v>1.8</v>
      </c>
      <c r="G19" s="3100">
        <v>1.8</v>
      </c>
      <c r="H19" s="3101" t="s">
        <v>3411</v>
      </c>
      <c r="I19" s="3101" t="s">
        <v>3410</v>
      </c>
      <c r="J19" s="3100">
        <v>0</v>
      </c>
      <c r="K19" s="3100" t="s">
        <v>3406</v>
      </c>
      <c r="L19" s="3101" t="s">
        <v>3407</v>
      </c>
      <c r="M19" s="3101">
        <v>260000</v>
      </c>
      <c r="N19" s="3101">
        <v>4766.4399999999996</v>
      </c>
      <c r="O19" s="3101">
        <v>39720</v>
      </c>
      <c r="P19" s="3101">
        <v>44.44</v>
      </c>
      <c r="Q19" s="3101" t="s">
        <v>3408</v>
      </c>
      <c r="R19" s="3101" t="s">
        <v>3412</v>
      </c>
      <c r="W19" s="3101">
        <v>55583</v>
      </c>
    </row>
    <row r="72" s="3086" customFormat="1"/>
    <row r="131" s="3086" customFormat="1"/>
  </sheetData>
  <phoneticPr fontId="14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G41"/>
  <sheetViews>
    <sheetView tabSelected="1" view="pageBreakPreview" zoomScale="85" zoomScaleNormal="70" zoomScaleSheetLayoutView="85" workbookViewId="0">
      <selection activeCell="E17" sqref="E17"/>
    </sheetView>
  </sheetViews>
  <sheetFormatPr defaultColWidth="6.625" defaultRowHeight="12.75"/>
  <cols>
    <col min="1" max="1" width="9.75" style="732" customWidth="1"/>
    <col min="2" max="2" width="25.75" style="883" customWidth="1"/>
    <col min="3" max="3" width="10.375" style="926" customWidth="1"/>
    <col min="4" max="4" width="9.875" style="883" customWidth="1"/>
    <col min="5" max="5" width="9.5" style="732"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197" t="s">
        <v>2279</v>
      </c>
      <c r="B1" s="1346"/>
      <c r="C1" s="1347"/>
      <c r="D1" s="1345"/>
      <c r="E1" s="3025"/>
      <c r="F1" s="3025"/>
      <c r="G1" s="2888"/>
      <c r="H1" s="3025"/>
      <c r="I1" s="3025"/>
      <c r="J1" s="3025"/>
      <c r="K1" s="3026" t="e">
        <f>MATCH(C1,'数据-取费表'!A6:A16,0)+5</f>
        <v>#N/A</v>
      </c>
    </row>
    <row r="2" spans="1:33" ht="18" customHeight="1">
      <c r="A2" s="202" t="s">
        <v>2147</v>
      </c>
      <c r="B2" s="205">
        <f ca="1">C32</f>
        <v>132188</v>
      </c>
      <c r="C2" s="277" t="s">
        <v>2280</v>
      </c>
      <c r="D2" s="277"/>
      <c r="E2" s="3025"/>
      <c r="F2" s="3025"/>
      <c r="G2" s="3025"/>
      <c r="H2" s="3025"/>
      <c r="I2" s="3025"/>
      <c r="J2" s="3025"/>
      <c r="K2" s="3025"/>
    </row>
    <row r="3" spans="1:33" ht="18" customHeight="1" thickBot="1">
      <c r="A3" s="204" t="s">
        <v>2149</v>
      </c>
      <c r="B3" s="205">
        <f ca="1">ROUND(B2*10000/IF(C1="",'数据-汇总表'!E3,INDIRECT("'数据-取费表'!K"&amp;$K$1)),0)</f>
        <v>15297</v>
      </c>
      <c r="C3" s="277" t="s">
        <v>2281</v>
      </c>
      <c r="D3" s="277"/>
      <c r="E3" s="3025"/>
      <c r="F3" s="3025"/>
      <c r="G3" s="3025"/>
      <c r="H3" s="3025"/>
      <c r="I3" s="3025"/>
      <c r="J3" s="3025"/>
      <c r="K3" s="3025"/>
    </row>
    <row r="4" spans="1:33" s="887" customFormat="1" ht="16.5" customHeight="1">
      <c r="A4" s="884" t="s">
        <v>2282</v>
      </c>
      <c r="B4" s="885"/>
      <c r="C4" s="927">
        <f ca="1">SUM(C8:K8)</f>
        <v>204059</v>
      </c>
      <c r="D4" s="885"/>
      <c r="E4" s="885"/>
      <c r="F4" s="885"/>
      <c r="G4" s="885"/>
      <c r="H4" s="885"/>
      <c r="I4" s="885"/>
      <c r="J4" s="885"/>
      <c r="K4" s="886"/>
    </row>
    <row r="5" spans="1:33" s="891" customFormat="1" ht="38.25">
      <c r="A5" s="888" t="s">
        <v>2283</v>
      </c>
      <c r="B5" s="889" t="s">
        <v>2284</v>
      </c>
      <c r="C5" s="2038" t="s">
        <v>3232</v>
      </c>
      <c r="D5" s="2038" t="s">
        <v>5424</v>
      </c>
      <c r="E5" s="2038" t="s">
        <v>48</v>
      </c>
      <c r="F5" s="2038" t="s">
        <v>3168</v>
      </c>
      <c r="G5" s="2038" t="s">
        <v>3485</v>
      </c>
      <c r="H5" s="2038" t="s">
        <v>5426</v>
      </c>
      <c r="I5" s="2038" t="s">
        <v>5493</v>
      </c>
      <c r="J5" s="2038" t="s">
        <v>1343</v>
      </c>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1" t="s">
        <v>2285</v>
      </c>
      <c r="C6" s="893">
        <f>'比较法-住宅'!B3</f>
        <v>57063</v>
      </c>
      <c r="D6" s="893">
        <f>C6/2</f>
        <v>28531.5</v>
      </c>
      <c r="E6" s="893"/>
      <c r="F6" s="893">
        <f ca="1">收益法!B3</f>
        <v>11265</v>
      </c>
      <c r="G6" s="893">
        <f>'比较法-住宅 (精装洋房)'!C48</f>
        <v>52023</v>
      </c>
      <c r="H6" s="893">
        <f>ROUND(G6/2,0)</f>
        <v>26012</v>
      </c>
      <c r="I6" s="893">
        <f ca="1">'收益法（地下仓储）'!B3</f>
        <v>4387</v>
      </c>
      <c r="J6" s="893">
        <f ca="1">'收益法（商业）'!B3</f>
        <v>21271</v>
      </c>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2286</v>
      </c>
      <c r="B7" s="131" t="s">
        <v>2287</v>
      </c>
      <c r="C7" s="278">
        <f>SUMIF('数据-汇总表'!$C19:$C33,假设开发法!C5,'数据-汇总表'!$E19:$E33)</f>
        <v>15708.62</v>
      </c>
      <c r="D7" s="278">
        <f>SUMIF('数据-汇总表'!$C19:$C33,假设开发法!D5,'数据-汇总表'!$E19:$E33)</f>
        <v>19826.72</v>
      </c>
      <c r="E7" s="278">
        <f>SUMIF('数据-汇总表'!$C19:$C33,假设开发法!E5,'数据-汇总表'!$E19:$E33)</f>
        <v>10771.04</v>
      </c>
      <c r="F7" s="278">
        <f>SUMIF('数据-汇总表'!$C19:$C33,假设开发法!F5,'数据-汇总表'!$E19:$E33)</f>
        <v>32537.82</v>
      </c>
      <c r="G7" s="278">
        <f>SUMIF('数据-汇总表'!$C19:$C33,假设开发法!G5,'数据-汇总表'!$E19:$E33)</f>
        <v>1473.1699999999998</v>
      </c>
      <c r="H7" s="278">
        <f>SUMIF('数据-汇总表'!$C19:$C33,假设开发法!H5,'数据-汇总表'!$E19:$E33)</f>
        <v>496.05</v>
      </c>
      <c r="I7" s="278">
        <f>SUMIF('数据-汇总表'!$C19:$C33,假设开发法!I5,'数据-汇总表'!$E19:$E33)</f>
        <v>4957.7199999999993</v>
      </c>
      <c r="J7" s="278">
        <f>SUMIF('数据-汇总表'!$C19:$C33,假设开发法!J5,'数据-汇总表'!$E19:$E33)</f>
        <v>645.96</v>
      </c>
      <c r="K7" s="279">
        <f>SUMIF('数据-汇总表'!$C19:$C33,假设开发法!K5,'数据-汇总表'!$E19:$E33)</f>
        <v>0</v>
      </c>
      <c r="L7" s="895">
        <f>E8/840</f>
        <v>10.351190476190476</v>
      </c>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2288</v>
      </c>
      <c r="B8" s="164" t="s">
        <v>2289</v>
      </c>
      <c r="C8" s="928">
        <f>'比较法-住宅'!B2</f>
        <v>89638</v>
      </c>
      <c r="D8" s="928">
        <f>ROUND(D6*D7/10000,0)</f>
        <v>56569</v>
      </c>
      <c r="E8" s="928">
        <f>'比较法-车位'!B2</f>
        <v>8695</v>
      </c>
      <c r="F8" s="929">
        <f ca="1">收益法!B2</f>
        <v>36654</v>
      </c>
      <c r="G8" s="928">
        <f>'比较法-住宅 (精装洋房)'!B2</f>
        <v>7664</v>
      </c>
      <c r="H8" s="928">
        <f>ROUND(H6*H7/10000,0)</f>
        <v>1290</v>
      </c>
      <c r="I8" s="929">
        <f ca="1">'收益法（地下仓储）'!B2</f>
        <v>2175</v>
      </c>
      <c r="J8" s="929">
        <f ca="1">'收益法（商业）'!B2</f>
        <v>1374</v>
      </c>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2290</v>
      </c>
      <c r="B9" s="885"/>
      <c r="C9" s="885"/>
      <c r="D9" s="885"/>
      <c r="E9" s="885"/>
      <c r="F9" s="885"/>
      <c r="G9" s="885"/>
      <c r="H9" s="885"/>
      <c r="I9" s="885"/>
      <c r="J9" s="885"/>
      <c r="K9" s="886"/>
    </row>
    <row r="10" spans="1:33" s="901" customFormat="1" ht="13.5" customHeight="1">
      <c r="A10" s="888" t="s">
        <v>2291</v>
      </c>
      <c r="B10" s="8" t="s">
        <v>2292</v>
      </c>
      <c r="C10" s="897" t="s">
        <v>2293</v>
      </c>
      <c r="D10" s="898" t="s">
        <v>2294</v>
      </c>
      <c r="E10" s="898" t="s">
        <v>2295</v>
      </c>
      <c r="F10" s="898" t="s">
        <v>2296</v>
      </c>
      <c r="G10" s="8"/>
      <c r="H10" s="899"/>
      <c r="I10" s="899"/>
      <c r="J10" s="899"/>
      <c r="K10" s="900"/>
    </row>
    <row r="11" spans="1:33" s="906" customFormat="1" ht="13.5" customHeight="1">
      <c r="A11" s="902" t="s">
        <v>1300</v>
      </c>
      <c r="B11" s="903" t="s">
        <v>2297</v>
      </c>
      <c r="C11" s="280">
        <f ca="1">IF(C1="",'数据-取费表'!P16,INDIRECT("'数据-取费表'!p"&amp;$K$1)+INDIRECT("'数据-取费表'!ar"&amp;$K$1))</f>
        <v>29383</v>
      </c>
      <c r="D11" s="904"/>
      <c r="E11" s="330"/>
      <c r="F11" s="905">
        <f ca="1">1-IF('数据-取费表'!B24=0,1,IF(C1="",'数据-取费表'!N16,INDIRECT("'数据-取费表'!n"&amp;$K$1)))</f>
        <v>0.67999999999999994</v>
      </c>
      <c r="G11" s="8"/>
      <c r="H11" s="899"/>
      <c r="I11" s="899"/>
      <c r="J11" s="899"/>
      <c r="K11" s="900"/>
    </row>
    <row r="12" spans="1:33" s="906" customFormat="1" ht="13.5" customHeight="1">
      <c r="A12" s="902" t="s">
        <v>1301</v>
      </c>
      <c r="B12" s="903" t="s">
        <v>2298</v>
      </c>
      <c r="C12" s="23">
        <f ca="1">ROUND(C11*F12,0)</f>
        <v>1469</v>
      </c>
      <c r="D12" s="904"/>
      <c r="E12" s="330"/>
      <c r="F12" s="907">
        <f>'数据-取费表'!B33</f>
        <v>0.05</v>
      </c>
      <c r="G12" s="8" t="s">
        <v>2299</v>
      </c>
      <c r="H12" s="899"/>
      <c r="I12" s="899"/>
      <c r="J12" s="899"/>
      <c r="K12" s="900"/>
    </row>
    <row r="13" spans="1:33" s="906" customFormat="1" ht="13.5" customHeight="1">
      <c r="A13" s="902" t="s">
        <v>1302</v>
      </c>
      <c r="B13" s="903" t="s">
        <v>2300</v>
      </c>
      <c r="C13" s="23">
        <f ca="1">ROUND(IF(C1="",SUMIF('数据-取费表'!C:C,"住宅",'数据-取费表'!P:P)*F13,IF(INDIRECT("'数据-取费表'!c"&amp;$K$1)="住宅",INDIRECT("'数据-取费表'!P"&amp;$K$1)*F13,0)),0)</f>
        <v>845</v>
      </c>
      <c r="D13" s="949"/>
      <c r="E13" s="330"/>
      <c r="F13" s="907">
        <f>'数据-取费表'!B34</f>
        <v>0.05</v>
      </c>
      <c r="G13" s="8" t="s">
        <v>2301</v>
      </c>
      <c r="H13" s="899"/>
      <c r="I13" s="899"/>
      <c r="J13" s="899"/>
      <c r="K13" s="900"/>
      <c r="L13" s="906">
        <f>(10896+7085+194)*5%</f>
        <v>908.75</v>
      </c>
    </row>
    <row r="14" spans="1:33" s="908" customFormat="1" ht="13.5" customHeight="1">
      <c r="A14" s="902" t="s">
        <v>1303</v>
      </c>
      <c r="B14" s="903" t="s">
        <v>2302</v>
      </c>
      <c r="C14" s="23">
        <f ca="1">ROUND(D14*E14*F11/10000,0)</f>
        <v>1175</v>
      </c>
      <c r="D14" s="949">
        <f ca="1">IF(C1="",'数据-汇总表'!E3,INDIRECT("'数据-取费表'!K"&amp;$K$1)+INDIRECT("'数据-取费表'!S"&amp;$K$1))</f>
        <v>86417.1</v>
      </c>
      <c r="E14" s="23">
        <f>'数据-取费表'!B35</f>
        <v>200</v>
      </c>
      <c r="F14" s="907"/>
      <c r="G14" s="8" t="s">
        <v>2303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2304</v>
      </c>
      <c r="C15" s="914">
        <f ca="1">ROUND(C11*F15,0)</f>
        <v>441</v>
      </c>
      <c r="D15" s="909"/>
      <c r="E15" s="914"/>
      <c r="F15" s="915">
        <f>'数据-取费表'!B36</f>
        <v>1.4999999999999999E-2</v>
      </c>
      <c r="G15" s="131" t="s">
        <v>2305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2306</v>
      </c>
      <c r="C16" s="914">
        <f ca="1">SUM(C11:C15)</f>
        <v>33313</v>
      </c>
      <c r="D16" s="909"/>
      <c r="E16" s="914"/>
      <c r="F16" s="915"/>
      <c r="G16" s="131"/>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2307</v>
      </c>
      <c r="C17" s="23">
        <f ca="1">ROUND(D17*E17/10000,0)</f>
        <v>0</v>
      </c>
      <c r="D17" s="949">
        <f ca="1">D14</f>
        <v>86417.1</v>
      </c>
      <c r="E17" s="23">
        <f>'数据-取费表'!B32</f>
        <v>0</v>
      </c>
      <c r="F17" s="909"/>
      <c r="G17" s="131" t="s">
        <v>2308</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2309</v>
      </c>
      <c r="C18" s="23">
        <f ca="1">C19+C20-IF(C1="",'数据-取费表'!B29,IF(G18="已全部缴纳",C19+C20,H18))</f>
        <v>0</v>
      </c>
      <c r="D18" s="949"/>
      <c r="E18" s="23"/>
      <c r="F18" s="907"/>
      <c r="G18" s="2040"/>
      <c r="H18" s="1342"/>
      <c r="I18" s="2041" t="s">
        <v>2310</v>
      </c>
      <c r="J18" s="910"/>
      <c r="K18" s="911"/>
    </row>
    <row r="19" spans="1:33" s="906" customFormat="1" ht="13.5" customHeight="1">
      <c r="A19" s="902" t="s">
        <v>805</v>
      </c>
      <c r="B19" s="903" t="s">
        <v>2311</v>
      </c>
      <c r="C19" s="23">
        <f ca="1">ROUND(D19*E19/10000,0)</f>
        <v>0</v>
      </c>
      <c r="D19" s="949">
        <f ca="1">IF(C1="",'数据-汇总表'!E5,IF(INDIRECT("'数据-取费表'!c"&amp;$K$1)="住宅",INDIRECT("'数据-取费表'!k"&amp;$K$1),0))</f>
        <v>49719.61</v>
      </c>
      <c r="E19" s="23">
        <f>'数据-取费表'!B27</f>
        <v>0</v>
      </c>
      <c r="F19" s="907"/>
      <c r="G19" s="14"/>
      <c r="H19" s="1344"/>
      <c r="I19" s="912"/>
      <c r="J19" s="912"/>
      <c r="K19" s="913"/>
    </row>
    <row r="20" spans="1:33" s="906" customFormat="1" ht="13.5" customHeight="1">
      <c r="A20" s="902" t="s">
        <v>806</v>
      </c>
      <c r="B20" s="903" t="s">
        <v>2312</v>
      </c>
      <c r="C20" s="23">
        <f ca="1">ROUND(D20*E20/10000,0)</f>
        <v>0</v>
      </c>
      <c r="D20" s="949">
        <f ca="1">IF(C1="",'数据-汇总表'!E6,IF(INDIRECT("'数据-取费表'!c"&amp;$K$1)="住宅",INDIRECT("'数据-取费表'!s"&amp;$K$1),INDIRECT("'数据-取费表'!k"&amp;$K$1)+INDIRECT("'数据-取费表'!s"&amp;$K$1)))</f>
        <v>36697.490000000005</v>
      </c>
      <c r="E20" s="23">
        <f>'数据-取费表'!B28</f>
        <v>0</v>
      </c>
      <c r="F20" s="907"/>
      <c r="G20" s="14"/>
      <c r="H20" s="912"/>
      <c r="I20" s="912"/>
      <c r="J20" s="912"/>
      <c r="K20" s="913"/>
    </row>
    <row r="21" spans="1:33" s="906" customFormat="1" ht="13.5" customHeight="1">
      <c r="A21" s="892" t="s">
        <v>802</v>
      </c>
      <c r="B21" s="916" t="s">
        <v>2313</v>
      </c>
      <c r="C21" s="917">
        <f ca="1">C16+C17+C18</f>
        <v>33313</v>
      </c>
      <c r="D21" s="918"/>
      <c r="E21" s="282"/>
      <c r="F21" s="282"/>
      <c r="G21" s="131" t="s">
        <v>2314</v>
      </c>
      <c r="H21" s="910"/>
      <c r="I21" s="910"/>
      <c r="J21" s="910"/>
      <c r="K21" s="911"/>
    </row>
    <row r="22" spans="1:33" s="906" customFormat="1" ht="13.5" customHeight="1">
      <c r="A22" s="892" t="s">
        <v>2286</v>
      </c>
      <c r="B22" s="916" t="s">
        <v>2315</v>
      </c>
      <c r="C22" s="917">
        <f ca="1">ROUND(C21*F22,0)</f>
        <v>999</v>
      </c>
      <c r="D22" s="282"/>
      <c r="E22" s="282"/>
      <c r="F22" s="919">
        <f>'数据-取费表'!B37</f>
        <v>0.03</v>
      </c>
      <c r="G22" s="8" t="s">
        <v>2316</v>
      </c>
      <c r="H22" s="899"/>
      <c r="I22" s="899"/>
      <c r="J22" s="899"/>
      <c r="K22" s="900"/>
    </row>
    <row r="23" spans="1:33" s="906" customFormat="1" ht="13.5" customHeight="1">
      <c r="A23" s="892" t="s">
        <v>2288</v>
      </c>
      <c r="B23" s="916" t="s">
        <v>2317</v>
      </c>
      <c r="C23" s="917">
        <f ca="1">ROUND(C4*F23*F11,0)</f>
        <v>4163</v>
      </c>
      <c r="D23" s="282"/>
      <c r="E23" s="282"/>
      <c r="F23" s="919">
        <f>'数据-取费表'!B38</f>
        <v>0.03</v>
      </c>
      <c r="G23" s="8" t="s">
        <v>2318</v>
      </c>
      <c r="H23" s="899"/>
      <c r="I23" s="899"/>
      <c r="J23" s="899"/>
      <c r="K23" s="900"/>
    </row>
    <row r="24" spans="1:33" s="906" customFormat="1" ht="13.5" customHeight="1">
      <c r="A24" s="892" t="s">
        <v>2319</v>
      </c>
      <c r="B24" s="916" t="s">
        <v>2320</v>
      </c>
      <c r="C24" s="281">
        <f>ROUND(F24/(1+'数据-取费表'!C42),4)</f>
        <v>2.9000000000000001E-2</v>
      </c>
      <c r="D24" s="282" t="s">
        <v>15</v>
      </c>
      <c r="E24" s="282"/>
      <c r="F24" s="919">
        <f>IF(项目基本情况!B8="出让",0,'数据-取费表'!B48+'数据-取费表'!B49)</f>
        <v>3.0499999999999999E-2</v>
      </c>
      <c r="G24" s="8" t="s">
        <v>2321</v>
      </c>
      <c r="H24" s="921"/>
      <c r="I24" s="921"/>
      <c r="J24" s="921"/>
      <c r="K24" s="922"/>
    </row>
    <row r="25" spans="1:33" s="906" customFormat="1" ht="13.5" customHeight="1">
      <c r="A25" s="892" t="s">
        <v>2322</v>
      </c>
      <c r="B25" s="918" t="s">
        <v>2323</v>
      </c>
      <c r="C25" s="1260">
        <f ca="1">C27</f>
        <v>1164</v>
      </c>
      <c r="D25" s="281">
        <f ca="1">C26</f>
        <v>6.3200000000000006E-2</v>
      </c>
      <c r="E25" s="283" t="s">
        <v>15</v>
      </c>
      <c r="F25" s="284">
        <f ca="1">'数据-取费表'!B40</f>
        <v>4.3499999999999997E-2</v>
      </c>
      <c r="G25" s="131"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2324</v>
      </c>
      <c r="C26" s="1261">
        <f ca="1">ROUND(IF('数据-取费表'!B22&lt;=1,(1+C24)*F25*'数据-取费表'!B24,(1+C24)*(POWER((1+F25),'数据-取费表'!B24)-1)),4)</f>
        <v>6.3200000000000006E-2</v>
      </c>
      <c r="D26" s="285"/>
      <c r="E26" s="286"/>
      <c r="F26" s="287"/>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2325</v>
      </c>
      <c r="C27" s="1262">
        <f ca="1">ROUND(IF('数据-取费表'!B22&lt;=1,(C21+C22+C23)*F25*'数据-取费表'!B24/2,(C21+C22+C23)*(POWER((1+F25),'数据-取费表'!B24/2)-1)),0)</f>
        <v>1164</v>
      </c>
      <c r="D27" s="285"/>
      <c r="E27" s="286"/>
      <c r="F27" s="287"/>
      <c r="G27" s="2042" t="str">
        <f>IF('数据-取费表'!B22&lt;=1,"（1）-（3）项×年利率×建设期÷2","（1）-（3）项×((1+年利率)^(建设期÷2)-1)")</f>
        <v>（1）-（3）项×((1+年利率)^(建设期÷2)-1)</v>
      </c>
      <c r="H27" s="910"/>
      <c r="I27" s="910"/>
      <c r="J27" s="910"/>
      <c r="K27" s="911"/>
    </row>
    <row r="28" spans="1:33" s="290" customFormat="1" ht="13.5" customHeight="1">
      <c r="A28" s="892" t="s">
        <v>2326</v>
      </c>
      <c r="B28" s="2043" t="s">
        <v>2327</v>
      </c>
      <c r="C28" s="288">
        <f ca="1">C30</f>
        <v>2693</v>
      </c>
      <c r="D28" s="281">
        <f ca="1">C29</f>
        <v>5.04E-2</v>
      </c>
      <c r="E28" s="283" t="s">
        <v>15</v>
      </c>
      <c r="F28" s="289">
        <f ca="1">IF(C1="",'数据-取费表'!Q16,INDIRECT("'数据-取费表'!q"&amp;$K$1))</f>
        <v>7.0000000000000007E-2</v>
      </c>
      <c r="G28" s="920"/>
      <c r="H28" s="921"/>
      <c r="I28" s="921"/>
      <c r="J28" s="921"/>
      <c r="K28" s="922"/>
    </row>
    <row r="29" spans="1:33" s="292" customFormat="1" ht="13.5" customHeight="1">
      <c r="A29" s="902" t="s">
        <v>803</v>
      </c>
      <c r="B29" s="925" t="s">
        <v>2328</v>
      </c>
      <c r="C29" s="285">
        <f ca="1">ROUND((1+C24)*F28*'数据-取费表'!B24/'数据-取费表'!B20,4)</f>
        <v>5.04E-2</v>
      </c>
      <c r="D29" s="285"/>
      <c r="E29" s="286"/>
      <c r="F29" s="291"/>
      <c r="G29" s="131" t="s">
        <v>2329</v>
      </c>
      <c r="H29" s="910"/>
      <c r="I29" s="910"/>
      <c r="J29" s="910"/>
      <c r="K29" s="911"/>
    </row>
    <row r="30" spans="1:33" s="292" customFormat="1" ht="13.5" customHeight="1">
      <c r="A30" s="902" t="s">
        <v>804</v>
      </c>
      <c r="B30" s="925" t="s">
        <v>2330</v>
      </c>
      <c r="C30" s="293">
        <f ca="1">ROUND((C21+C22+C23)*F28,0)</f>
        <v>2693</v>
      </c>
      <c r="D30" s="285"/>
      <c r="E30" s="286"/>
      <c r="F30" s="291"/>
      <c r="G30" s="131"/>
      <c r="H30" s="910"/>
      <c r="I30" s="910"/>
      <c r="J30" s="910"/>
      <c r="K30" s="911"/>
    </row>
    <row r="31" spans="1:33" s="906" customFormat="1" ht="13.5" customHeight="1" thickBot="1">
      <c r="A31" s="2044" t="s">
        <v>2331</v>
      </c>
      <c r="B31" s="936" t="s">
        <v>2332</v>
      </c>
      <c r="C31" s="937">
        <f ca="1">ROUND(C4*F31/(1+'数据-取费表'!C42),0)</f>
        <v>10689</v>
      </c>
      <c r="D31" s="938"/>
      <c r="E31" s="939"/>
      <c r="F31" s="940">
        <f>'数据-取费表'!B41</f>
        <v>5.5000000000000007E-2</v>
      </c>
      <c r="G31" s="941" t="s">
        <v>2333</v>
      </c>
      <c r="H31" s="942"/>
      <c r="I31" s="942"/>
      <c r="J31" s="942"/>
      <c r="K31" s="943"/>
    </row>
    <row r="32" spans="1:33" s="901" customFormat="1" ht="13.5" customHeight="1" thickBot="1">
      <c r="A32" s="931" t="s">
        <v>2334</v>
      </c>
      <c r="B32" s="932"/>
      <c r="C32" s="933">
        <f ca="1">ROUND((C4-C21-C22-C23-C25-C28-C31)/(1+C24+D25+D28),0)</f>
        <v>132188</v>
      </c>
      <c r="D32" s="932"/>
      <c r="E32" s="932"/>
      <c r="F32" s="932"/>
      <c r="G32" s="934" t="s">
        <v>2335</v>
      </c>
      <c r="H32" s="932"/>
      <c r="I32" s="932"/>
      <c r="J32" s="932"/>
      <c r="K32" s="935"/>
    </row>
    <row r="34" spans="3:5" ht="12.75" customHeight="1"/>
    <row r="35" spans="3:5">
      <c r="D35" s="883">
        <f>414978*0.03*0.57</f>
        <v>7096.1237999999994</v>
      </c>
      <c r="E35" s="732">
        <f>(44329+1330+7096)*((1+4.35%)^(1.1/2)-1)</f>
        <v>1250.0629627344395</v>
      </c>
    </row>
    <row r="37" spans="3:5">
      <c r="C37" s="3196">
        <f>(1+0.029)*8%*1.1/2</f>
        <v>4.5275999999999997E-2</v>
      </c>
    </row>
    <row r="38" spans="3:5">
      <c r="E38" s="732">
        <f>(44329+1330+7096)*8%</f>
        <v>4220.3999999999996</v>
      </c>
    </row>
    <row r="41" spans="3:5">
      <c r="C41" s="926">
        <f>414978/(1+5%)*5.5%</f>
        <v>21736.942857142858</v>
      </c>
    </row>
  </sheetData>
  <sheetProtection password="CEE9" sheet="1" objects="1" scenarios="1" formatCells="0" formatColumns="0" formatRows="0"/>
  <phoneticPr fontId="19" type="noConversion"/>
  <dataValidations count="2">
    <dataValidation type="list" allowBlank="1" showInputMessage="1" showErrorMessage="1" sqref="C5:K5 C1" xr:uid="{00000000-0002-0000-1C00-000000000000}">
      <formula1>项目类型</formula1>
    </dataValidation>
    <dataValidation type="list" allowBlank="1" showInputMessage="1" showErrorMessage="1" sqref="G18" xr:uid="{00000000-0002-0000-1C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6" zoomScaleNormal="60" zoomScaleSheetLayoutView="100" workbookViewId="0">
      <selection activeCell="F50" sqref="F50"/>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2346</v>
      </c>
      <c r="C1" s="1399" t="s">
        <v>2347</v>
      </c>
      <c r="D1" s="1386" t="s">
        <v>3232</v>
      </c>
      <c r="E1" s="2536"/>
      <c r="F1" s="2057" t="s">
        <v>2348</v>
      </c>
      <c r="G1" s="1396" t="s">
        <v>2349</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48" customFormat="1" ht="28.5" customHeight="1" thickTop="1">
      <c r="A2" s="1382" t="s">
        <v>1359</v>
      </c>
      <c r="B2" s="1320">
        <f>IF(C2="——",ROUND(C49*D3/10000,0),ROUND(C49*D3/10000,0)-D2)</f>
        <v>89638</v>
      </c>
      <c r="C2" s="2059" t="s">
        <v>70</v>
      </c>
      <c r="D2" s="1269" t="e">
        <f ca="1">SUMIF(INDIRECT("'"&amp;F2&amp;"'"&amp;"!A:A"),"承租人权益价值",INDIRECT("'"&amp;F2&amp;"'"&amp;"!c:c"))</f>
        <v>#REF!</v>
      </c>
      <c r="E2" s="2060" t="s">
        <v>2350</v>
      </c>
      <c r="F2" s="2061"/>
      <c r="G2" s="1032"/>
      <c r="H2" s="1032"/>
      <c r="I2" s="1032"/>
      <c r="J2" s="1032"/>
      <c r="K2" s="2062"/>
      <c r="L2" s="2930"/>
      <c r="M2" s="2931"/>
      <c r="N2" s="2931"/>
      <c r="O2" s="2931"/>
      <c r="P2" s="2063"/>
      <c r="Q2" s="2064"/>
      <c r="R2" s="2064"/>
      <c r="S2" s="2064"/>
      <c r="T2" s="2064"/>
      <c r="U2" s="2064"/>
      <c r="V2" s="2064"/>
      <c r="W2" s="2064"/>
      <c r="X2" s="2064"/>
      <c r="Y2" s="2064"/>
      <c r="Z2" s="2064"/>
      <c r="AA2" s="2064"/>
      <c r="AB2" s="2064"/>
      <c r="AC2" s="2065"/>
    </row>
    <row r="3" spans="1:29" s="348" customFormat="1" ht="28.5" customHeight="1" thickBot="1">
      <c r="A3" s="204" t="s">
        <v>1360</v>
      </c>
      <c r="B3" s="354">
        <f>IF(C2="——",C49,ROUND(B2*10000/D3,0))</f>
        <v>57063</v>
      </c>
      <c r="C3" s="355" t="s">
        <v>2351</v>
      </c>
      <c r="D3" s="354">
        <f>IF(D1="",'数据-汇总表'!E3,SUMIF('数据-汇总表'!$C19:$C33,D1,'数据-汇总表'!$E19:$E33))</f>
        <v>15708.62</v>
      </c>
      <c r="E3" s="1032"/>
      <c r="F3" s="2066"/>
      <c r="G3" s="1032"/>
      <c r="H3" s="1032"/>
      <c r="I3" s="1032"/>
      <c r="J3" s="1032"/>
      <c r="K3" s="2062"/>
      <c r="L3" s="2930"/>
      <c r="M3" s="2931"/>
      <c r="N3" s="2931"/>
      <c r="O3" s="2931"/>
      <c r="P3" s="2063"/>
      <c r="Q3" s="2064"/>
      <c r="R3" s="2064"/>
      <c r="S3" s="2064"/>
      <c r="T3" s="2064"/>
      <c r="U3" s="2064"/>
      <c r="V3" s="2064"/>
      <c r="W3" s="2064"/>
      <c r="X3" s="2064"/>
      <c r="Y3" s="2064"/>
      <c r="Z3" s="2064"/>
      <c r="AA3" s="2064"/>
      <c r="AB3" s="2064"/>
      <c r="AC3" s="1186"/>
    </row>
    <row r="4" spans="1:29" ht="15">
      <c r="A4" s="356" t="s">
        <v>2352</v>
      </c>
      <c r="B4" s="357"/>
      <c r="C4" s="3599" t="s">
        <v>2353</v>
      </c>
      <c r="D4" s="3600"/>
      <c r="E4" s="3601" t="s">
        <v>2354</v>
      </c>
      <c r="F4" s="3602"/>
      <c r="G4" s="3599" t="s">
        <v>2355</v>
      </c>
      <c r="H4" s="3600"/>
      <c r="I4" s="3599" t="s">
        <v>2356</v>
      </c>
      <c r="J4" s="3600"/>
      <c r="K4" s="2067" t="s">
        <v>2357</v>
      </c>
      <c r="L4" s="2932"/>
      <c r="M4" s="2933"/>
      <c r="N4" s="2933"/>
      <c r="O4" s="2933"/>
      <c r="P4" s="3603" t="s">
        <v>2358</v>
      </c>
      <c r="Q4" s="3604"/>
      <c r="R4" s="3586" t="s">
        <v>2354</v>
      </c>
      <c r="S4" s="3587"/>
      <c r="T4" s="3586" t="s">
        <v>2355</v>
      </c>
      <c r="U4" s="3587"/>
      <c r="V4" s="3611" t="s">
        <v>2356</v>
      </c>
      <c r="W4" s="3611"/>
      <c r="X4" s="1532"/>
      <c r="Y4" s="3586" t="s">
        <v>2358</v>
      </c>
      <c r="Z4" s="3587"/>
      <c r="AA4" s="3581" t="s">
        <v>2354</v>
      </c>
      <c r="AB4" s="3581" t="s">
        <v>2355</v>
      </c>
      <c r="AC4" s="3581" t="s">
        <v>2356</v>
      </c>
    </row>
    <row r="5" spans="1:29" ht="15">
      <c r="A5" s="359"/>
      <c r="B5" s="360"/>
      <c r="C5" s="3626" t="s">
        <v>2359</v>
      </c>
      <c r="D5" s="3627"/>
      <c r="E5" s="3624" t="str">
        <f>住宅案例!A33</f>
        <v>龙湾别墅·棠尚</v>
      </c>
      <c r="F5" s="3625"/>
      <c r="G5" s="3626" t="str">
        <f>住宅案例!A11</f>
        <v>建邦顺颐府</v>
      </c>
      <c r="H5" s="3627"/>
      <c r="I5" s="3626" t="str">
        <f>住宅案例!A5</f>
        <v>公园十七区</v>
      </c>
      <c r="J5" s="3627"/>
      <c r="K5" s="2068"/>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2068"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SUMIF(58:58,YEAR(E7)&amp;"-"&amp;MONTH(E7),59:59)</f>
        <v>100</v>
      </c>
      <c r="G7" s="367">
        <f>C7</f>
        <v>44568</v>
      </c>
      <c r="H7" s="366">
        <f>SUMIF(58:58,YEAR(G7)&amp;"-"&amp;MONTH(G7),59:59)</f>
        <v>100</v>
      </c>
      <c r="I7" s="367">
        <f>C7</f>
        <v>44568</v>
      </c>
      <c r="J7" s="366">
        <f>SUMIF(58:58,YEAR(I7)&amp;"-"&amp;MONTH(I7),59:59)</f>
        <v>100</v>
      </c>
      <c r="K7" s="2069"/>
      <c r="L7" s="2934"/>
      <c r="M7" s="2935"/>
      <c r="N7" s="2935"/>
      <c r="O7" s="2935"/>
      <c r="P7" s="3584" t="s">
        <v>2366</v>
      </c>
      <c r="Q7" s="3612"/>
      <c r="R7" s="705" t="s">
        <v>23</v>
      </c>
      <c r="S7" s="706">
        <f t="shared" ref="S7:S15" si="0">F7</f>
        <v>100</v>
      </c>
      <c r="T7" s="705" t="s">
        <v>23</v>
      </c>
      <c r="U7" s="706">
        <f t="shared" ref="U7:U15" si="1">H7</f>
        <v>100</v>
      </c>
      <c r="V7" s="705" t="s">
        <v>23</v>
      </c>
      <c r="W7" s="706">
        <f t="shared" ref="W7:W15" si="2">J7</f>
        <v>100</v>
      </c>
      <c r="X7" s="707"/>
      <c r="Y7" s="3584" t="s">
        <v>2366</v>
      </c>
      <c r="Z7" s="3585"/>
      <c r="AA7" s="708">
        <f>D7/F7</f>
        <v>1</v>
      </c>
      <c r="AB7" s="708">
        <f>D7/H7</f>
        <v>1</v>
      </c>
      <c r="AC7" s="708">
        <f>D7/J7</f>
        <v>1</v>
      </c>
    </row>
    <row r="8" spans="1:29" s="108" customFormat="1" ht="15.75" thickBot="1">
      <c r="A8" s="363" t="s">
        <v>2367</v>
      </c>
      <c r="B8" s="364"/>
      <c r="C8" s="369" t="s">
        <v>2368</v>
      </c>
      <c r="D8" s="366">
        <v>100</v>
      </c>
      <c r="E8" s="2070" t="s">
        <v>3258</v>
      </c>
      <c r="F8" s="368">
        <f>SUMIF(61:61,E8,62:62)-SUMIF(61:61,C8,62:62)+100</f>
        <v>100</v>
      </c>
      <c r="G8" s="369" t="s">
        <v>3258</v>
      </c>
      <c r="H8" s="366">
        <f>SUMIF(61:61,G8,62:62)-SUMIF(61:61,C8,62:62)+100</f>
        <v>100</v>
      </c>
      <c r="I8" s="2070" t="s">
        <v>3258</v>
      </c>
      <c r="J8" s="366">
        <f>SUMIF(61:61,I8,62:62)-SUMIF(61:61,C8,62:62)+100</f>
        <v>100</v>
      </c>
      <c r="K8" s="2069"/>
      <c r="L8" s="2934"/>
      <c r="M8" s="2935"/>
      <c r="N8" s="2935"/>
      <c r="O8" s="2935"/>
      <c r="P8" s="3584" t="s">
        <v>2369</v>
      </c>
      <c r="Q8" s="3585"/>
      <c r="R8" s="705" t="s">
        <v>23</v>
      </c>
      <c r="S8" s="706">
        <f t="shared" si="0"/>
        <v>100</v>
      </c>
      <c r="T8" s="705" t="s">
        <v>23</v>
      </c>
      <c r="U8" s="706">
        <f t="shared" si="1"/>
        <v>100</v>
      </c>
      <c r="V8" s="705" t="s">
        <v>23</v>
      </c>
      <c r="W8" s="706">
        <f t="shared" si="2"/>
        <v>100</v>
      </c>
      <c r="X8" s="707"/>
      <c r="Y8" s="3584" t="s">
        <v>2369</v>
      </c>
      <c r="Z8" s="3585"/>
      <c r="AA8" s="708">
        <f t="shared" ref="AA8:AA19" si="3">D8/F8</f>
        <v>1</v>
      </c>
      <c r="AB8" s="708">
        <f t="shared" ref="AB8:AB19" si="4">D8/H8</f>
        <v>1</v>
      </c>
      <c r="AC8" s="708">
        <f t="shared" ref="AC8:AC19" si="5">D8/J8</f>
        <v>1</v>
      </c>
    </row>
    <row r="9" spans="1:29" s="108" customFormat="1">
      <c r="A9" s="370" t="s">
        <v>2370</v>
      </c>
      <c r="B9" s="63" t="s">
        <v>2371</v>
      </c>
      <c r="C9" s="3104" t="s">
        <v>3461</v>
      </c>
      <c r="D9" s="126">
        <v>100</v>
      </c>
      <c r="E9" s="372" t="s">
        <v>3058</v>
      </c>
      <c r="F9" s="373">
        <f>SUMIF(63:63,E9,64:64)-SUMIF(63:63,C9,64:64)+100</f>
        <v>100</v>
      </c>
      <c r="G9" s="374" t="s">
        <v>3058</v>
      </c>
      <c r="H9" s="126">
        <f>SUMIF(63:63,G9,64:64)-SUMIF(63:63,C9,64:64)+100</f>
        <v>100</v>
      </c>
      <c r="I9" s="374" t="s">
        <v>3058</v>
      </c>
      <c r="J9" s="126">
        <f>SUMIF(63:63,I9,64:64)-SUMIF(63:63,C9,64:64)+100</f>
        <v>100</v>
      </c>
      <c r="K9" s="2069"/>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t="s">
        <v>3462</v>
      </c>
      <c r="D10" s="127">
        <v>100</v>
      </c>
      <c r="E10" s="378" t="s">
        <v>3462</v>
      </c>
      <c r="F10" s="379">
        <f>SUMIF(65:65,E10,66:66)-SUMIF(65:65,C10,66:66)+100</f>
        <v>100</v>
      </c>
      <c r="G10" s="377" t="s">
        <v>3462</v>
      </c>
      <c r="H10" s="127">
        <f>SUMIF(65:65,G10,66:66)-SUMIF(65:65,C10,66:66)+100</f>
        <v>100</v>
      </c>
      <c r="I10" s="377" t="s">
        <v>3462</v>
      </c>
      <c r="J10" s="127">
        <f>SUMIF(65:65,I10,66:66)-SUMIF(65:65,C10,66:66)+100</f>
        <v>100</v>
      </c>
      <c r="K10" s="380">
        <v>2</v>
      </c>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f>'土地比较法-住宅、综合'!C11</f>
        <v>1.01</v>
      </c>
      <c r="D11" s="127">
        <v>100</v>
      </c>
      <c r="E11" s="384">
        <v>0.62</v>
      </c>
      <c r="F11" s="379">
        <f>LOOKUP(E11,68:68,69:69)-LOOKUP(C11,68:68,69:69)+100</f>
        <v>102</v>
      </c>
      <c r="G11" s="383">
        <v>1.8</v>
      </c>
      <c r="H11" s="127">
        <f>LOOKUP(G11,68:68,69:69)-LOOKUP(C11,68:68,69:69)+100</f>
        <v>98</v>
      </c>
      <c r="I11" s="383">
        <v>2</v>
      </c>
      <c r="J11" s="127">
        <f>LOOKUP(I11,68:68,69:69)-LOOKUP(C11,68:68,69:69)+100</f>
        <v>96</v>
      </c>
      <c r="K11" s="380">
        <v>2</v>
      </c>
      <c r="L11" s="2938"/>
      <c r="M11" s="2933"/>
      <c r="N11" s="2933"/>
      <c r="O11" s="2933"/>
      <c r="P11" s="3622"/>
      <c r="Q11" s="1520" t="str">
        <f t="shared" si="6"/>
        <v>容积率</v>
      </c>
      <c r="R11" s="705" t="s">
        <v>21</v>
      </c>
      <c r="S11" s="706">
        <f t="shared" si="0"/>
        <v>102</v>
      </c>
      <c r="T11" s="705" t="s">
        <v>21</v>
      </c>
      <c r="U11" s="706">
        <f t="shared" si="1"/>
        <v>98</v>
      </c>
      <c r="V11" s="705" t="s">
        <v>21</v>
      </c>
      <c r="W11" s="706">
        <f t="shared" si="2"/>
        <v>96</v>
      </c>
      <c r="X11" s="707"/>
      <c r="Y11" s="3522"/>
      <c r="Z11" s="53" t="str">
        <f t="shared" si="7"/>
        <v>容积率</v>
      </c>
      <c r="AA11" s="708">
        <f t="shared" si="3"/>
        <v>0.98039215686274506</v>
      </c>
      <c r="AB11" s="708">
        <f t="shared" si="4"/>
        <v>1.0204081632653061</v>
      </c>
      <c r="AC11" s="708">
        <f t="shared" si="5"/>
        <v>1.0416666666666667</v>
      </c>
    </row>
    <row r="12" spans="1:29" s="108" customFormat="1" ht="15">
      <c r="A12" s="385"/>
      <c r="B12" s="3083" t="s">
        <v>3470</v>
      </c>
      <c r="C12" s="386"/>
      <c r="D12" s="387">
        <v>100</v>
      </c>
      <c r="E12" s="386"/>
      <c r="F12" s="379">
        <f>SUMIF(70:70,E12,71:71)-SUMIF(70:70,C12,71:71)+100</f>
        <v>100</v>
      </c>
      <c r="G12" s="386"/>
      <c r="H12" s="127">
        <f>SUMIF(70:70,G12,71:71)-SUMIF(70:70,C12,71:71)+100</f>
        <v>100</v>
      </c>
      <c r="I12" s="386"/>
      <c r="J12" s="127">
        <f>SUMIF(70:70,I12,71:71)-SUMIF(70:70,C12,71:71)+100</f>
        <v>100</v>
      </c>
      <c r="K12" s="2072"/>
      <c r="L12" s="2934"/>
      <c r="M12" s="2935"/>
      <c r="N12" s="2935"/>
      <c r="O12" s="2935"/>
      <c r="P12" s="3622"/>
      <c r="Q12" s="1520" t="str">
        <f t="shared" si="6"/>
        <v>是否为限价房</v>
      </c>
      <c r="R12" s="705" t="s">
        <v>21</v>
      </c>
      <c r="S12" s="706">
        <f t="shared" si="0"/>
        <v>100</v>
      </c>
      <c r="T12" s="705" t="s">
        <v>21</v>
      </c>
      <c r="U12" s="706">
        <f t="shared" si="1"/>
        <v>100</v>
      </c>
      <c r="V12" s="705" t="s">
        <v>21</v>
      </c>
      <c r="W12" s="706">
        <f t="shared" si="2"/>
        <v>100</v>
      </c>
      <c r="X12" s="707"/>
      <c r="Y12" s="3522"/>
      <c r="Z12" s="53" t="str">
        <f t="shared" si="7"/>
        <v>是否为限价房</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2072"/>
      <c r="L13" s="2939"/>
      <c r="M13" s="2933"/>
      <c r="N13" s="2933"/>
      <c r="O13" s="2933"/>
      <c r="P13" s="3622"/>
      <c r="Q13" s="1520">
        <f t="shared" si="6"/>
        <v>111</v>
      </c>
      <c r="R13" s="705" t="s">
        <v>21</v>
      </c>
      <c r="S13" s="706">
        <f t="shared" si="0"/>
        <v>100</v>
      </c>
      <c r="T13" s="705" t="s">
        <v>21</v>
      </c>
      <c r="U13" s="706">
        <f t="shared" si="1"/>
        <v>100</v>
      </c>
      <c r="V13" s="705" t="s">
        <v>21</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91"/>
      <c r="F14" s="393">
        <f>SUMIF(74:74,E14,75:75)-SUMIF(74:74,C14,75:75)+100</f>
        <v>100</v>
      </c>
      <c r="G14" s="391"/>
      <c r="H14" s="392">
        <f>SUMIF(74:74,G14,75:75)-SUMIF(74:74,C14,75:75)+100</f>
        <v>100</v>
      </c>
      <c r="I14" s="391"/>
      <c r="J14" s="392">
        <f>SUMIF(74:74,I14,75:75)-SUMIF(74:74,C14,75:75)+100</f>
        <v>100</v>
      </c>
      <c r="K14" s="2072"/>
      <c r="L14" s="2939"/>
      <c r="M14" s="2933"/>
      <c r="N14" s="2933"/>
      <c r="O14" s="2933"/>
      <c r="P14" s="3622"/>
      <c r="Q14" s="1520">
        <f t="shared" si="6"/>
        <v>111</v>
      </c>
      <c r="R14" s="705" t="s">
        <v>21</v>
      </c>
      <c r="S14" s="706">
        <f t="shared" si="0"/>
        <v>100</v>
      </c>
      <c r="T14" s="705" t="s">
        <v>21</v>
      </c>
      <c r="U14" s="706">
        <f t="shared" si="1"/>
        <v>100</v>
      </c>
      <c r="V14" s="705" t="s">
        <v>21</v>
      </c>
      <c r="W14" s="706">
        <f t="shared" si="2"/>
        <v>100</v>
      </c>
      <c r="X14" s="707"/>
      <c r="Y14" s="3522"/>
      <c r="Z14" s="53">
        <f t="shared" si="7"/>
        <v>111</v>
      </c>
      <c r="AA14" s="708">
        <f t="shared" si="3"/>
        <v>1</v>
      </c>
      <c r="AB14" s="708">
        <f t="shared" si="4"/>
        <v>1</v>
      </c>
      <c r="AC14" s="708">
        <f t="shared" si="5"/>
        <v>1</v>
      </c>
    </row>
    <row r="15" spans="1:29" ht="15">
      <c r="A15" s="394" t="s">
        <v>2376</v>
      </c>
      <c r="B15" s="61" t="s">
        <v>1942</v>
      </c>
      <c r="C15" s="2074" t="str">
        <f>估价对象房地状况!C3</f>
        <v>一般</v>
      </c>
      <c r="D15" s="395">
        <v>100</v>
      </c>
      <c r="E15" s="398"/>
      <c r="F15" s="395">
        <f>SUMIF(76:76,E16,77:77)-SUMIF(76:76,C16,77:77)+100</f>
        <v>105</v>
      </c>
      <c r="G15" s="396"/>
      <c r="H15" s="395">
        <f>SUMIF(76:76,G16,77:77)-SUMIF(76:76,C16,77:77)+100</f>
        <v>105</v>
      </c>
      <c r="I15" s="396"/>
      <c r="J15" s="395">
        <f>SUMIF(76:76,I16,77:77)-SUMIF(76:76,C16,77:77)+100</f>
        <v>105</v>
      </c>
      <c r="K15" s="399">
        <v>5</v>
      </c>
      <c r="L15" s="2939"/>
      <c r="M15" s="2933"/>
      <c r="N15" s="2933"/>
      <c r="O15" s="2933"/>
      <c r="P15" s="3638" t="s">
        <v>2377</v>
      </c>
      <c r="Q15" s="1529" t="str">
        <f t="shared" si="6"/>
        <v>居住社区成熟度</v>
      </c>
      <c r="R15" s="709" t="s">
        <v>21</v>
      </c>
      <c r="S15" s="710">
        <f t="shared" si="0"/>
        <v>105</v>
      </c>
      <c r="T15" s="709" t="s">
        <v>21</v>
      </c>
      <c r="U15" s="710">
        <f t="shared" si="1"/>
        <v>105</v>
      </c>
      <c r="V15" s="709" t="s">
        <v>21</v>
      </c>
      <c r="W15" s="710">
        <f t="shared" si="2"/>
        <v>105</v>
      </c>
      <c r="X15" s="1532"/>
      <c r="Y15" s="3613" t="s">
        <v>2377</v>
      </c>
      <c r="Z15" s="1533" t="str">
        <f t="shared" si="7"/>
        <v>居住社区成熟度</v>
      </c>
      <c r="AA15" s="1530">
        <f t="shared" si="3"/>
        <v>0.95238095238095233</v>
      </c>
      <c r="AB15" s="1530">
        <f t="shared" si="4"/>
        <v>0.95238095238095233</v>
      </c>
      <c r="AC15" s="1530">
        <f t="shared" si="5"/>
        <v>0.95238095238095233</v>
      </c>
    </row>
    <row r="16" spans="1:29" ht="15">
      <c r="A16" s="382"/>
      <c r="B16" s="400"/>
      <c r="C16" s="401" t="s">
        <v>3393</v>
      </c>
      <c r="D16" s="402"/>
      <c r="E16" s="2075" t="s">
        <v>3394</v>
      </c>
      <c r="F16" s="402"/>
      <c r="G16" s="2076" t="s">
        <v>3394</v>
      </c>
      <c r="H16" s="404"/>
      <c r="I16" s="2076" t="s">
        <v>3394</v>
      </c>
      <c r="J16" s="402"/>
      <c r="K16" s="2077"/>
      <c r="L16" s="2939"/>
      <c r="M16" s="2933"/>
      <c r="N16" s="2933"/>
      <c r="O16" s="2933"/>
      <c r="P16" s="3639"/>
      <c r="Q16" s="1529"/>
      <c r="R16" s="709"/>
      <c r="S16" s="710"/>
      <c r="T16" s="709"/>
      <c r="U16" s="710"/>
      <c r="V16" s="709"/>
      <c r="W16" s="710"/>
      <c r="X16" s="1532"/>
      <c r="Y16" s="3614"/>
      <c r="Z16" s="1533"/>
      <c r="AA16" s="1530">
        <v>1</v>
      </c>
      <c r="AB16" s="1530">
        <v>1</v>
      </c>
      <c r="AC16" s="1530">
        <v>1</v>
      </c>
    </row>
    <row r="17" spans="1:29" ht="15">
      <c r="A17" s="382"/>
      <c r="B17" s="405" t="s">
        <v>1944</v>
      </c>
      <c r="C17" s="2078" t="str">
        <f>估价对象房地状况!C6</f>
        <v>一般</v>
      </c>
      <c r="D17" s="404">
        <v>100</v>
      </c>
      <c r="E17" s="408"/>
      <c r="F17" s="404">
        <f>SUMIF(78:78,E18,79:79)-SUMIF(78:78,C18,79:79)+100</f>
        <v>100</v>
      </c>
      <c r="G17" s="406"/>
      <c r="H17" s="409">
        <f>SUMIF(78:78,G18,79:79)-SUMIF(78:78,C18,79:79)+100</f>
        <v>100</v>
      </c>
      <c r="I17" s="406"/>
      <c r="J17" s="409">
        <f>SUMIF(78:78,I18,79:79)-SUMIF(78:78,C18,79:79)+100</f>
        <v>100</v>
      </c>
      <c r="K17" s="399">
        <v>2</v>
      </c>
      <c r="L17" s="2939"/>
      <c r="M17" s="2933"/>
      <c r="N17" s="2933"/>
      <c r="O17" s="2933"/>
      <c r="P17" s="3639"/>
      <c r="Q17" s="1529" t="str">
        <f>B17</f>
        <v>交通便捷度</v>
      </c>
      <c r="R17" s="709" t="s">
        <v>21</v>
      </c>
      <c r="S17" s="710">
        <f>F17</f>
        <v>100</v>
      </c>
      <c r="T17" s="709" t="s">
        <v>21</v>
      </c>
      <c r="U17" s="710">
        <f>H17</f>
        <v>100</v>
      </c>
      <c r="V17" s="709" t="s">
        <v>21</v>
      </c>
      <c r="W17" s="710">
        <f>J17</f>
        <v>100</v>
      </c>
      <c r="X17" s="1532"/>
      <c r="Y17" s="3614"/>
      <c r="Z17" s="1533" t="str">
        <f>Q17</f>
        <v>交通便捷度</v>
      </c>
      <c r="AA17" s="1530">
        <f t="shared" si="3"/>
        <v>1</v>
      </c>
      <c r="AB17" s="1530">
        <f t="shared" si="4"/>
        <v>1</v>
      </c>
      <c r="AC17" s="1530">
        <f t="shared" si="5"/>
        <v>1</v>
      </c>
    </row>
    <row r="18" spans="1:29" ht="15">
      <c r="A18" s="382"/>
      <c r="B18" s="410"/>
      <c r="C18" s="2079" t="s">
        <v>3393</v>
      </c>
      <c r="D18" s="404"/>
      <c r="E18" s="2080" t="s">
        <v>3393</v>
      </c>
      <c r="F18" s="404"/>
      <c r="G18" s="2081" t="s">
        <v>3393</v>
      </c>
      <c r="H18" s="402"/>
      <c r="I18" s="2081" t="s">
        <v>3393</v>
      </c>
      <c r="J18" s="402"/>
      <c r="K18" s="2077"/>
      <c r="L18" s="2939"/>
      <c r="M18" s="2933"/>
      <c r="N18" s="2933"/>
      <c r="O18" s="2933"/>
      <c r="P18" s="3639"/>
      <c r="Q18" s="1529"/>
      <c r="R18" s="709"/>
      <c r="S18" s="710"/>
      <c r="T18" s="709"/>
      <c r="U18" s="710"/>
      <c r="V18" s="709"/>
      <c r="W18" s="710"/>
      <c r="X18" s="1532"/>
      <c r="Y18" s="3614"/>
      <c r="Z18" s="1533"/>
      <c r="AA18" s="1530">
        <v>1</v>
      </c>
      <c r="AB18" s="1530">
        <v>1</v>
      </c>
      <c r="AC18" s="1530">
        <v>1</v>
      </c>
    </row>
    <row r="19" spans="1:29" ht="15">
      <c r="A19" s="382"/>
      <c r="B19" s="405" t="s">
        <v>1943</v>
      </c>
      <c r="C19" s="2078" t="str">
        <f>估价对象房地状况!C7</f>
        <v>一般</v>
      </c>
      <c r="D19" s="409">
        <v>100</v>
      </c>
      <c r="E19" s="413"/>
      <c r="F19" s="409">
        <f>SUMIF(80:80,E20,81:81)-SUMIF(80:80,C20,81:81)+100</f>
        <v>102</v>
      </c>
      <c r="G19" s="411"/>
      <c r="H19" s="404">
        <f>SUMIF(80:80,G20,81:81)-SUMIF(80:80,C20,81:81)+100</f>
        <v>102</v>
      </c>
      <c r="I19" s="411"/>
      <c r="J19" s="404">
        <f>SUMIF(80:80,I20,81:81)-SUMIF(80:80,C20,81:81)+100</f>
        <v>102</v>
      </c>
      <c r="K19" s="399">
        <v>2</v>
      </c>
      <c r="L19" s="2939"/>
      <c r="M19" s="2933"/>
      <c r="N19" s="2933"/>
      <c r="O19" s="2933"/>
      <c r="P19" s="3639"/>
      <c r="Q19" s="1529" t="str">
        <f>B19</f>
        <v>公共配套设施</v>
      </c>
      <c r="R19" s="709" t="s">
        <v>21</v>
      </c>
      <c r="S19" s="710">
        <f>F19</f>
        <v>102</v>
      </c>
      <c r="T19" s="709" t="s">
        <v>21</v>
      </c>
      <c r="U19" s="710">
        <f>H19</f>
        <v>102</v>
      </c>
      <c r="V19" s="709" t="s">
        <v>21</v>
      </c>
      <c r="W19" s="710">
        <f>J19</f>
        <v>102</v>
      </c>
      <c r="X19" s="1532"/>
      <c r="Y19" s="3614"/>
      <c r="Z19" s="1533" t="str">
        <f>Q19</f>
        <v>公共配套设施</v>
      </c>
      <c r="AA19" s="1530">
        <f t="shared" si="3"/>
        <v>0.98039215686274506</v>
      </c>
      <c r="AB19" s="1530">
        <f t="shared" si="4"/>
        <v>0.98039215686274506</v>
      </c>
      <c r="AC19" s="1530">
        <f t="shared" si="5"/>
        <v>0.98039215686274506</v>
      </c>
    </row>
    <row r="20" spans="1:29" ht="15">
      <c r="A20" s="382"/>
      <c r="B20" s="410"/>
      <c r="C20" s="401" t="s">
        <v>3393</v>
      </c>
      <c r="D20" s="402"/>
      <c r="E20" s="2075" t="s">
        <v>3394</v>
      </c>
      <c r="F20" s="402"/>
      <c r="G20" s="2076" t="s">
        <v>3394</v>
      </c>
      <c r="H20" s="402"/>
      <c r="I20" s="2076" t="s">
        <v>3394</v>
      </c>
      <c r="J20" s="402"/>
      <c r="K20" s="2077"/>
      <c r="L20" s="2939"/>
      <c r="M20" s="2933"/>
      <c r="N20" s="2933"/>
      <c r="O20" s="2933"/>
      <c r="P20" s="3639"/>
      <c r="Q20" s="1529"/>
      <c r="R20" s="709"/>
      <c r="S20" s="710"/>
      <c r="T20" s="709"/>
      <c r="U20" s="710"/>
      <c r="V20" s="709"/>
      <c r="W20" s="710"/>
      <c r="X20" s="1532"/>
      <c r="Y20" s="3614"/>
      <c r="Z20" s="1533"/>
      <c r="AA20" s="1530">
        <v>1</v>
      </c>
      <c r="AB20" s="1530">
        <v>1</v>
      </c>
      <c r="AC20" s="1530">
        <v>1</v>
      </c>
    </row>
    <row r="21" spans="1:29" ht="15">
      <c r="A21" s="382"/>
      <c r="B21" s="1287" t="s">
        <v>1945</v>
      </c>
      <c r="C21" s="2078"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v>2</v>
      </c>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t="s">
        <v>3359</v>
      </c>
      <c r="D22" s="402"/>
      <c r="E22" s="401" t="s">
        <v>3359</v>
      </c>
      <c r="F22" s="402"/>
      <c r="G22" s="2082" t="s">
        <v>3359</v>
      </c>
      <c r="H22" s="402"/>
      <c r="I22" s="401" t="s">
        <v>3359</v>
      </c>
      <c r="J22" s="402"/>
      <c r="K22" s="2083"/>
      <c r="L22" s="2939"/>
      <c r="M22" s="2933"/>
      <c r="N22" s="2933"/>
      <c r="O22" s="2933"/>
      <c r="P22" s="3639"/>
      <c r="Q22" s="1529"/>
      <c r="R22" s="709"/>
      <c r="S22" s="710"/>
      <c r="T22" s="709"/>
      <c r="U22" s="710"/>
      <c r="V22" s="709"/>
      <c r="W22" s="710"/>
      <c r="X22" s="1532"/>
      <c r="Y22" s="3614"/>
      <c r="Z22" s="1533"/>
      <c r="AA22" s="1530">
        <v>1</v>
      </c>
      <c r="AB22" s="1530">
        <v>1</v>
      </c>
      <c r="AC22" s="1530">
        <v>1</v>
      </c>
    </row>
    <row r="23" spans="1:29" ht="15">
      <c r="A23" s="382"/>
      <c r="B23" s="405" t="s">
        <v>1946</v>
      </c>
      <c r="C23" s="2078" t="str">
        <f>估价对象房地状况!C9</f>
        <v>一般</v>
      </c>
      <c r="D23" s="404">
        <v>100</v>
      </c>
      <c r="E23" s="408"/>
      <c r="F23" s="404">
        <f>SUMIF(84:84,E24,85:85)-SUMIF(84:84,C24,85:85)+100</f>
        <v>100</v>
      </c>
      <c r="G23" s="406"/>
      <c r="H23" s="404">
        <f>SUMIF(84:84,G24,85:85)-SUMIF(84:84,C24,85:85)+100</f>
        <v>100</v>
      </c>
      <c r="I23" s="406"/>
      <c r="J23" s="404">
        <f>SUMIF(84:84,I24,85:85)-SUMIF(84:84,C24,85:85)+100</f>
        <v>100</v>
      </c>
      <c r="K23" s="399">
        <v>2</v>
      </c>
      <c r="L23" s="2939"/>
      <c r="M23" s="2933"/>
      <c r="N23" s="2933"/>
      <c r="O23" s="2933"/>
      <c r="P23" s="3639"/>
      <c r="Q23" s="1529" t="str">
        <f>B23</f>
        <v>自然及人文环境</v>
      </c>
      <c r="R23" s="709" t="s">
        <v>21</v>
      </c>
      <c r="S23" s="710">
        <f>F23</f>
        <v>100</v>
      </c>
      <c r="T23" s="709" t="s">
        <v>21</v>
      </c>
      <c r="U23" s="710">
        <f>H23</f>
        <v>100</v>
      </c>
      <c r="V23" s="709" t="s">
        <v>21</v>
      </c>
      <c r="W23" s="710">
        <f>J23</f>
        <v>100</v>
      </c>
      <c r="X23" s="1532"/>
      <c r="Y23" s="3614"/>
      <c r="Z23" s="1533" t="str">
        <f>Q23</f>
        <v>自然及人文环境</v>
      </c>
      <c r="AA23" s="1530">
        <f>D23/F23</f>
        <v>1</v>
      </c>
      <c r="AB23" s="1530">
        <f>D23/H23</f>
        <v>1</v>
      </c>
      <c r="AC23" s="1530">
        <f>D23/J23</f>
        <v>1</v>
      </c>
    </row>
    <row r="24" spans="1:29" ht="15">
      <c r="A24" s="382"/>
      <c r="B24" s="410"/>
      <c r="C24" s="401" t="s">
        <v>3393</v>
      </c>
      <c r="D24" s="402"/>
      <c r="E24" s="2075" t="s">
        <v>3393</v>
      </c>
      <c r="F24" s="402"/>
      <c r="G24" s="2076" t="s">
        <v>3393</v>
      </c>
      <c r="H24" s="402"/>
      <c r="I24" s="2076" t="s">
        <v>3393</v>
      </c>
      <c r="J24" s="402"/>
      <c r="K24" s="2077"/>
      <c r="L24" s="2939"/>
      <c r="M24" s="2933"/>
      <c r="N24" s="2933"/>
      <c r="O24" s="2933"/>
      <c r="P24" s="3639"/>
      <c r="Q24" s="1529"/>
      <c r="R24" s="709"/>
      <c r="S24" s="710"/>
      <c r="T24" s="709"/>
      <c r="U24" s="710"/>
      <c r="V24" s="709"/>
      <c r="W24" s="710"/>
      <c r="X24" s="1532"/>
      <c r="Y24" s="3614"/>
      <c r="Z24" s="1533"/>
      <c r="AA24" s="1530">
        <v>1</v>
      </c>
      <c r="AB24" s="1530">
        <v>1</v>
      </c>
      <c r="AC24" s="1530">
        <v>1</v>
      </c>
    </row>
    <row r="25" spans="1:29" ht="15">
      <c r="A25" s="382"/>
      <c r="B25" s="376" t="s">
        <v>2378</v>
      </c>
      <c r="C25" s="414"/>
      <c r="D25" s="389">
        <v>100</v>
      </c>
      <c r="E25" s="2084"/>
      <c r="F25" s="389">
        <f>SUMIF(86:86,E25,87:87)-SUMIF(86:86,C25,87:87)+100</f>
        <v>100</v>
      </c>
      <c r="G25" s="2085"/>
      <c r="H25" s="389">
        <f>SUMIF(86:86,G25,87:87)-SUMIF(86:86,C25,87:87)+100</f>
        <v>100</v>
      </c>
      <c r="I25" s="2085"/>
      <c r="J25" s="389">
        <f>SUMIF(86:86,I25,87:87)-SUMIF(86:86,C25,87:87)+100</f>
        <v>100</v>
      </c>
      <c r="K25" s="380"/>
      <c r="L25" s="2939"/>
      <c r="M25" s="2933"/>
      <c r="N25" s="2933"/>
      <c r="O25" s="2933"/>
      <c r="P25" s="3639"/>
      <c r="Q25" s="1529" t="str">
        <f t="shared" ref="Q25:Q46" si="11">B25</f>
        <v>楼层-1</v>
      </c>
      <c r="R25" s="709" t="s">
        <v>21</v>
      </c>
      <c r="S25" s="710">
        <f t="shared" ref="S25:S46" si="12">F25</f>
        <v>100</v>
      </c>
      <c r="T25" s="709" t="s">
        <v>21</v>
      </c>
      <c r="U25" s="710">
        <f t="shared" ref="U25:U46" si="13">H25</f>
        <v>100</v>
      </c>
      <c r="V25" s="709" t="s">
        <v>21</v>
      </c>
      <c r="W25" s="710">
        <f t="shared" ref="W25:W46" si="14">J25</f>
        <v>100</v>
      </c>
      <c r="X25" s="1532"/>
      <c r="Y25" s="3614"/>
      <c r="Z25" s="1533" t="str">
        <f>Q25</f>
        <v>楼层-1</v>
      </c>
      <c r="AA25" s="1530">
        <f t="shared" ref="AA25:AA46" si="15">D25/F25</f>
        <v>1</v>
      </c>
      <c r="AB25" s="1530">
        <f t="shared" ref="AB25:AB46" si="16">D25/H25</f>
        <v>1</v>
      </c>
      <c r="AC25" s="1530">
        <f t="shared" ref="AC25:AC46" si="17">D25/J25</f>
        <v>1</v>
      </c>
    </row>
    <row r="26" spans="1:29" ht="15">
      <c r="A26" s="382"/>
      <c r="B26" s="376" t="s">
        <v>2379</v>
      </c>
      <c r="C26" s="414"/>
      <c r="D26" s="389">
        <v>100</v>
      </c>
      <c r="E26" s="2084"/>
      <c r="F26" s="389">
        <f>SUMIF(88:88,E26,89:89)-SUMIF(88:88,C26,89:89)+100</f>
        <v>100</v>
      </c>
      <c r="G26" s="2085"/>
      <c r="H26" s="389">
        <f>SUMIF(88:88,G26,89:89)-SUMIF(88:88,C26,89:89)+100</f>
        <v>100</v>
      </c>
      <c r="I26" s="2085"/>
      <c r="J26" s="389">
        <f>SUMIF(88:88,I26,89:89)-SUMIF(88:88,C26,89:89)+100</f>
        <v>100</v>
      </c>
      <c r="K26" s="380"/>
      <c r="L26" s="2939"/>
      <c r="M26" s="2933"/>
      <c r="N26" s="2933"/>
      <c r="O26" s="2933"/>
      <c r="P26" s="3639"/>
      <c r="Q26" s="1529" t="str">
        <f t="shared" si="11"/>
        <v>朝向</v>
      </c>
      <c r="R26" s="709" t="s">
        <v>21</v>
      </c>
      <c r="S26" s="710">
        <f t="shared" si="12"/>
        <v>100</v>
      </c>
      <c r="T26" s="709" t="s">
        <v>21</v>
      </c>
      <c r="U26" s="710">
        <f t="shared" si="13"/>
        <v>100</v>
      </c>
      <c r="V26" s="709" t="s">
        <v>21</v>
      </c>
      <c r="W26" s="710">
        <f t="shared" si="14"/>
        <v>100</v>
      </c>
      <c r="X26" s="1532"/>
      <c r="Y26" s="3614"/>
      <c r="Z26" s="1533" t="str">
        <f>Q26</f>
        <v>朝向</v>
      </c>
      <c r="AA26" s="1530">
        <f t="shared" si="15"/>
        <v>1</v>
      </c>
      <c r="AB26" s="1530">
        <f t="shared" si="16"/>
        <v>1</v>
      </c>
      <c r="AC26" s="1530">
        <f t="shared" si="17"/>
        <v>1</v>
      </c>
    </row>
    <row r="27" spans="1:29" s="108" customFormat="1" ht="15">
      <c r="A27" s="385"/>
      <c r="B27" s="1289">
        <v>111</v>
      </c>
      <c r="C27" s="386"/>
      <c r="D27" s="416">
        <v>100</v>
      </c>
      <c r="E27" s="419"/>
      <c r="F27" s="416">
        <f>SUMIF(90:90,E27,91:91)-SUMIF(90:90,C27,91:91)+100</f>
        <v>100</v>
      </c>
      <c r="G27" s="417"/>
      <c r="H27" s="416">
        <f>SUMIF(90:90,G27,91:91)-SUMIF(90:90,C27,91:91)+100</f>
        <v>100</v>
      </c>
      <c r="I27" s="417"/>
      <c r="J27" s="416">
        <f>SUMIF(90:90,I27,91:91)-SUMIF(90:90,C27,91:91)+100</f>
        <v>100</v>
      </c>
      <c r="K27" s="2072"/>
      <c r="L27" s="2934"/>
      <c r="M27" s="2935"/>
      <c r="N27" s="2935"/>
      <c r="O27" s="2935"/>
      <c r="P27" s="3639"/>
      <c r="Q27" s="1520">
        <f t="shared" si="11"/>
        <v>111</v>
      </c>
      <c r="R27" s="705" t="s">
        <v>21</v>
      </c>
      <c r="S27" s="706">
        <f t="shared" si="12"/>
        <v>100</v>
      </c>
      <c r="T27" s="705" t="s">
        <v>21</v>
      </c>
      <c r="U27" s="706">
        <f t="shared" si="13"/>
        <v>100</v>
      </c>
      <c r="V27" s="705" t="s">
        <v>21</v>
      </c>
      <c r="W27" s="706">
        <f t="shared" si="14"/>
        <v>100</v>
      </c>
      <c r="X27" s="707"/>
      <c r="Y27" s="3614"/>
      <c r="Z27" s="53">
        <f>Q27</f>
        <v>111</v>
      </c>
      <c r="AA27" s="1530">
        <f t="shared" si="15"/>
        <v>1</v>
      </c>
      <c r="AB27" s="1530">
        <f t="shared" si="16"/>
        <v>1</v>
      </c>
      <c r="AC27" s="1530">
        <f t="shared" si="17"/>
        <v>1</v>
      </c>
    </row>
    <row r="28" spans="1:29" ht="15">
      <c r="A28" s="382"/>
      <c r="B28" s="1289">
        <v>111</v>
      </c>
      <c r="C28" s="388"/>
      <c r="D28" s="389">
        <v>100</v>
      </c>
      <c r="E28" s="388"/>
      <c r="F28" s="389">
        <f>SUMIF(92:92,E28,93:93)-SUMIF(92:92,C28,93:93)+100</f>
        <v>100</v>
      </c>
      <c r="G28" s="2086"/>
      <c r="H28" s="389">
        <f>SUMIF(92:92,G28,93:93)-SUMIF(92:92,C28,93:93)+100</f>
        <v>100</v>
      </c>
      <c r="I28" s="388"/>
      <c r="J28" s="389">
        <f>SUMIF(92:92,I28,93:93)-SUMIF(92:92,C28,93:93)+100</f>
        <v>100</v>
      </c>
      <c r="K28" s="2072"/>
      <c r="L28" s="2939"/>
      <c r="M28" s="2933"/>
      <c r="N28" s="2933"/>
      <c r="O28" s="2933"/>
      <c r="P28" s="3639"/>
      <c r="Q28" s="1529">
        <f t="shared" si="11"/>
        <v>111</v>
      </c>
      <c r="R28" s="709" t="s">
        <v>21</v>
      </c>
      <c r="S28" s="710">
        <f t="shared" si="12"/>
        <v>100</v>
      </c>
      <c r="T28" s="709" t="s">
        <v>21</v>
      </c>
      <c r="U28" s="710">
        <f t="shared" si="13"/>
        <v>100</v>
      </c>
      <c r="V28" s="709" t="s">
        <v>21</v>
      </c>
      <c r="W28" s="710">
        <f t="shared" si="14"/>
        <v>100</v>
      </c>
      <c r="X28" s="1532"/>
      <c r="Y28" s="3614"/>
      <c r="Z28" s="1533">
        <f t="shared" ref="Z28:Z46" si="18">Q28</f>
        <v>111</v>
      </c>
      <c r="AA28" s="1530">
        <f t="shared" si="15"/>
        <v>1</v>
      </c>
      <c r="AB28" s="1530">
        <f t="shared" si="16"/>
        <v>1</v>
      </c>
      <c r="AC28" s="1530">
        <f t="shared" si="17"/>
        <v>1</v>
      </c>
    </row>
    <row r="29" spans="1:29" ht="15">
      <c r="A29" s="382"/>
      <c r="B29" s="1289">
        <v>111</v>
      </c>
      <c r="C29" s="388"/>
      <c r="D29" s="389">
        <v>100</v>
      </c>
      <c r="E29" s="388"/>
      <c r="F29" s="389">
        <f>SUMIF(94:94,E29,95:95)-SUMIF(94:94,C29,95:95)+100</f>
        <v>100</v>
      </c>
      <c r="G29" s="2086"/>
      <c r="H29" s="389">
        <f>SUMIF(94:94,G29,95:95)-SUMIF(94:94,C29,95:95)+100</f>
        <v>100</v>
      </c>
      <c r="I29" s="388"/>
      <c r="J29" s="389">
        <f>SUMIF(94:94,I29,95:95)-SUMIF(94:94,C29,95:95)+100</f>
        <v>100</v>
      </c>
      <c r="K29" s="2072"/>
      <c r="L29" s="2939"/>
      <c r="M29" s="2933"/>
      <c r="N29" s="2933"/>
      <c r="O29" s="2933"/>
      <c r="P29" s="3639"/>
      <c r="Q29" s="1529">
        <f t="shared" si="11"/>
        <v>111</v>
      </c>
      <c r="R29" s="709" t="s">
        <v>21</v>
      </c>
      <c r="S29" s="710">
        <f t="shared" si="12"/>
        <v>100</v>
      </c>
      <c r="T29" s="709" t="s">
        <v>21</v>
      </c>
      <c r="U29" s="710">
        <f t="shared" si="13"/>
        <v>100</v>
      </c>
      <c r="V29" s="709" t="s">
        <v>21</v>
      </c>
      <c r="W29" s="710">
        <f t="shared" si="14"/>
        <v>100</v>
      </c>
      <c r="X29" s="1532"/>
      <c r="Y29" s="3614"/>
      <c r="Z29" s="1533">
        <f t="shared" si="18"/>
        <v>111</v>
      </c>
      <c r="AA29" s="1530">
        <f t="shared" si="15"/>
        <v>1</v>
      </c>
      <c r="AB29" s="1530">
        <f t="shared" si="16"/>
        <v>1</v>
      </c>
      <c r="AC29" s="1530">
        <f t="shared" si="17"/>
        <v>1</v>
      </c>
    </row>
    <row r="30" spans="1:29" ht="15">
      <c r="A30" s="382"/>
      <c r="B30" s="1289">
        <v>111</v>
      </c>
      <c r="C30" s="388"/>
      <c r="D30" s="389">
        <v>100</v>
      </c>
      <c r="E30" s="388"/>
      <c r="F30" s="389">
        <f>SUMIF(96:96,E30,97:97)-SUMIF(96:96,C30,97:97)+100</f>
        <v>100</v>
      </c>
      <c r="G30" s="2086"/>
      <c r="H30" s="389">
        <f>SUMIF(96:96,G30,97:97)-SUMIF(96:96,C30,97:97)+100</f>
        <v>100</v>
      </c>
      <c r="I30" s="388"/>
      <c r="J30" s="389">
        <f>SUMIF(96:96,I30,97:97)-SUMIF(96:96,C30,97:97)+100</f>
        <v>100</v>
      </c>
      <c r="K30" s="2072"/>
      <c r="L30" s="2939"/>
      <c r="M30" s="2933"/>
      <c r="N30" s="2933"/>
      <c r="O30" s="2933"/>
      <c r="P30" s="3639"/>
      <c r="Q30" s="1529">
        <f t="shared" si="11"/>
        <v>111</v>
      </c>
      <c r="R30" s="709" t="s">
        <v>21</v>
      </c>
      <c r="S30" s="710">
        <f t="shared" si="12"/>
        <v>100</v>
      </c>
      <c r="T30" s="709" t="s">
        <v>21</v>
      </c>
      <c r="U30" s="710">
        <f t="shared" si="13"/>
        <v>100</v>
      </c>
      <c r="V30" s="709" t="s">
        <v>21</v>
      </c>
      <c r="W30" s="710">
        <f t="shared" si="14"/>
        <v>100</v>
      </c>
      <c r="X30" s="1532"/>
      <c r="Y30" s="3614"/>
      <c r="Z30" s="1533">
        <f t="shared" si="18"/>
        <v>111</v>
      </c>
      <c r="AA30" s="1530">
        <f t="shared" si="15"/>
        <v>1</v>
      </c>
      <c r="AB30" s="1530">
        <f t="shared" si="16"/>
        <v>1</v>
      </c>
      <c r="AC30" s="1530">
        <f t="shared" si="17"/>
        <v>1</v>
      </c>
    </row>
    <row r="31" spans="1:29" ht="15.75" thickBot="1">
      <c r="A31" s="390"/>
      <c r="B31" s="1289">
        <v>111</v>
      </c>
      <c r="C31" s="391"/>
      <c r="D31" s="392">
        <v>100</v>
      </c>
      <c r="E31" s="391"/>
      <c r="F31" s="392">
        <f>SUMIF(98:98,E31,99:99)-SUMIF(98:98,C31,99:99)+100</f>
        <v>100</v>
      </c>
      <c r="G31" s="2087"/>
      <c r="H31" s="392">
        <f>SUMIF(98:98,G31,99:99)-SUMIF(98:98,C31,99:99)+100</f>
        <v>100</v>
      </c>
      <c r="I31" s="391"/>
      <c r="J31" s="392">
        <f>SUMIF(98:98,I31,99:99)-SUMIF(98:98,C31,99:99)+100</f>
        <v>100</v>
      </c>
      <c r="K31" s="2072"/>
      <c r="L31" s="2939"/>
      <c r="M31" s="2933"/>
      <c r="N31" s="2933"/>
      <c r="O31" s="2933"/>
      <c r="P31" s="3639"/>
      <c r="Q31" s="1529">
        <f t="shared" si="11"/>
        <v>111</v>
      </c>
      <c r="R31" s="709" t="s">
        <v>21</v>
      </c>
      <c r="S31" s="710">
        <f t="shared" si="12"/>
        <v>100</v>
      </c>
      <c r="T31" s="709" t="s">
        <v>21</v>
      </c>
      <c r="U31" s="710">
        <f t="shared" si="13"/>
        <v>100</v>
      </c>
      <c r="V31" s="709" t="s">
        <v>21</v>
      </c>
      <c r="W31" s="710">
        <f t="shared" si="14"/>
        <v>100</v>
      </c>
      <c r="X31" s="1532"/>
      <c r="Y31" s="3614"/>
      <c r="Z31" s="1533">
        <f t="shared" si="18"/>
        <v>111</v>
      </c>
      <c r="AA31" s="1530">
        <f t="shared" si="15"/>
        <v>1</v>
      </c>
      <c r="AB31" s="1530">
        <f t="shared" si="16"/>
        <v>1</v>
      </c>
      <c r="AC31" s="1530">
        <f t="shared" si="17"/>
        <v>1</v>
      </c>
    </row>
    <row r="32" spans="1:29" ht="15">
      <c r="A32" s="394" t="s">
        <v>2380</v>
      </c>
      <c r="B32" s="63" t="s">
        <v>2381</v>
      </c>
      <c r="C32" s="2088" t="s">
        <v>3483</v>
      </c>
      <c r="D32" s="421">
        <v>100</v>
      </c>
      <c r="E32" s="2089" t="s">
        <v>3483</v>
      </c>
      <c r="F32" s="415">
        <f>SUMIF(100:100,E32,101:101)-SUMIF(100:100,C32,101:101)+100</f>
        <v>100</v>
      </c>
      <c r="G32" s="2088" t="s">
        <v>3485</v>
      </c>
      <c r="H32" s="421">
        <f>SUMIF(100:100,G32,101:101)-SUMIF(100:100,C32,101:101)+100</f>
        <v>90</v>
      </c>
      <c r="I32" s="2089" t="s">
        <v>3485</v>
      </c>
      <c r="J32" s="389">
        <f>SUMIF(100:100,I32,101:101)-SUMIF(100:100,C32,101:101)+100</f>
        <v>90</v>
      </c>
      <c r="K32" s="380">
        <v>10</v>
      </c>
      <c r="L32" s="2939"/>
      <c r="M32" s="2933"/>
      <c r="N32" s="2933"/>
      <c r="O32" s="2933"/>
      <c r="P32" s="3634" t="s">
        <v>2382</v>
      </c>
      <c r="Q32" s="1529" t="str">
        <f t="shared" si="11"/>
        <v>建筑类型</v>
      </c>
      <c r="R32" s="709" t="s">
        <v>21</v>
      </c>
      <c r="S32" s="710">
        <f t="shared" si="12"/>
        <v>100</v>
      </c>
      <c r="T32" s="709" t="s">
        <v>21</v>
      </c>
      <c r="U32" s="710">
        <f t="shared" si="13"/>
        <v>90</v>
      </c>
      <c r="V32" s="709" t="s">
        <v>21</v>
      </c>
      <c r="W32" s="710">
        <f t="shared" si="14"/>
        <v>90</v>
      </c>
      <c r="X32" s="1532"/>
      <c r="Y32" s="3616" t="s">
        <v>2382</v>
      </c>
      <c r="Z32" s="1533" t="str">
        <f t="shared" si="18"/>
        <v>建筑类型</v>
      </c>
      <c r="AA32" s="1530">
        <f t="shared" si="15"/>
        <v>1</v>
      </c>
      <c r="AB32" s="1530">
        <f t="shared" si="16"/>
        <v>1.1111111111111112</v>
      </c>
      <c r="AC32" s="1530">
        <f t="shared" si="17"/>
        <v>1.1111111111111112</v>
      </c>
    </row>
    <row r="33" spans="1:29" s="425" customFormat="1" ht="15">
      <c r="A33" s="422"/>
      <c r="B33" s="376" t="s">
        <v>2383</v>
      </c>
      <c r="C33" s="3151">
        <f>'土地比较法-住宅、综合'!C38*1.01</f>
        <v>91953.642100000012</v>
      </c>
      <c r="D33" s="127">
        <v>100</v>
      </c>
      <c r="E33" s="384">
        <v>318830</v>
      </c>
      <c r="F33" s="379">
        <f>LOOKUP(E33,103:103,104:104)-LOOKUP(C33,103:103,104:104)+100</f>
        <v>106</v>
      </c>
      <c r="G33" s="383">
        <v>65458</v>
      </c>
      <c r="H33" s="127">
        <f>LOOKUP(G33,103:103,104:104)-LOOKUP(C33,103:103,104:104)+100</f>
        <v>100</v>
      </c>
      <c r="I33" s="384">
        <v>132950</v>
      </c>
      <c r="J33" s="127">
        <f>LOOKUP(I33,103:103,104:104)-LOOKUP(C33,103:103,104:104)+100</f>
        <v>102</v>
      </c>
      <c r="K33" s="2072"/>
      <c r="L33" s="2938"/>
      <c r="M33" s="2940"/>
      <c r="N33" s="2940"/>
      <c r="O33" s="2940"/>
      <c r="P33" s="3635"/>
      <c r="Q33" s="711" t="str">
        <f t="shared" si="11"/>
        <v>项目建筑规模</v>
      </c>
      <c r="R33" s="712" t="s">
        <v>21</v>
      </c>
      <c r="S33" s="713">
        <f t="shared" si="12"/>
        <v>106</v>
      </c>
      <c r="T33" s="712" t="s">
        <v>21</v>
      </c>
      <c r="U33" s="713">
        <f t="shared" si="13"/>
        <v>100</v>
      </c>
      <c r="V33" s="712" t="s">
        <v>21</v>
      </c>
      <c r="W33" s="713">
        <f t="shared" si="14"/>
        <v>102</v>
      </c>
      <c r="X33" s="714"/>
      <c r="Y33" s="3616"/>
      <c r="Z33" s="715" t="str">
        <f t="shared" si="18"/>
        <v>项目建筑规模</v>
      </c>
      <c r="AA33" s="1530">
        <f t="shared" si="15"/>
        <v>0.94339622641509435</v>
      </c>
      <c r="AB33" s="1530">
        <f t="shared" si="16"/>
        <v>1</v>
      </c>
      <c r="AC33" s="1530">
        <f t="shared" si="17"/>
        <v>0.98039215686274506</v>
      </c>
    </row>
    <row r="34" spans="1:29" ht="15">
      <c r="A34" s="426"/>
      <c r="B34" s="376" t="s">
        <v>2384</v>
      </c>
      <c r="C34" s="2090" t="s">
        <v>3463</v>
      </c>
      <c r="D34" s="389">
        <v>100</v>
      </c>
      <c r="E34" s="2091" t="s">
        <v>3463</v>
      </c>
      <c r="F34" s="415">
        <f>SUMIF(105:105,E34,106:106)-SUMIF(105:105,C34,106:106)+100</f>
        <v>100</v>
      </c>
      <c r="G34" s="2091" t="s">
        <v>3463</v>
      </c>
      <c r="H34" s="389">
        <f>SUMIF(105:105,G34,106:106)-SUMIF(105:105,C34,106:106)+100</f>
        <v>100</v>
      </c>
      <c r="I34" s="2091" t="s">
        <v>3463</v>
      </c>
      <c r="J34" s="389">
        <f>SUMIF(105:105,I34,106:106)-SUMIF(105:105,C34,106:106)+100</f>
        <v>100</v>
      </c>
      <c r="K34" s="380">
        <v>2</v>
      </c>
      <c r="L34" s="2939"/>
      <c r="M34" s="2933"/>
      <c r="N34" s="2933"/>
      <c r="O34" s="2933"/>
      <c r="P34" s="3635"/>
      <c r="Q34" s="1529" t="str">
        <f t="shared" si="11"/>
        <v>建筑结构</v>
      </c>
      <c r="R34" s="709" t="s">
        <v>21</v>
      </c>
      <c r="S34" s="710">
        <f t="shared" si="12"/>
        <v>100</v>
      </c>
      <c r="T34" s="709" t="s">
        <v>21</v>
      </c>
      <c r="U34" s="710">
        <f t="shared" si="13"/>
        <v>100</v>
      </c>
      <c r="V34" s="709" t="s">
        <v>21</v>
      </c>
      <c r="W34" s="710">
        <f t="shared" si="14"/>
        <v>100</v>
      </c>
      <c r="X34" s="1532"/>
      <c r="Y34" s="3616"/>
      <c r="Z34" s="1533" t="str">
        <f t="shared" si="18"/>
        <v>建筑结构</v>
      </c>
      <c r="AA34" s="1530">
        <f t="shared" si="15"/>
        <v>1</v>
      </c>
      <c r="AB34" s="1530">
        <f t="shared" si="16"/>
        <v>1</v>
      </c>
      <c r="AC34" s="1530">
        <f t="shared" si="17"/>
        <v>1</v>
      </c>
    </row>
    <row r="35" spans="1:29" ht="15">
      <c r="A35" s="426"/>
      <c r="B35" s="376" t="s">
        <v>2385</v>
      </c>
      <c r="C35" s="2084" t="s">
        <v>3465</v>
      </c>
      <c r="D35" s="389">
        <v>100</v>
      </c>
      <c r="E35" s="2085" t="s">
        <v>3465</v>
      </c>
      <c r="F35" s="415">
        <f>SUMIF(107:107,E35,108:108)-SUMIF(107:107,C35,108:108)+100</f>
        <v>100</v>
      </c>
      <c r="G35" s="2085" t="s">
        <v>3465</v>
      </c>
      <c r="H35" s="389">
        <f>SUMIF(107:107,G35,108:108)-SUMIF(107:107,C35,108:108)+100</f>
        <v>100</v>
      </c>
      <c r="I35" s="2085" t="s">
        <v>3465</v>
      </c>
      <c r="J35" s="389">
        <f>SUMIF(107:107,I35,108:108)-SUMIF(107:107,C35,108:108)+100</f>
        <v>100</v>
      </c>
      <c r="K35" s="380">
        <v>2</v>
      </c>
      <c r="L35" s="2939"/>
      <c r="M35" s="2933"/>
      <c r="N35" s="2933"/>
      <c r="O35" s="2933"/>
      <c r="P35" s="3635"/>
      <c r="Q35" s="1529" t="str">
        <f t="shared" si="11"/>
        <v>建筑品质</v>
      </c>
      <c r="R35" s="709" t="s">
        <v>21</v>
      </c>
      <c r="S35" s="710">
        <f t="shared" si="12"/>
        <v>100</v>
      </c>
      <c r="T35" s="709" t="s">
        <v>21</v>
      </c>
      <c r="U35" s="710">
        <f t="shared" si="13"/>
        <v>100</v>
      </c>
      <c r="V35" s="709" t="s">
        <v>21</v>
      </c>
      <c r="W35" s="710">
        <f t="shared" si="14"/>
        <v>100</v>
      </c>
      <c r="X35" s="1532"/>
      <c r="Y35" s="3616"/>
      <c r="Z35" s="1533" t="str">
        <f t="shared" si="18"/>
        <v>建筑品质</v>
      </c>
      <c r="AA35" s="1530">
        <f t="shared" si="15"/>
        <v>1</v>
      </c>
      <c r="AB35" s="1530">
        <f t="shared" si="16"/>
        <v>1</v>
      </c>
      <c r="AC35" s="1530">
        <f t="shared" si="17"/>
        <v>1</v>
      </c>
    </row>
    <row r="36" spans="1:29" ht="15">
      <c r="A36" s="426"/>
      <c r="B36" s="376" t="s">
        <v>2386</v>
      </c>
      <c r="C36" s="2084"/>
      <c r="D36" s="389">
        <v>100</v>
      </c>
      <c r="E36" s="2085"/>
      <c r="F36" s="415">
        <f>SUMIF(109:109,E36,110:110)-SUMIF(109:109,C36,110:110)+100</f>
        <v>100</v>
      </c>
      <c r="G36" s="2084"/>
      <c r="H36" s="389">
        <f>SUMIF(109:109,G36,110:110)-SUMIF(109:109,C36,110:110)+100</f>
        <v>100</v>
      </c>
      <c r="I36" s="2085"/>
      <c r="J36" s="389">
        <f>SUMIF(109:109,I36,110:110)-SUMIF(109:109,C36,110:110)+100</f>
        <v>100</v>
      </c>
      <c r="K36" s="380"/>
      <c r="L36" s="2939"/>
      <c r="M36" s="2933"/>
      <c r="N36" s="2933"/>
      <c r="O36" s="2933"/>
      <c r="P36" s="3635"/>
      <c r="Q36" s="1529" t="str">
        <f t="shared" si="11"/>
        <v>公共部分装修</v>
      </c>
      <c r="R36" s="709" t="s">
        <v>21</v>
      </c>
      <c r="S36" s="710">
        <f t="shared" si="12"/>
        <v>100</v>
      </c>
      <c r="T36" s="709" t="s">
        <v>21</v>
      </c>
      <c r="U36" s="710">
        <f t="shared" si="13"/>
        <v>100</v>
      </c>
      <c r="V36" s="709" t="s">
        <v>21</v>
      </c>
      <c r="W36" s="710">
        <f t="shared" si="14"/>
        <v>100</v>
      </c>
      <c r="X36" s="1532"/>
      <c r="Y36" s="3616"/>
      <c r="Z36" s="1533" t="str">
        <f t="shared" si="18"/>
        <v>公共部分装修</v>
      </c>
      <c r="AA36" s="1530">
        <f t="shared" si="15"/>
        <v>1</v>
      </c>
      <c r="AB36" s="1530">
        <f t="shared" si="16"/>
        <v>1</v>
      </c>
      <c r="AC36" s="1530">
        <f t="shared" si="17"/>
        <v>1</v>
      </c>
    </row>
    <row r="37" spans="1:29" s="108" customFormat="1" ht="15">
      <c r="A37" s="427"/>
      <c r="B37" s="376" t="s">
        <v>2387</v>
      </c>
      <c r="C37" s="428">
        <v>1</v>
      </c>
      <c r="D37" s="127">
        <v>100</v>
      </c>
      <c r="E37" s="428">
        <v>1</v>
      </c>
      <c r="F37" s="379">
        <f>LOOKUP(E37,112:112,113:113)-LOOKUP(C37,112:112,113:113)+100</f>
        <v>100</v>
      </c>
      <c r="G37" s="430">
        <v>1</v>
      </c>
      <c r="H37" s="127">
        <f>LOOKUP(G37,112:112,113:113)-LOOKUP(C37,112:112,113:113)+100</f>
        <v>100</v>
      </c>
      <c r="I37" s="429">
        <v>1</v>
      </c>
      <c r="J37" s="127">
        <f>LOOKUP(I37,112:112,113:113)-LOOKUP(C37,112:112,113:113)+100</f>
        <v>100</v>
      </c>
      <c r="K37" s="380">
        <v>2</v>
      </c>
      <c r="L37" s="2934"/>
      <c r="M37" s="2935"/>
      <c r="N37" s="2935"/>
      <c r="O37" s="2935"/>
      <c r="P37" s="3635"/>
      <c r="Q37" s="1520" t="str">
        <f t="shared" si="11"/>
        <v>成新度</v>
      </c>
      <c r="R37" s="705" t="s">
        <v>21</v>
      </c>
      <c r="S37" s="706">
        <f t="shared" si="12"/>
        <v>100</v>
      </c>
      <c r="T37" s="705" t="s">
        <v>21</v>
      </c>
      <c r="U37" s="706">
        <f t="shared" si="13"/>
        <v>100</v>
      </c>
      <c r="V37" s="705" t="s">
        <v>21</v>
      </c>
      <c r="W37" s="706">
        <f t="shared" si="14"/>
        <v>100</v>
      </c>
      <c r="X37" s="707"/>
      <c r="Y37" s="3616"/>
      <c r="Z37" s="53" t="str">
        <f t="shared" si="18"/>
        <v>成新度</v>
      </c>
      <c r="AA37" s="708">
        <f t="shared" si="15"/>
        <v>1</v>
      </c>
      <c r="AB37" s="708">
        <f t="shared" si="16"/>
        <v>1</v>
      </c>
      <c r="AC37" s="708">
        <f t="shared" si="17"/>
        <v>1</v>
      </c>
    </row>
    <row r="38" spans="1:29" ht="15">
      <c r="A38" s="426"/>
      <c r="B38" s="376" t="s">
        <v>2388</v>
      </c>
      <c r="C38" s="2084" t="s">
        <v>3421</v>
      </c>
      <c r="D38" s="389">
        <v>100</v>
      </c>
      <c r="E38" s="2085" t="s">
        <v>3421</v>
      </c>
      <c r="F38" s="415">
        <f>SUMIF(114:114,E38,115:115)-SUMIF(114:114,C38,115:115)+100</f>
        <v>100</v>
      </c>
      <c r="G38" s="2084" t="s">
        <v>3421</v>
      </c>
      <c r="H38" s="389">
        <f>SUMIF(114:114,G38,115:115)-SUMIF(114:114,C38,115:115)+100</f>
        <v>100</v>
      </c>
      <c r="I38" s="2085" t="s">
        <v>3421</v>
      </c>
      <c r="J38" s="389">
        <f>SUMIF(114:114,I38,115:115)-SUMIF(114:114,C38,115:115)+100</f>
        <v>100</v>
      </c>
      <c r="K38" s="380">
        <v>2</v>
      </c>
      <c r="L38" s="2939"/>
      <c r="M38" s="2933"/>
      <c r="N38" s="2933"/>
      <c r="O38" s="2933"/>
      <c r="P38" s="3635" t="s">
        <v>2382</v>
      </c>
      <c r="Q38" s="1529" t="str">
        <f t="shared" si="11"/>
        <v>物业管理</v>
      </c>
      <c r="R38" s="709" t="s">
        <v>21</v>
      </c>
      <c r="S38" s="710">
        <f t="shared" si="12"/>
        <v>100</v>
      </c>
      <c r="T38" s="709" t="s">
        <v>21</v>
      </c>
      <c r="U38" s="710">
        <f t="shared" si="13"/>
        <v>100</v>
      </c>
      <c r="V38" s="709" t="s">
        <v>21</v>
      </c>
      <c r="W38" s="710">
        <f t="shared" si="14"/>
        <v>100</v>
      </c>
      <c r="X38" s="1532"/>
      <c r="Y38" s="3616" t="s">
        <v>2382</v>
      </c>
      <c r="Z38" s="1533" t="str">
        <f t="shared" si="18"/>
        <v>物业管理</v>
      </c>
      <c r="AA38" s="1530">
        <f t="shared" si="15"/>
        <v>1</v>
      </c>
      <c r="AB38" s="1530">
        <f t="shared" si="16"/>
        <v>1</v>
      </c>
      <c r="AC38" s="1530">
        <f t="shared" si="17"/>
        <v>1</v>
      </c>
    </row>
    <row r="39" spans="1:29" ht="15">
      <c r="A39" s="426"/>
      <c r="B39" s="376" t="s">
        <v>2389</v>
      </c>
      <c r="C39" s="2084"/>
      <c r="D39" s="389">
        <v>100</v>
      </c>
      <c r="E39" s="2085"/>
      <c r="F39" s="415">
        <f>SUMIF(116:116,E39,117:117)-SUMIF(116:116,C39,117:117)+100</f>
        <v>100</v>
      </c>
      <c r="G39" s="2084"/>
      <c r="H39" s="389">
        <f>SUMIF(116:116,G39,117:117)-SUMIF(116:116,C39,117:117)+100</f>
        <v>100</v>
      </c>
      <c r="I39" s="2085"/>
      <c r="J39" s="389">
        <f>SUMIF(116:116,I39,117:117)-SUMIF(116:116,C39,117:117)+100</f>
        <v>100</v>
      </c>
      <c r="K39" s="380"/>
      <c r="L39" s="2939"/>
      <c r="M39" s="2933"/>
      <c r="N39" s="2933"/>
      <c r="O39" s="2933"/>
      <c r="P39" s="3635"/>
      <c r="Q39" s="1529" t="str">
        <f t="shared" si="11"/>
        <v>市政基础设施</v>
      </c>
      <c r="R39" s="709" t="s">
        <v>21</v>
      </c>
      <c r="S39" s="710">
        <f t="shared" si="12"/>
        <v>100</v>
      </c>
      <c r="T39" s="709" t="s">
        <v>21</v>
      </c>
      <c r="U39" s="710">
        <f t="shared" si="13"/>
        <v>100</v>
      </c>
      <c r="V39" s="709" t="s">
        <v>21</v>
      </c>
      <c r="W39" s="710">
        <f t="shared" si="14"/>
        <v>100</v>
      </c>
      <c r="X39" s="1532"/>
      <c r="Y39" s="3616"/>
      <c r="Z39" s="1533" t="str">
        <f t="shared" si="18"/>
        <v>市政基础设施</v>
      </c>
      <c r="AA39" s="1530">
        <f t="shared" si="15"/>
        <v>1</v>
      </c>
      <c r="AB39" s="1530">
        <f t="shared" si="16"/>
        <v>1</v>
      </c>
      <c r="AC39" s="1530">
        <f t="shared" si="17"/>
        <v>1</v>
      </c>
    </row>
    <row r="40" spans="1:29" ht="15">
      <c r="A40" s="426"/>
      <c r="B40" s="376" t="s">
        <v>2390</v>
      </c>
      <c r="C40" s="2084"/>
      <c r="D40" s="389">
        <v>100</v>
      </c>
      <c r="E40" s="2085"/>
      <c r="F40" s="415">
        <f>SUMIF(118:118,E40,119:119)-SUMIF(118:118,C40,119:119)+100</f>
        <v>100</v>
      </c>
      <c r="G40" s="2084"/>
      <c r="H40" s="389">
        <f>SUMIF(118:118,G40,119:119)-SUMIF(118:118,C40,119:119)+100</f>
        <v>100</v>
      </c>
      <c r="I40" s="2085"/>
      <c r="J40" s="389">
        <f>SUMIF(118:118,I40,119:119)-SUMIF(118:118,C40,119:119)+100</f>
        <v>100</v>
      </c>
      <c r="K40" s="380"/>
      <c r="L40" s="2939"/>
      <c r="M40" s="2933"/>
      <c r="N40" s="2933"/>
      <c r="O40" s="2933"/>
      <c r="P40" s="3635"/>
      <c r="Q40" s="1529" t="str">
        <f t="shared" si="11"/>
        <v>房型</v>
      </c>
      <c r="R40" s="709" t="s">
        <v>21</v>
      </c>
      <c r="S40" s="710">
        <f t="shared" si="12"/>
        <v>100</v>
      </c>
      <c r="T40" s="709" t="s">
        <v>21</v>
      </c>
      <c r="U40" s="710">
        <f t="shared" si="13"/>
        <v>100</v>
      </c>
      <c r="V40" s="709" t="s">
        <v>21</v>
      </c>
      <c r="W40" s="710">
        <f t="shared" si="14"/>
        <v>100</v>
      </c>
      <c r="X40" s="1532"/>
      <c r="Y40" s="3616"/>
      <c r="Z40" s="1533" t="str">
        <f t="shared" si="18"/>
        <v>房型</v>
      </c>
      <c r="AA40" s="1530">
        <f t="shared" si="15"/>
        <v>1</v>
      </c>
      <c r="AB40" s="1530">
        <f t="shared" si="16"/>
        <v>1</v>
      </c>
      <c r="AC40" s="1530">
        <f t="shared" si="17"/>
        <v>1</v>
      </c>
    </row>
    <row r="41" spans="1:29" s="425" customFormat="1" ht="28.5">
      <c r="A41" s="422"/>
      <c r="B41" s="376" t="s">
        <v>2391</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72"/>
      <c r="L41" s="2938"/>
      <c r="M41" s="2940"/>
      <c r="N41" s="2940"/>
      <c r="O41" s="2940"/>
      <c r="P41" s="3635"/>
      <c r="Q41" s="711" t="str">
        <f t="shared" si="11"/>
        <v>单套/主力户型建筑面积</v>
      </c>
      <c r="R41" s="712" t="s">
        <v>21</v>
      </c>
      <c r="S41" s="713">
        <f t="shared" si="12"/>
        <v>100</v>
      </c>
      <c r="T41" s="712" t="s">
        <v>21</v>
      </c>
      <c r="U41" s="713">
        <f t="shared" si="13"/>
        <v>100</v>
      </c>
      <c r="V41" s="712" t="s">
        <v>21</v>
      </c>
      <c r="W41" s="713">
        <f t="shared" si="14"/>
        <v>100</v>
      </c>
      <c r="X41" s="714"/>
      <c r="Y41" s="3616"/>
      <c r="Z41" s="715" t="str">
        <f t="shared" si="18"/>
        <v>单套/主力户型建筑面积</v>
      </c>
      <c r="AA41" s="1530">
        <f t="shared" si="15"/>
        <v>1</v>
      </c>
      <c r="AB41" s="1530">
        <f t="shared" si="16"/>
        <v>1</v>
      </c>
      <c r="AC41" s="1530">
        <f t="shared" si="17"/>
        <v>1</v>
      </c>
    </row>
    <row r="42" spans="1:29" ht="15">
      <c r="A42" s="426"/>
      <c r="B42" s="376" t="s">
        <v>2392</v>
      </c>
      <c r="C42" s="2084" t="s">
        <v>3439</v>
      </c>
      <c r="D42" s="389">
        <v>100</v>
      </c>
      <c r="E42" s="2085" t="s">
        <v>3443</v>
      </c>
      <c r="F42" s="415">
        <f>SUMIF(122:122,E42,123:123)-SUMIF(122:122,C42,123:123)+100</f>
        <v>91</v>
      </c>
      <c r="G42" s="2084" t="s">
        <v>3439</v>
      </c>
      <c r="H42" s="389">
        <f>SUMIF(122:122,G42,123:123)-SUMIF(122:122,C42,123:123)+100</f>
        <v>100</v>
      </c>
      <c r="I42" s="2085" t="s">
        <v>3439</v>
      </c>
      <c r="J42" s="389">
        <f>SUMIF(122:122,I42,123:123)-SUMIF(122:122,C42,123:123)+100</f>
        <v>100</v>
      </c>
      <c r="K42" s="380">
        <v>3</v>
      </c>
      <c r="L42" s="2939"/>
      <c r="M42" s="2933"/>
      <c r="N42" s="2933"/>
      <c r="O42" s="2933"/>
      <c r="P42" s="3635"/>
      <c r="Q42" s="1529" t="str">
        <f t="shared" si="11"/>
        <v>内部装修</v>
      </c>
      <c r="R42" s="709" t="s">
        <v>21</v>
      </c>
      <c r="S42" s="710">
        <f t="shared" si="12"/>
        <v>91</v>
      </c>
      <c r="T42" s="709" t="s">
        <v>21</v>
      </c>
      <c r="U42" s="710">
        <f t="shared" si="13"/>
        <v>100</v>
      </c>
      <c r="V42" s="709" t="s">
        <v>21</v>
      </c>
      <c r="W42" s="710">
        <f t="shared" si="14"/>
        <v>100</v>
      </c>
      <c r="X42" s="1532"/>
      <c r="Y42" s="3616"/>
      <c r="Z42" s="1533" t="str">
        <f t="shared" si="18"/>
        <v>内部装修</v>
      </c>
      <c r="AA42" s="1530">
        <f t="shared" si="15"/>
        <v>1.098901098901099</v>
      </c>
      <c r="AB42" s="1530">
        <f t="shared" si="16"/>
        <v>1</v>
      </c>
      <c r="AC42" s="1530">
        <f t="shared" si="17"/>
        <v>1</v>
      </c>
    </row>
    <row r="43" spans="1:29" ht="15">
      <c r="A43" s="426"/>
      <c r="B43" s="376" t="s">
        <v>2393</v>
      </c>
      <c r="C43" s="2084"/>
      <c r="D43" s="389">
        <v>100</v>
      </c>
      <c r="E43" s="2085"/>
      <c r="F43" s="415">
        <f>SUMIF(124:124,E43,125:125)-SUMIF(124:124,C43,125:125)+100</f>
        <v>100</v>
      </c>
      <c r="G43" s="2084"/>
      <c r="H43" s="389">
        <f>SUMIF(124:124,G43,125:125)-SUMIF(124:124,C43,125:125)+100</f>
        <v>100</v>
      </c>
      <c r="I43" s="2085"/>
      <c r="J43" s="389">
        <f>SUMIF(124:124,I43,125:125)-SUMIF(124:124,C43,125:125)+100</f>
        <v>100</v>
      </c>
      <c r="K43" s="380"/>
      <c r="L43" s="2939"/>
      <c r="M43" s="2933"/>
      <c r="N43" s="2933"/>
      <c r="O43" s="2933"/>
      <c r="P43" s="3635"/>
      <c r="Q43" s="1529" t="str">
        <f t="shared" si="11"/>
        <v>内部装修维护情况</v>
      </c>
      <c r="R43" s="709" t="s">
        <v>21</v>
      </c>
      <c r="S43" s="710">
        <f t="shared" si="12"/>
        <v>100</v>
      </c>
      <c r="T43" s="709" t="s">
        <v>21</v>
      </c>
      <c r="U43" s="710">
        <f t="shared" si="13"/>
        <v>100</v>
      </c>
      <c r="V43" s="709" t="s">
        <v>21</v>
      </c>
      <c r="W43" s="710">
        <f t="shared" si="14"/>
        <v>100</v>
      </c>
      <c r="X43" s="1532"/>
      <c r="Y43" s="3616"/>
      <c r="Z43" s="1533" t="str">
        <f t="shared" si="18"/>
        <v>内部装修维护情况</v>
      </c>
      <c r="AA43" s="1530">
        <f t="shared" si="15"/>
        <v>1</v>
      </c>
      <c r="AB43" s="1530">
        <f t="shared" si="16"/>
        <v>1</v>
      </c>
      <c r="AC43" s="1530">
        <f t="shared" si="17"/>
        <v>1</v>
      </c>
    </row>
    <row r="44" spans="1:29" s="108" customFormat="1" ht="15">
      <c r="A44" s="427"/>
      <c r="B44" s="1289">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72"/>
      <c r="L44" s="2934"/>
      <c r="M44" s="2935"/>
      <c r="N44" s="2935"/>
      <c r="O44" s="2935"/>
      <c r="P44" s="3635"/>
      <c r="Q44" s="1520">
        <f t="shared" si="11"/>
        <v>111</v>
      </c>
      <c r="R44" s="705" t="s">
        <v>21</v>
      </c>
      <c r="S44" s="706">
        <f t="shared" si="12"/>
        <v>100</v>
      </c>
      <c r="T44" s="705" t="s">
        <v>21</v>
      </c>
      <c r="U44" s="706">
        <f t="shared" si="13"/>
        <v>100</v>
      </c>
      <c r="V44" s="705" t="s">
        <v>21</v>
      </c>
      <c r="W44" s="706">
        <f t="shared" si="14"/>
        <v>100</v>
      </c>
      <c r="X44" s="707"/>
      <c r="Y44" s="3616"/>
      <c r="Z44" s="53">
        <f t="shared" si="18"/>
        <v>111</v>
      </c>
      <c r="AA44" s="708">
        <f t="shared" si="15"/>
        <v>1</v>
      </c>
      <c r="AB44" s="708">
        <f t="shared" si="16"/>
        <v>1</v>
      </c>
      <c r="AC44" s="708">
        <f t="shared" si="17"/>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72"/>
      <c r="L45" s="2939"/>
      <c r="M45" s="2933"/>
      <c r="N45" s="2933"/>
      <c r="O45" s="2933"/>
      <c r="P45" s="3635"/>
      <c r="Q45" s="1529">
        <f t="shared" si="11"/>
        <v>111</v>
      </c>
      <c r="R45" s="709" t="s">
        <v>21</v>
      </c>
      <c r="S45" s="710">
        <f t="shared" si="12"/>
        <v>100</v>
      </c>
      <c r="T45" s="709" t="s">
        <v>21</v>
      </c>
      <c r="U45" s="710">
        <f t="shared" si="13"/>
        <v>100</v>
      </c>
      <c r="V45" s="709" t="s">
        <v>21</v>
      </c>
      <c r="W45" s="710">
        <f t="shared" si="14"/>
        <v>100</v>
      </c>
      <c r="X45" s="1532"/>
      <c r="Y45" s="3616"/>
      <c r="Z45" s="1533">
        <f t="shared" si="18"/>
        <v>111</v>
      </c>
      <c r="AA45" s="1530">
        <f t="shared" si="15"/>
        <v>1</v>
      </c>
      <c r="AB45" s="1530">
        <f t="shared" si="16"/>
        <v>1</v>
      </c>
      <c r="AC45" s="1530">
        <f t="shared" si="17"/>
        <v>1</v>
      </c>
    </row>
    <row r="46" spans="1:29" ht="15.75" thickBot="1">
      <c r="A46" s="432"/>
      <c r="B46" s="2073">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72"/>
      <c r="L46" s="2939"/>
      <c r="M46" s="2933"/>
      <c r="N46" s="2933"/>
      <c r="O46" s="2933"/>
      <c r="P46" s="3636"/>
      <c r="Q46" s="1529">
        <f t="shared" si="11"/>
        <v>111</v>
      </c>
      <c r="R46" s="709" t="s">
        <v>20</v>
      </c>
      <c r="S46" s="710">
        <f t="shared" si="12"/>
        <v>100</v>
      </c>
      <c r="T46" s="709" t="s">
        <v>20</v>
      </c>
      <c r="U46" s="710">
        <f t="shared" si="13"/>
        <v>100</v>
      </c>
      <c r="V46" s="709" t="s">
        <v>20</v>
      </c>
      <c r="W46" s="710">
        <f t="shared" si="14"/>
        <v>100</v>
      </c>
      <c r="X46" s="1532"/>
      <c r="Y46" s="3637"/>
      <c r="Z46" s="1533">
        <f t="shared" si="18"/>
        <v>111</v>
      </c>
      <c r="AA46" s="1530">
        <f t="shared" si="15"/>
        <v>1</v>
      </c>
      <c r="AB46" s="1530">
        <f t="shared" si="16"/>
        <v>1</v>
      </c>
      <c r="AC46" s="1530">
        <f t="shared" si="17"/>
        <v>1</v>
      </c>
    </row>
    <row r="47" spans="1:29" ht="15">
      <c r="A47" s="433" t="s">
        <v>2394</v>
      </c>
      <c r="B47" s="434"/>
      <c r="C47" s="1310" t="s">
        <v>19</v>
      </c>
      <c r="D47" s="1311"/>
      <c r="E47" s="1312">
        <f>住宅案例!H33</f>
        <v>60079</v>
      </c>
      <c r="F47" s="1313"/>
      <c r="G47" s="1314">
        <f>住宅案例!H11</f>
        <v>53510</v>
      </c>
      <c r="H47" s="1315"/>
      <c r="I47" s="1312">
        <f>住宅案例!H5</f>
        <v>54298</v>
      </c>
      <c r="J47" s="1315"/>
      <c r="K47" s="2092"/>
      <c r="L47" s="2941"/>
      <c r="M47" s="2942"/>
      <c r="N47" s="2933"/>
      <c r="O47" s="2942"/>
      <c r="P47" s="3598" t="str">
        <f>A47</f>
        <v>成交单价（元/平方米）</v>
      </c>
      <c r="Q47" s="3598"/>
      <c r="R47" s="3633">
        <f>E47</f>
        <v>60079</v>
      </c>
      <c r="S47" s="3633"/>
      <c r="T47" s="3633">
        <f>G47</f>
        <v>53510</v>
      </c>
      <c r="U47" s="3633"/>
      <c r="V47" s="3633">
        <f>I47</f>
        <v>54298</v>
      </c>
      <c r="W47" s="3633"/>
      <c r="X47" s="694"/>
      <c r="Y47" s="716"/>
      <c r="Z47" s="694"/>
      <c r="AA47" s="694"/>
      <c r="AB47" s="694"/>
      <c r="AC47" s="694"/>
    </row>
    <row r="48" spans="1:29" ht="15.75" thickBot="1">
      <c r="A48" s="440" t="s">
        <v>2395</v>
      </c>
      <c r="B48" s="441"/>
      <c r="C48" s="1316">
        <f>R49</f>
        <v>57063</v>
      </c>
      <c r="D48" s="2530" t="s">
        <v>2877</v>
      </c>
      <c r="E48" s="1317">
        <f>R48</f>
        <v>57015</v>
      </c>
      <c r="F48" s="2531"/>
      <c r="G48" s="1316">
        <f>T48</f>
        <v>56647</v>
      </c>
      <c r="H48" s="2531"/>
      <c r="I48" s="1317">
        <f>V48</f>
        <v>57528</v>
      </c>
      <c r="J48" s="2531"/>
      <c r="K48" s="2532">
        <f>F48+H48+J48</f>
        <v>0</v>
      </c>
      <c r="L48" s="2941"/>
      <c r="M48" s="2942"/>
      <c r="N48" s="2942"/>
      <c r="O48" s="2942"/>
      <c r="P48" s="3598" t="str">
        <f>A48</f>
        <v>比较价值（元/平方米）</v>
      </c>
      <c r="Q48" s="3598"/>
      <c r="R48" s="3633">
        <f>IF(F1="售价",ROUND(PRODUCT(R47,AA7:AA46),0),ROUND(PRODUCT(R47,AA7:AA46),1))</f>
        <v>57015</v>
      </c>
      <c r="S48" s="3633"/>
      <c r="T48" s="3633">
        <f>IF(F1="售价",ROUND(PRODUCT(T47,AB7:AB46),0),ROUND(PRODUCT(T47,AB7:AB46),1))</f>
        <v>56647</v>
      </c>
      <c r="U48" s="3633"/>
      <c r="V48" s="3633">
        <f>IF(F1="售价",ROUND(PRODUCT(V47,AC7:AC46),0),ROUND(PRODUCT(V47,AC7:AC46),1))</f>
        <v>57528</v>
      </c>
      <c r="W48" s="3633"/>
      <c r="X48" s="694"/>
      <c r="Y48" s="694"/>
      <c r="Z48" s="694"/>
      <c r="AA48" s="694"/>
      <c r="AB48" s="694"/>
      <c r="AC48" s="694"/>
    </row>
    <row r="49" spans="1:29" ht="15.75" thickBot="1">
      <c r="A49" s="444" t="s">
        <v>2396</v>
      </c>
      <c r="B49" s="445"/>
      <c r="C49" s="1318">
        <f>R49</f>
        <v>57063</v>
      </c>
      <c r="D49" s="1319"/>
      <c r="E49" s="1319"/>
      <c r="F49" s="1319"/>
      <c r="G49" s="1319"/>
      <c r="H49" s="1319"/>
      <c r="I49" s="1319"/>
      <c r="J49" s="1319"/>
      <c r="K49" s="2093"/>
      <c r="L49" s="2941"/>
      <c r="M49" s="2942"/>
      <c r="N49" s="2942"/>
      <c r="O49" s="2942"/>
      <c r="P49" s="3618" t="str">
        <f>A49</f>
        <v>估价对象XX用房的比较价值（楼面单价，元/平方米）</v>
      </c>
      <c r="Q49" s="3619"/>
      <c r="R49" s="3632">
        <f>IF(F1="售价",ROUND(IF(D48="简单平均",AVERAGE(R48:V48),R48*F48+T48*H48+V48*J48),0),ROUND(IF(D48="简单平均",AVERAGE(R48:V48),R48*F48+T48*H48+V48*J48),1))</f>
        <v>57063</v>
      </c>
      <c r="S49" s="3632"/>
      <c r="T49" s="3632"/>
      <c r="U49" s="3632"/>
      <c r="V49" s="3632"/>
      <c r="W49" s="3632"/>
      <c r="X49" s="694"/>
      <c r="Y49" s="694"/>
      <c r="Z49" s="694"/>
      <c r="AA49" s="694"/>
      <c r="AB49" s="694"/>
      <c r="AC49" s="694"/>
    </row>
    <row r="50" spans="1:29">
      <c r="A50" s="2942"/>
      <c r="B50" s="2942"/>
      <c r="C50" s="2942"/>
      <c r="D50" s="2942"/>
      <c r="E50" s="2942"/>
      <c r="F50" s="2942"/>
      <c r="G50" s="3115"/>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49" t="s">
        <v>2397</v>
      </c>
      <c r="D52" s="450"/>
      <c r="E52" s="451">
        <f>IF(E47&lt;E48,E48/E47-1,E47/E48-1)</f>
        <v>5.374024379549236E-2</v>
      </c>
      <c r="F52" s="452" t="str">
        <f>IF(OR(E52&gt;=0.3,E52&lt;=-0.3),"超过30%","")</f>
        <v/>
      </c>
      <c r="G52" s="451">
        <f>IF(G47&lt;G48,G48/G47-1,G47/G48-1)</f>
        <v>5.8624556157727437E-2</v>
      </c>
      <c r="H52" s="452" t="str">
        <f>IF(OR(G52&gt;=0.3,G52&lt;=-0.3),"超过30%","")</f>
        <v/>
      </c>
      <c r="I52" s="451">
        <f>IF(I47&lt;I48,I48/I47-1,I47/I48-1)</f>
        <v>5.9486537257357641E-2</v>
      </c>
      <c r="J52" s="452" t="str">
        <f>IF(OR(I52&gt;=0.3,I52&lt;=-0.3),"超过30%","")</f>
        <v/>
      </c>
      <c r="K52" s="2947"/>
      <c r="L52" s="2943"/>
      <c r="M52" s="2942"/>
      <c r="N52" s="2942"/>
      <c r="O52" s="2942"/>
    </row>
    <row r="53" spans="1:29" ht="13.5" customHeight="1">
      <c r="A53" s="2942"/>
      <c r="B53" s="2942"/>
      <c r="C53" s="449" t="s">
        <v>2398</v>
      </c>
      <c r="D53" s="453"/>
      <c r="E53" s="451">
        <f>IF(E48&lt;G48,G48/E48-1,E48/G48-1)</f>
        <v>6.4963722703761384E-3</v>
      </c>
      <c r="F53" s="452" t="str">
        <f>IF(OR(E53&gt;=0.2,E53&lt;=-0.2),"超过20%","")</f>
        <v/>
      </c>
      <c r="G53" s="451">
        <f>IF(G48&lt;I48,I48/G48-1,G48/I48-1)</f>
        <v>1.555245644076475E-2</v>
      </c>
      <c r="H53" s="452" t="str">
        <f>IF(OR(G53&gt;=0.2,G53&lt;=-0.2),"超过20%","")</f>
        <v/>
      </c>
      <c r="I53" s="451">
        <f>IF(I48&lt;E48,E48/I48-1,I48/E48-1)</f>
        <v>8.9976322020521859E-3</v>
      </c>
      <c r="J53" s="452" t="str">
        <f>IF(OR(I53&gt;=0.2,I53&lt;=-0.2),"超过20%","")</f>
        <v/>
      </c>
      <c r="K53" s="2947"/>
      <c r="L53" s="2943"/>
      <c r="M53" s="2942"/>
      <c r="N53" s="2942"/>
      <c r="O53" s="2942"/>
    </row>
    <row r="54" spans="1:29" s="454" customFormat="1" ht="13.5" customHeight="1">
      <c r="A54" s="2945"/>
      <c r="B54" s="2945"/>
      <c r="C54" s="449" t="s">
        <v>2399</v>
      </c>
      <c r="D54" s="453"/>
      <c r="E54" s="451">
        <f>IF(E47&lt;G47,G47/E47-1,E47/G47-1)</f>
        <v>0.1227621005419548</v>
      </c>
      <c r="F54" s="452" t="str">
        <f>IF(OR(E54&gt;=0.3,E54&lt;=-0.3),"超过30%","")</f>
        <v/>
      </c>
      <c r="G54" s="451">
        <f>IF(G47&lt;I47,I47/G47-1,G47/I47-1)</f>
        <v>1.4726219398243368E-2</v>
      </c>
      <c r="H54" s="452" t="str">
        <f>IF(OR(G54&gt;=0.3,G54&lt;=-0.3),"超过30%","")</f>
        <v/>
      </c>
      <c r="I54" s="451">
        <f>IF(I47&lt;E47,E47/I47-1,I47/E47-1)</f>
        <v>0.10646800987145011</v>
      </c>
      <c r="J54" s="452" t="str">
        <f>IF(OR(I54&gt;=0.3,I54&lt;=-0.3),"超过30%","")</f>
        <v/>
      </c>
      <c r="K54" s="2950"/>
      <c r="L54" s="2944"/>
      <c r="M54" s="2945"/>
      <c r="N54" s="2945"/>
      <c r="O54" s="2945"/>
      <c r="P54" s="2095"/>
    </row>
    <row r="55" spans="1:29" s="454" customFormat="1">
      <c r="A55" s="2945"/>
      <c r="B55" s="2948"/>
      <c r="C55" s="2949"/>
      <c r="D55" s="2945"/>
      <c r="E55" s="2945"/>
      <c r="F55" s="2945"/>
      <c r="G55" s="2945"/>
      <c r="H55" s="2945"/>
      <c r="I55" s="2945"/>
      <c r="J55" s="2945"/>
      <c r="K55" s="2950"/>
      <c r="L55" s="2944"/>
      <c r="M55" s="2945"/>
      <c r="N55" s="2945"/>
      <c r="O55" s="2945"/>
      <c r="P55" s="2095"/>
    </row>
    <row r="56" spans="1:29">
      <c r="A56" s="2942"/>
      <c r="B56" s="2948"/>
      <c r="C56" s="2949"/>
      <c r="D56" s="2942"/>
      <c r="E56" s="2942"/>
      <c r="F56" s="2942"/>
      <c r="G56" s="2942"/>
      <c r="H56" s="2942"/>
      <c r="I56" s="2942"/>
      <c r="J56" s="2942"/>
      <c r="K56" s="2947"/>
      <c r="L56" s="2943"/>
      <c r="M56" s="2942"/>
      <c r="N56" s="2942"/>
      <c r="O56" s="2942"/>
    </row>
    <row r="57" spans="1:29" ht="21.75" thickBot="1">
      <c r="A57" s="698" t="s">
        <v>2400</v>
      </c>
      <c r="B57" s="694"/>
      <c r="C57" s="699"/>
      <c r="D57" s="699"/>
      <c r="E57" s="699"/>
      <c r="F57" s="700"/>
      <c r="G57" s="700"/>
      <c r="H57" s="699"/>
      <c r="I57" s="699"/>
      <c r="J57" s="699"/>
      <c r="K57" s="1066"/>
      <c r="L57" s="1067"/>
      <c r="M57" s="1065"/>
      <c r="N57" s="1065"/>
      <c r="O57" s="1065"/>
      <c r="P57" s="2096"/>
      <c r="Q57" s="456"/>
    </row>
    <row r="58" spans="1:29" s="460" customFormat="1" ht="15">
      <c r="A58" s="457" t="s">
        <v>2401</v>
      </c>
      <c r="B58" s="458"/>
      <c r="C58" s="1341" t="str">
        <f>YEAR(C7)&amp;"-"&amp;MONTH(C7)</f>
        <v>2022-1</v>
      </c>
      <c r="D58" s="1340">
        <f>EDATE(C58,-1)</f>
        <v>44531</v>
      </c>
      <c r="E58" s="1340">
        <f>EDATE(D58,-1)</f>
        <v>44501</v>
      </c>
      <c r="F58" s="1340">
        <f t="shared" ref="F58:O58" si="19">EDATE(E58,-1)</f>
        <v>44470</v>
      </c>
      <c r="G58" s="1340">
        <f t="shared" si="19"/>
        <v>44440</v>
      </c>
      <c r="H58" s="1340">
        <f t="shared" si="19"/>
        <v>44409</v>
      </c>
      <c r="I58" s="1340">
        <f t="shared" si="19"/>
        <v>44378</v>
      </c>
      <c r="J58" s="1340">
        <f t="shared" si="19"/>
        <v>44348</v>
      </c>
      <c r="K58" s="1340">
        <f t="shared" si="19"/>
        <v>44317</v>
      </c>
      <c r="L58" s="1340">
        <f t="shared" si="19"/>
        <v>44287</v>
      </c>
      <c r="M58" s="1340">
        <f t="shared" si="19"/>
        <v>44256</v>
      </c>
      <c r="N58" s="1340">
        <f t="shared" si="19"/>
        <v>44228</v>
      </c>
      <c r="O58" s="1340">
        <f t="shared" si="19"/>
        <v>44197</v>
      </c>
      <c r="P58" s="1336"/>
    </row>
    <row r="59" spans="1:29" s="108" customFormat="1" ht="15">
      <c r="A59" s="461"/>
      <c r="B59" s="2097"/>
      <c r="C59" s="1338">
        <v>100</v>
      </c>
      <c r="D59" s="463">
        <f>C59</f>
        <v>100</v>
      </c>
      <c r="E59" s="463">
        <f t="shared" ref="E59:M59" si="20">D59</f>
        <v>100</v>
      </c>
      <c r="F59" s="463">
        <f t="shared" si="20"/>
        <v>100</v>
      </c>
      <c r="G59" s="463">
        <f t="shared" si="20"/>
        <v>100</v>
      </c>
      <c r="H59" s="463">
        <f t="shared" si="20"/>
        <v>100</v>
      </c>
      <c r="I59" s="463">
        <f t="shared" si="20"/>
        <v>100</v>
      </c>
      <c r="J59" s="463">
        <f t="shared" si="20"/>
        <v>100</v>
      </c>
      <c r="K59" s="463">
        <f t="shared" si="20"/>
        <v>100</v>
      </c>
      <c r="L59" s="463">
        <f t="shared" si="20"/>
        <v>100</v>
      </c>
      <c r="M59" s="463">
        <f t="shared" si="20"/>
        <v>100</v>
      </c>
      <c r="N59" s="464"/>
      <c r="O59" s="465"/>
      <c r="P59" s="2098"/>
    </row>
    <row r="60" spans="1:29" s="108" customFormat="1" ht="15.75" thickBot="1">
      <c r="A60" s="467" t="s">
        <v>2402</v>
      </c>
      <c r="B60" s="468"/>
      <c r="C60" s="469"/>
      <c r="D60" s="470"/>
      <c r="E60" s="470"/>
      <c r="F60" s="470"/>
      <c r="G60" s="470"/>
      <c r="H60" s="470"/>
      <c r="I60" s="470"/>
      <c r="J60" s="470"/>
      <c r="K60" s="470"/>
      <c r="L60" s="470"/>
      <c r="M60" s="471"/>
      <c r="N60" s="470"/>
      <c r="O60" s="471"/>
      <c r="P60" s="2098"/>
      <c r="Q60" s="456"/>
    </row>
    <row r="61" spans="1:29" s="108" customFormat="1" ht="15">
      <c r="A61" s="473" t="s">
        <v>2403</v>
      </c>
      <c r="B61" s="462"/>
      <c r="C61" s="474" t="s">
        <v>2404</v>
      </c>
      <c r="D61" s="475"/>
      <c r="E61" s="475"/>
      <c r="F61" s="475"/>
      <c r="G61" s="475"/>
      <c r="H61" s="475"/>
      <c r="I61" s="475"/>
      <c r="J61" s="475"/>
      <c r="K61" s="475"/>
      <c r="L61" s="476"/>
      <c r="M61" s="477"/>
      <c r="N61" s="1057"/>
      <c r="O61" s="1057"/>
      <c r="P61" s="2099"/>
      <c r="Q61" s="456"/>
    </row>
    <row r="62" spans="1:29" s="108" customFormat="1" ht="15.75" thickBot="1">
      <c r="A62" s="473"/>
      <c r="B62" s="462"/>
      <c r="C62" s="463">
        <v>100</v>
      </c>
      <c r="D62" s="464"/>
      <c r="E62" s="464"/>
      <c r="F62" s="464"/>
      <c r="G62" s="464"/>
      <c r="H62" s="464"/>
      <c r="I62" s="464"/>
      <c r="J62" s="464"/>
      <c r="K62" s="464"/>
      <c r="L62" s="464"/>
      <c r="M62" s="466"/>
      <c r="N62" s="1057"/>
      <c r="O62" s="1057"/>
      <c r="P62" s="2098"/>
      <c r="Q62" s="456"/>
    </row>
    <row r="63" spans="1:29">
      <c r="A63" s="479" t="s">
        <v>2405</v>
      </c>
      <c r="B63" s="480" t="s">
        <v>2371</v>
      </c>
      <c r="C63" s="481" t="str">
        <f>C9</f>
        <v>住宅</v>
      </c>
      <c r="D63" s="482"/>
      <c r="E63" s="482"/>
      <c r="F63" s="482"/>
      <c r="G63" s="482"/>
      <c r="H63" s="482"/>
      <c r="I63" s="482"/>
      <c r="J63" s="482"/>
      <c r="K63" s="483"/>
      <c r="L63" s="484"/>
      <c r="M63" s="485"/>
      <c r="N63" s="1058"/>
      <c r="O63" s="1058"/>
      <c r="P63" s="2100"/>
      <c r="Q63" s="456"/>
    </row>
    <row r="64" spans="1:29" ht="15.75" thickBot="1">
      <c r="A64" s="486"/>
      <c r="B64" s="487"/>
      <c r="C64" s="488">
        <v>100</v>
      </c>
      <c r="D64" s="488"/>
      <c r="E64" s="488"/>
      <c r="F64" s="488"/>
      <c r="G64" s="488"/>
      <c r="H64" s="488"/>
      <c r="I64" s="488"/>
      <c r="J64" s="488"/>
      <c r="K64" s="488"/>
      <c r="L64" s="488"/>
      <c r="M64" s="489"/>
      <c r="N64" s="1059"/>
      <c r="O64" s="1059"/>
      <c r="P64" s="2100"/>
      <c r="Q64" s="456"/>
    </row>
    <row r="65" spans="1:17" ht="27.75" thickTop="1">
      <c r="A65" s="486"/>
      <c r="B65" s="490" t="s">
        <v>2374</v>
      </c>
      <c r="C65" s="491" t="s">
        <v>2406</v>
      </c>
      <c r="D65" s="491" t="s">
        <v>2407</v>
      </c>
      <c r="E65" s="491" t="s">
        <v>2408</v>
      </c>
      <c r="F65" s="491" t="s">
        <v>2409</v>
      </c>
      <c r="G65" s="491" t="s">
        <v>2410</v>
      </c>
      <c r="H65" s="491" t="s">
        <v>2411</v>
      </c>
      <c r="I65" s="491" t="s">
        <v>2412</v>
      </c>
      <c r="J65" s="491"/>
      <c r="K65" s="492"/>
      <c r="L65" s="493"/>
      <c r="M65" s="494"/>
      <c r="N65" s="1058"/>
      <c r="O65" s="1058"/>
      <c r="P65" s="2100"/>
      <c r="Q65" s="456"/>
    </row>
    <row r="66" spans="1:17" ht="15.75" thickBot="1">
      <c r="A66" s="486"/>
      <c r="B66" s="495"/>
      <c r="C66" s="496">
        <v>100</v>
      </c>
      <c r="D66" s="496">
        <f t="shared" ref="D66:I66" si="21">C66-$K10</f>
        <v>98</v>
      </c>
      <c r="E66" s="496">
        <f t="shared" si="21"/>
        <v>96</v>
      </c>
      <c r="F66" s="496">
        <f t="shared" si="21"/>
        <v>94</v>
      </c>
      <c r="G66" s="496">
        <f t="shared" si="21"/>
        <v>92</v>
      </c>
      <c r="H66" s="496">
        <f t="shared" si="21"/>
        <v>90</v>
      </c>
      <c r="I66" s="496">
        <f t="shared" si="21"/>
        <v>88</v>
      </c>
      <c r="J66" s="496"/>
      <c r="K66" s="496"/>
      <c r="L66" s="496"/>
      <c r="M66" s="497"/>
      <c r="N66" s="1059"/>
      <c r="O66" s="1059"/>
      <c r="P66" s="2100"/>
      <c r="Q66" s="456"/>
    </row>
    <row r="67" spans="1:17" ht="15.75" thickTop="1">
      <c r="A67" s="486"/>
      <c r="B67" s="498" t="s">
        <v>2375</v>
      </c>
      <c r="C67" s="499" t="str">
        <f>C68&amp;"（含）"&amp;"-"&amp;D68</f>
        <v>0（含）-1</v>
      </c>
      <c r="D67" s="499" t="str">
        <f t="shared" ref="D67:L67" si="22">D68&amp;"（含）"&amp;"-"&amp;E68</f>
        <v>1（含）-1.5</v>
      </c>
      <c r="E67" s="499" t="str">
        <f t="shared" si="22"/>
        <v>1.5（含）-2</v>
      </c>
      <c r="F67" s="499" t="str">
        <f t="shared" si="22"/>
        <v>2（含）-2.5</v>
      </c>
      <c r="G67" s="499" t="str">
        <f t="shared" si="22"/>
        <v>2.5（含）-3</v>
      </c>
      <c r="H67" s="499" t="str">
        <f t="shared" si="22"/>
        <v>3（含）-</v>
      </c>
      <c r="I67" s="499" t="str">
        <f t="shared" si="22"/>
        <v>（含）-</v>
      </c>
      <c r="J67" s="499" t="str">
        <f t="shared" si="22"/>
        <v>（含）-</v>
      </c>
      <c r="K67" s="499" t="str">
        <f>K68&amp;"（含）"&amp;"-"&amp;L68</f>
        <v>（含）-</v>
      </c>
      <c r="L67" s="499" t="str">
        <f t="shared" si="22"/>
        <v>（含）-</v>
      </c>
      <c r="M67" s="402" t="str">
        <f>M68&amp;"（含）"&amp;"-"&amp;P68</f>
        <v>（含）-</v>
      </c>
      <c r="N67" s="1059"/>
      <c r="O67" s="1059"/>
      <c r="P67" s="2100"/>
      <c r="Q67" s="456"/>
    </row>
    <row r="68" spans="1:17" ht="15">
      <c r="A68" s="486"/>
      <c r="B68" s="500"/>
      <c r="C68" s="501">
        <v>0</v>
      </c>
      <c r="D68" s="501">
        <v>1</v>
      </c>
      <c r="E68" s="501">
        <v>1.5</v>
      </c>
      <c r="F68" s="501">
        <v>2</v>
      </c>
      <c r="G68" s="501">
        <v>2.5</v>
      </c>
      <c r="H68" s="501">
        <v>3</v>
      </c>
      <c r="I68" s="501"/>
      <c r="J68" s="501"/>
      <c r="K68" s="502"/>
      <c r="L68" s="503"/>
      <c r="M68" s="504"/>
      <c r="N68" s="1058"/>
      <c r="O68" s="1058"/>
      <c r="P68" s="2100"/>
      <c r="Q68" s="456"/>
    </row>
    <row r="69" spans="1:17" ht="15.75" thickBot="1">
      <c r="A69" s="486"/>
      <c r="B69" s="487"/>
      <c r="C69" s="496">
        <v>100</v>
      </c>
      <c r="D69" s="496">
        <f t="shared" ref="D69:M69" si="23">C69-$K11</f>
        <v>98</v>
      </c>
      <c r="E69" s="496">
        <f t="shared" si="23"/>
        <v>96</v>
      </c>
      <c r="F69" s="496">
        <f t="shared" si="23"/>
        <v>94</v>
      </c>
      <c r="G69" s="496">
        <f t="shared" si="23"/>
        <v>92</v>
      </c>
      <c r="H69" s="496">
        <f t="shared" si="23"/>
        <v>90</v>
      </c>
      <c r="I69" s="496">
        <f t="shared" si="23"/>
        <v>88</v>
      </c>
      <c r="J69" s="496">
        <f t="shared" si="23"/>
        <v>86</v>
      </c>
      <c r="K69" s="496">
        <f t="shared" si="23"/>
        <v>84</v>
      </c>
      <c r="L69" s="496">
        <f t="shared" si="23"/>
        <v>82</v>
      </c>
      <c r="M69" s="497">
        <f t="shared" si="23"/>
        <v>80</v>
      </c>
      <c r="N69" s="1059"/>
      <c r="O69" s="1059"/>
      <c r="P69" s="2100"/>
      <c r="Q69" s="456"/>
    </row>
    <row r="70" spans="1:17" s="425" customFormat="1" ht="15.75" thickTop="1">
      <c r="A70" s="505"/>
      <c r="B70" s="490" t="str">
        <f>B12</f>
        <v>是否为限价房</v>
      </c>
      <c r="C70" s="506"/>
      <c r="D70" s="506"/>
      <c r="E70" s="506"/>
      <c r="F70" s="506"/>
      <c r="G70" s="506"/>
      <c r="H70" s="507"/>
      <c r="I70" s="507"/>
      <c r="J70" s="507"/>
      <c r="K70" s="507"/>
      <c r="L70" s="508"/>
      <c r="M70" s="509"/>
      <c r="N70" s="1060"/>
      <c r="O70" s="1060"/>
      <c r="P70" s="2101"/>
      <c r="Q70" s="511"/>
    </row>
    <row r="71" spans="1:17" s="425" customFormat="1" ht="15.75" thickBot="1">
      <c r="A71" s="505"/>
      <c r="B71" s="495"/>
      <c r="C71" s="512"/>
      <c r="D71" s="488"/>
      <c r="E71" s="488"/>
      <c r="F71" s="488"/>
      <c r="G71" s="488"/>
      <c r="H71" s="488"/>
      <c r="I71" s="488"/>
      <c r="J71" s="488"/>
      <c r="K71" s="488"/>
      <c r="L71" s="488"/>
      <c r="M71" s="489"/>
      <c r="N71" s="1059"/>
      <c r="O71" s="1059"/>
      <c r="P71" s="2101"/>
      <c r="Q71" s="511"/>
    </row>
    <row r="72" spans="1:17" s="425" customFormat="1" ht="15.75" thickTop="1">
      <c r="A72" s="505"/>
      <c r="B72" s="490">
        <f>B13</f>
        <v>111</v>
      </c>
      <c r="C72" s="506"/>
      <c r="D72" s="506"/>
      <c r="E72" s="506"/>
      <c r="F72" s="506"/>
      <c r="G72" s="506"/>
      <c r="H72" s="507"/>
      <c r="I72" s="507"/>
      <c r="J72" s="507"/>
      <c r="K72" s="507"/>
      <c r="L72" s="508"/>
      <c r="M72" s="509"/>
      <c r="N72" s="1060"/>
      <c r="O72" s="1060"/>
      <c r="P72" s="2102"/>
      <c r="Q72" s="513"/>
    </row>
    <row r="73" spans="1:17" s="425" customFormat="1" ht="15.75" thickBot="1">
      <c r="A73" s="505"/>
      <c r="B73" s="495"/>
      <c r="C73" s="512"/>
      <c r="D73" s="512"/>
      <c r="E73" s="512"/>
      <c r="F73" s="512"/>
      <c r="G73" s="512"/>
      <c r="H73" s="514"/>
      <c r="I73" s="514"/>
      <c r="J73" s="514"/>
      <c r="K73" s="514"/>
      <c r="L73" s="514"/>
      <c r="M73" s="515"/>
      <c r="N73" s="1060"/>
      <c r="O73" s="1060"/>
      <c r="P73" s="2101"/>
      <c r="Q73" s="511"/>
    </row>
    <row r="74" spans="1:17" s="425" customFormat="1" ht="15.75" thickTop="1">
      <c r="A74" s="505"/>
      <c r="B74" s="498">
        <f>B14</f>
        <v>111</v>
      </c>
      <c r="C74" s="506"/>
      <c r="D74" s="506"/>
      <c r="E74" s="506"/>
      <c r="F74" s="506"/>
      <c r="G74" s="475"/>
      <c r="H74" s="516"/>
      <c r="I74" s="516"/>
      <c r="J74" s="516"/>
      <c r="K74" s="516"/>
      <c r="L74" s="517"/>
      <c r="M74" s="518"/>
      <c r="N74" s="1060"/>
      <c r="O74" s="1060"/>
      <c r="P74" s="2103"/>
      <c r="Q74" s="511"/>
    </row>
    <row r="75" spans="1:17" s="425" customFormat="1" ht="15.75" thickBot="1">
      <c r="A75" s="520"/>
      <c r="B75" s="521"/>
      <c r="C75" s="522"/>
      <c r="D75" s="522"/>
      <c r="E75" s="522"/>
      <c r="F75" s="522"/>
      <c r="G75" s="522"/>
      <c r="H75" s="523"/>
      <c r="I75" s="523"/>
      <c r="J75" s="523"/>
      <c r="K75" s="523"/>
      <c r="L75" s="523"/>
      <c r="M75" s="524"/>
      <c r="N75" s="1060"/>
      <c r="O75" s="1060"/>
      <c r="P75" s="2101"/>
      <c r="Q75" s="511"/>
    </row>
    <row r="76" spans="1:17">
      <c r="A76" s="479" t="s">
        <v>2376</v>
      </c>
      <c r="B76" s="480" t="s">
        <v>2413</v>
      </c>
      <c r="C76" s="525" t="s">
        <v>2414</v>
      </c>
      <c r="D76" s="525" t="s">
        <v>2415</v>
      </c>
      <c r="E76" s="525" t="s">
        <v>2416</v>
      </c>
      <c r="F76" s="525" t="s">
        <v>2417</v>
      </c>
      <c r="G76" s="525" t="s">
        <v>2418</v>
      </c>
      <c r="H76" s="481"/>
      <c r="I76" s="481"/>
      <c r="J76" s="481"/>
      <c r="K76" s="526"/>
      <c r="L76" s="527"/>
      <c r="M76" s="528"/>
      <c r="N76" s="1058"/>
      <c r="O76" s="1058"/>
      <c r="P76" s="2104"/>
      <c r="Q76" s="456"/>
    </row>
    <row r="77" spans="1:17" ht="15.75" thickBot="1">
      <c r="A77" s="486"/>
      <c r="B77" s="495"/>
      <c r="C77" s="496">
        <v>100</v>
      </c>
      <c r="D77" s="496">
        <f>C77-$K15</f>
        <v>95</v>
      </c>
      <c r="E77" s="496">
        <f>D77-$K15</f>
        <v>90</v>
      </c>
      <c r="F77" s="496">
        <f>E77-$K15</f>
        <v>85</v>
      </c>
      <c r="G77" s="496">
        <f>F77-$K15</f>
        <v>80</v>
      </c>
      <c r="H77" s="496"/>
      <c r="I77" s="496"/>
      <c r="J77" s="496"/>
      <c r="K77" s="496"/>
      <c r="L77" s="496"/>
      <c r="M77" s="497"/>
      <c r="N77" s="1059"/>
      <c r="O77" s="1059"/>
      <c r="P77" s="2100"/>
      <c r="Q77" s="456"/>
    </row>
    <row r="78" spans="1:17" ht="15.75" thickTop="1">
      <c r="A78" s="486"/>
      <c r="B78" s="490" t="s">
        <v>2419</v>
      </c>
      <c r="C78" s="530" t="s">
        <v>2414</v>
      </c>
      <c r="D78" s="530" t="s">
        <v>2415</v>
      </c>
      <c r="E78" s="530" t="s">
        <v>2416</v>
      </c>
      <c r="F78" s="530" t="s">
        <v>2417</v>
      </c>
      <c r="G78" s="530" t="s">
        <v>2418</v>
      </c>
      <c r="H78" s="491"/>
      <c r="I78" s="491"/>
      <c r="J78" s="491"/>
      <c r="K78" s="492"/>
      <c r="L78" s="493"/>
      <c r="M78" s="494"/>
      <c r="N78" s="1058"/>
      <c r="O78" s="1058"/>
      <c r="P78" s="2100"/>
      <c r="Q78" s="456"/>
    </row>
    <row r="79" spans="1:17" ht="15.75" thickBot="1">
      <c r="A79" s="486"/>
      <c r="B79" s="495"/>
      <c r="C79" s="496">
        <v>100</v>
      </c>
      <c r="D79" s="496">
        <f>C79-$K17</f>
        <v>98</v>
      </c>
      <c r="E79" s="496">
        <f>D79-$K17</f>
        <v>96</v>
      </c>
      <c r="F79" s="496">
        <f>E79-$K17</f>
        <v>94</v>
      </c>
      <c r="G79" s="496">
        <f>F79-$K17</f>
        <v>92</v>
      </c>
      <c r="H79" s="496"/>
      <c r="I79" s="496"/>
      <c r="J79" s="496"/>
      <c r="K79" s="496"/>
      <c r="L79" s="496"/>
      <c r="M79" s="497"/>
      <c r="N79" s="1059"/>
      <c r="O79" s="1059"/>
      <c r="P79" s="2100"/>
      <c r="Q79" s="456"/>
    </row>
    <row r="80" spans="1:17" ht="15.75" thickTop="1">
      <c r="A80" s="486"/>
      <c r="B80" s="490" t="s">
        <v>2420</v>
      </c>
      <c r="C80" s="530" t="s">
        <v>2414</v>
      </c>
      <c r="D80" s="530" t="s">
        <v>2415</v>
      </c>
      <c r="E80" s="530" t="s">
        <v>2416</v>
      </c>
      <c r="F80" s="530" t="s">
        <v>2417</v>
      </c>
      <c r="G80" s="530" t="s">
        <v>2418</v>
      </c>
      <c r="H80" s="491"/>
      <c r="I80" s="491"/>
      <c r="J80" s="491"/>
      <c r="K80" s="492"/>
      <c r="L80" s="493"/>
      <c r="M80" s="494"/>
      <c r="N80" s="1058"/>
      <c r="O80" s="1058"/>
      <c r="P80" s="2100"/>
      <c r="Q80" s="456"/>
    </row>
    <row r="81" spans="1:17" ht="15.75" thickBot="1">
      <c r="A81" s="486"/>
      <c r="B81" s="495"/>
      <c r="C81" s="496">
        <v>100</v>
      </c>
      <c r="D81" s="496">
        <f>C81-$K19</f>
        <v>98</v>
      </c>
      <c r="E81" s="496">
        <f>D81-$K19</f>
        <v>96</v>
      </c>
      <c r="F81" s="496">
        <f>E81-$K19</f>
        <v>94</v>
      </c>
      <c r="G81" s="496">
        <f>F81-$K19</f>
        <v>92</v>
      </c>
      <c r="H81" s="496"/>
      <c r="I81" s="496"/>
      <c r="J81" s="496"/>
      <c r="K81" s="496"/>
      <c r="L81" s="496"/>
      <c r="M81" s="497"/>
      <c r="N81" s="1059"/>
      <c r="O81" s="1059"/>
      <c r="P81" s="2100"/>
      <c r="Q81" s="456"/>
    </row>
    <row r="82" spans="1:17" ht="15.75" thickTop="1">
      <c r="A82" s="486"/>
      <c r="B82" s="498" t="s">
        <v>1945</v>
      </c>
      <c r="C82" s="491" t="s">
        <v>2421</v>
      </c>
      <c r="D82" s="491" t="s">
        <v>2422</v>
      </c>
      <c r="E82" s="491" t="s">
        <v>2423</v>
      </c>
      <c r="F82" s="491" t="s">
        <v>2424</v>
      </c>
      <c r="G82" s="491" t="s">
        <v>2425</v>
      </c>
      <c r="H82" s="491"/>
      <c r="I82" s="491"/>
      <c r="J82" s="491"/>
      <c r="K82" s="491"/>
      <c r="L82" s="491"/>
      <c r="M82" s="1285"/>
      <c r="N82" s="1059"/>
      <c r="O82" s="1059"/>
      <c r="P82" s="2100"/>
      <c r="Q82" s="456"/>
    </row>
    <row r="83" spans="1:17" ht="15.75" thickBot="1">
      <c r="A83" s="486"/>
      <c r="B83" s="498"/>
      <c r="C83" s="611">
        <v>100</v>
      </c>
      <c r="D83" s="611">
        <f>C83-$K21</f>
        <v>98</v>
      </c>
      <c r="E83" s="611">
        <f t="shared" ref="E83:G83" si="24">D83-$K21</f>
        <v>96</v>
      </c>
      <c r="F83" s="611">
        <f t="shared" si="24"/>
        <v>94</v>
      </c>
      <c r="G83" s="611">
        <f t="shared" si="24"/>
        <v>92</v>
      </c>
      <c r="H83" s="611"/>
      <c r="I83" s="611"/>
      <c r="J83" s="611"/>
      <c r="K83" s="611"/>
      <c r="L83" s="611"/>
      <c r="M83" s="404"/>
      <c r="N83" s="1059"/>
      <c r="O83" s="1059"/>
      <c r="P83" s="2100"/>
      <c r="Q83" s="456"/>
    </row>
    <row r="84" spans="1:17" ht="15.75" thickTop="1">
      <c r="A84" s="486"/>
      <c r="B84" s="490" t="s">
        <v>2426</v>
      </c>
      <c r="C84" s="530" t="s">
        <v>2414</v>
      </c>
      <c r="D84" s="530" t="s">
        <v>2415</v>
      </c>
      <c r="E84" s="530" t="s">
        <v>2416</v>
      </c>
      <c r="F84" s="530" t="s">
        <v>2417</v>
      </c>
      <c r="G84" s="530" t="s">
        <v>2418</v>
      </c>
      <c r="H84" s="491"/>
      <c r="I84" s="491"/>
      <c r="J84" s="491"/>
      <c r="K84" s="492"/>
      <c r="L84" s="493"/>
      <c r="M84" s="494"/>
      <c r="N84" s="1058"/>
      <c r="O84" s="1058"/>
      <c r="P84" s="2100"/>
      <c r="Q84" s="456"/>
    </row>
    <row r="85" spans="1:17" ht="15.75" thickBot="1">
      <c r="A85" s="486"/>
      <c r="B85" s="495"/>
      <c r="C85" s="496">
        <v>100</v>
      </c>
      <c r="D85" s="496">
        <f>C85-$K23</f>
        <v>98</v>
      </c>
      <c r="E85" s="496">
        <f>D85-$K23</f>
        <v>96</v>
      </c>
      <c r="F85" s="496">
        <f>E85-$K23</f>
        <v>94</v>
      </c>
      <c r="G85" s="496">
        <f>F85-$K23</f>
        <v>92</v>
      </c>
      <c r="H85" s="496"/>
      <c r="I85" s="496"/>
      <c r="J85" s="496"/>
      <c r="K85" s="496"/>
      <c r="L85" s="496"/>
      <c r="M85" s="497"/>
      <c r="N85" s="1059"/>
      <c r="O85" s="1059"/>
      <c r="P85" s="2100"/>
      <c r="Q85" s="456"/>
    </row>
    <row r="86" spans="1:17" s="108" customFormat="1" ht="15.75" thickTop="1">
      <c r="A86" s="531"/>
      <c r="B86" s="490" t="s">
        <v>2427</v>
      </c>
      <c r="C86" s="506"/>
      <c r="D86" s="506"/>
      <c r="E86" s="506"/>
      <c r="F86" s="506"/>
      <c r="G86" s="506"/>
      <c r="H86" s="506"/>
      <c r="I86" s="506"/>
      <c r="J86" s="506"/>
      <c r="K86" s="506"/>
      <c r="L86" s="532"/>
      <c r="M86" s="533"/>
      <c r="N86" s="1057"/>
      <c r="O86" s="1057"/>
      <c r="P86" s="2100"/>
      <c r="Q86" s="456"/>
    </row>
    <row r="87" spans="1:17" s="108" customFormat="1" ht="15.75" thickBot="1">
      <c r="A87" s="531"/>
      <c r="B87" s="495"/>
      <c r="C87" s="534">
        <v>100</v>
      </c>
      <c r="D87" s="496">
        <f t="shared" ref="D87:M87" si="25">$C$87-($C$86-D86)*$K$25</f>
        <v>100</v>
      </c>
      <c r="E87" s="496">
        <f t="shared" si="25"/>
        <v>100</v>
      </c>
      <c r="F87" s="496">
        <f t="shared" si="25"/>
        <v>100</v>
      </c>
      <c r="G87" s="496">
        <f t="shared" si="25"/>
        <v>100</v>
      </c>
      <c r="H87" s="496">
        <f t="shared" si="25"/>
        <v>100</v>
      </c>
      <c r="I87" s="496">
        <f t="shared" si="25"/>
        <v>100</v>
      </c>
      <c r="J87" s="496">
        <f t="shared" si="25"/>
        <v>100</v>
      </c>
      <c r="K87" s="496">
        <f t="shared" si="25"/>
        <v>100</v>
      </c>
      <c r="L87" s="496">
        <f t="shared" si="25"/>
        <v>100</v>
      </c>
      <c r="M87" s="496">
        <f t="shared" si="25"/>
        <v>100</v>
      </c>
      <c r="N87" s="1059"/>
      <c r="O87" s="1059"/>
      <c r="P87" s="2100"/>
      <c r="Q87" s="456"/>
    </row>
    <row r="88" spans="1:17" s="108" customFormat="1" ht="15.75" thickTop="1">
      <c r="A88" s="531"/>
      <c r="B88" s="490" t="s">
        <v>2428</v>
      </c>
      <c r="C88" s="506"/>
      <c r="D88" s="506"/>
      <c r="E88" s="506"/>
      <c r="F88" s="2105"/>
      <c r="G88" s="506"/>
      <c r="H88" s="506"/>
      <c r="I88" s="506"/>
      <c r="J88" s="506"/>
      <c r="K88" s="506"/>
      <c r="L88" s="506"/>
      <c r="M88" s="533"/>
      <c r="N88" s="1057"/>
      <c r="O88" s="1057"/>
      <c r="P88" s="2100"/>
      <c r="Q88" s="456"/>
    </row>
    <row r="89" spans="1:17" s="108" customFormat="1" ht="15.75" thickBot="1">
      <c r="A89" s="531"/>
      <c r="B89" s="495"/>
      <c r="C89" s="534">
        <v>100</v>
      </c>
      <c r="D89" s="496">
        <f t="shared" ref="D89:M89" si="26">C89-$K26</f>
        <v>100</v>
      </c>
      <c r="E89" s="496">
        <f t="shared" si="26"/>
        <v>100</v>
      </c>
      <c r="F89" s="496">
        <f t="shared" si="26"/>
        <v>100</v>
      </c>
      <c r="G89" s="496">
        <f t="shared" si="26"/>
        <v>100</v>
      </c>
      <c r="H89" s="496">
        <f t="shared" si="26"/>
        <v>100</v>
      </c>
      <c r="I89" s="496">
        <f t="shared" si="26"/>
        <v>100</v>
      </c>
      <c r="J89" s="496">
        <f t="shared" si="26"/>
        <v>100</v>
      </c>
      <c r="K89" s="496">
        <f t="shared" si="26"/>
        <v>100</v>
      </c>
      <c r="L89" s="496">
        <f t="shared" si="26"/>
        <v>100</v>
      </c>
      <c r="M89" s="496">
        <f t="shared" si="26"/>
        <v>100</v>
      </c>
      <c r="N89" s="1059"/>
      <c r="O89" s="1059"/>
      <c r="P89" s="2100"/>
      <c r="Q89" s="456"/>
    </row>
    <row r="90" spans="1:17" s="425" customFormat="1" ht="15.75" thickTop="1">
      <c r="A90" s="505"/>
      <c r="B90" s="490">
        <f>B27</f>
        <v>111</v>
      </c>
      <c r="C90" s="506"/>
      <c r="D90" s="506"/>
      <c r="E90" s="506"/>
      <c r="F90" s="506"/>
      <c r="G90" s="506"/>
      <c r="H90" s="507"/>
      <c r="I90" s="507"/>
      <c r="J90" s="507"/>
      <c r="K90" s="507"/>
      <c r="L90" s="508"/>
      <c r="M90" s="509"/>
      <c r="N90" s="1060"/>
      <c r="O90" s="1060"/>
      <c r="P90" s="2101"/>
      <c r="Q90" s="511"/>
    </row>
    <row r="91" spans="1:17" s="425" customFormat="1" ht="15.75" thickBot="1">
      <c r="A91" s="505"/>
      <c r="B91" s="495"/>
      <c r="C91" s="512"/>
      <c r="D91" s="512"/>
      <c r="E91" s="512"/>
      <c r="F91" s="512"/>
      <c r="G91" s="512"/>
      <c r="H91" s="514"/>
      <c r="I91" s="514"/>
      <c r="J91" s="514"/>
      <c r="K91" s="514"/>
      <c r="L91" s="514"/>
      <c r="M91" s="515"/>
      <c r="N91" s="1060"/>
      <c r="O91" s="1060"/>
      <c r="P91" s="2101"/>
      <c r="Q91" s="511"/>
    </row>
    <row r="92" spans="1:17" ht="15.75" thickTop="1">
      <c r="A92" s="486"/>
      <c r="B92" s="490">
        <f>B28</f>
        <v>111</v>
      </c>
      <c r="C92" s="506"/>
      <c r="D92" s="506"/>
      <c r="E92" s="506"/>
      <c r="F92" s="506"/>
      <c r="G92" s="535"/>
      <c r="H92" s="535"/>
      <c r="I92" s="535"/>
      <c r="J92" s="535"/>
      <c r="K92" s="536"/>
      <c r="L92" s="537"/>
      <c r="M92" s="538"/>
      <c r="N92" s="1058"/>
      <c r="O92" s="1058"/>
      <c r="P92" s="2100"/>
      <c r="Q92" s="456"/>
    </row>
    <row r="93" spans="1:17" ht="15.75" thickBot="1">
      <c r="A93" s="486"/>
      <c r="B93" s="495"/>
      <c r="C93" s="512"/>
      <c r="D93" s="488"/>
      <c r="E93" s="488"/>
      <c r="F93" s="488"/>
      <c r="G93" s="488"/>
      <c r="H93" s="488"/>
      <c r="I93" s="488"/>
      <c r="J93" s="488"/>
      <c r="K93" s="488"/>
      <c r="L93" s="488"/>
      <c r="M93" s="489"/>
      <c r="N93" s="1059"/>
      <c r="O93" s="1059"/>
      <c r="P93" s="2100"/>
      <c r="Q93" s="456"/>
    </row>
    <row r="94" spans="1:17" ht="15.75" thickTop="1">
      <c r="A94" s="486"/>
      <c r="B94" s="490">
        <f>B29</f>
        <v>111</v>
      </c>
      <c r="C94" s="506"/>
      <c r="D94" s="506"/>
      <c r="E94" s="506"/>
      <c r="F94" s="506"/>
      <c r="G94" s="535"/>
      <c r="H94" s="535"/>
      <c r="I94" s="535"/>
      <c r="J94" s="535"/>
      <c r="K94" s="536"/>
      <c r="L94" s="537"/>
      <c r="M94" s="538"/>
      <c r="N94" s="1058"/>
      <c r="O94" s="1058"/>
      <c r="P94" s="2100"/>
      <c r="Q94" s="456"/>
    </row>
    <row r="95" spans="1:17" ht="15.75" thickBot="1">
      <c r="A95" s="486"/>
      <c r="B95" s="495"/>
      <c r="C95" s="512"/>
      <c r="D95" s="512"/>
      <c r="E95" s="512"/>
      <c r="F95" s="512"/>
      <c r="G95" s="488"/>
      <c r="H95" s="488"/>
      <c r="I95" s="488"/>
      <c r="J95" s="488"/>
      <c r="K95" s="488"/>
      <c r="L95" s="488"/>
      <c r="M95" s="489"/>
      <c r="N95" s="1059"/>
      <c r="O95" s="1059"/>
      <c r="P95" s="2100"/>
      <c r="Q95" s="456"/>
    </row>
    <row r="96" spans="1:17" ht="15.75" thickTop="1">
      <c r="A96" s="486"/>
      <c r="B96" s="490">
        <f>B30</f>
        <v>111</v>
      </c>
      <c r="C96" s="506"/>
      <c r="D96" s="506"/>
      <c r="E96" s="506"/>
      <c r="F96" s="506"/>
      <c r="G96" s="535"/>
      <c r="H96" s="535"/>
      <c r="I96" s="535"/>
      <c r="J96" s="535"/>
      <c r="K96" s="536"/>
      <c r="L96" s="537"/>
      <c r="M96" s="538"/>
      <c r="N96" s="1058"/>
      <c r="O96" s="1058"/>
      <c r="P96" s="2100"/>
      <c r="Q96" s="456"/>
    </row>
    <row r="97" spans="1:17" ht="15.75" thickBot="1">
      <c r="A97" s="486"/>
      <c r="B97" s="495"/>
      <c r="C97" s="522"/>
      <c r="D97" s="522"/>
      <c r="E97" s="522"/>
      <c r="F97" s="522"/>
      <c r="G97" s="488"/>
      <c r="H97" s="488"/>
      <c r="I97" s="488"/>
      <c r="J97" s="488"/>
      <c r="K97" s="488"/>
      <c r="L97" s="488"/>
      <c r="M97" s="489"/>
      <c r="N97" s="1059"/>
      <c r="O97" s="1059"/>
      <c r="P97" s="2100"/>
      <c r="Q97" s="456"/>
    </row>
    <row r="98" spans="1:17" ht="15.75" thickTop="1">
      <c r="A98" s="486"/>
      <c r="B98" s="498">
        <f>B31</f>
        <v>111</v>
      </c>
      <c r="C98" s="539"/>
      <c r="D98" s="539"/>
      <c r="E98" s="539"/>
      <c r="F98" s="539"/>
      <c r="G98" s="539"/>
      <c r="H98" s="539"/>
      <c r="I98" s="539"/>
      <c r="J98" s="539"/>
      <c r="K98" s="540"/>
      <c r="L98" s="541"/>
      <c r="M98" s="542"/>
      <c r="N98" s="1058"/>
      <c r="O98" s="1058"/>
      <c r="P98" s="2100"/>
      <c r="Q98" s="456"/>
    </row>
    <row r="99" spans="1:17" ht="15.75" thickBot="1">
      <c r="A99" s="2106"/>
      <c r="B99" s="521"/>
      <c r="C99" s="543"/>
      <c r="D99" s="543"/>
      <c r="E99" s="543"/>
      <c r="F99" s="543"/>
      <c r="G99" s="543"/>
      <c r="H99" s="543"/>
      <c r="I99" s="543"/>
      <c r="J99" s="543"/>
      <c r="K99" s="543"/>
      <c r="L99" s="543"/>
      <c r="M99" s="544"/>
      <c r="N99" s="1059"/>
      <c r="O99" s="1059"/>
      <c r="P99" s="2100"/>
      <c r="Q99" s="456"/>
    </row>
    <row r="100" spans="1:17">
      <c r="A100" s="479" t="s">
        <v>2380</v>
      </c>
      <c r="B100" s="480" t="s">
        <v>2429</v>
      </c>
      <c r="C100" s="3090" t="s">
        <v>3484</v>
      </c>
      <c r="D100" s="3090" t="s">
        <v>3486</v>
      </c>
      <c r="E100" s="3090" t="s">
        <v>3481</v>
      </c>
      <c r="F100" s="482"/>
      <c r="G100" s="482"/>
      <c r="H100" s="482"/>
      <c r="I100" s="482"/>
      <c r="J100" s="482"/>
      <c r="K100" s="483"/>
      <c r="L100" s="484"/>
      <c r="M100" s="485"/>
      <c r="N100" s="1058"/>
      <c r="O100" s="1058"/>
      <c r="P100" s="2100"/>
      <c r="Q100" s="456"/>
    </row>
    <row r="101" spans="1:17" ht="15.75" thickBot="1">
      <c r="A101" s="486"/>
      <c r="B101" s="495"/>
      <c r="C101" s="496">
        <v>100</v>
      </c>
      <c r="D101" s="496">
        <f t="shared" ref="D101:M101" si="27">C101-$K32</f>
        <v>90</v>
      </c>
      <c r="E101" s="496">
        <f t="shared" si="27"/>
        <v>80</v>
      </c>
      <c r="F101" s="496">
        <f t="shared" si="27"/>
        <v>70</v>
      </c>
      <c r="G101" s="496">
        <f t="shared" si="27"/>
        <v>60</v>
      </c>
      <c r="H101" s="496">
        <f t="shared" si="27"/>
        <v>50</v>
      </c>
      <c r="I101" s="496">
        <f t="shared" si="27"/>
        <v>40</v>
      </c>
      <c r="J101" s="496">
        <f t="shared" si="27"/>
        <v>30</v>
      </c>
      <c r="K101" s="496">
        <f t="shared" si="27"/>
        <v>20</v>
      </c>
      <c r="L101" s="496">
        <f t="shared" si="27"/>
        <v>10</v>
      </c>
      <c r="M101" s="496">
        <f t="shared" si="27"/>
        <v>0</v>
      </c>
      <c r="N101" s="1059"/>
      <c r="O101" s="1059"/>
      <c r="P101" s="2100"/>
      <c r="Q101" s="456"/>
    </row>
    <row r="102" spans="1:17" ht="29.25" thickTop="1">
      <c r="A102" s="486"/>
      <c r="B102" s="490" t="s">
        <v>2430</v>
      </c>
      <c r="C102" s="530" t="str">
        <f>C103&amp;"(含)"&amp;"-"&amp;D103</f>
        <v>0(含)-50000</v>
      </c>
      <c r="D102" s="530" t="str">
        <f t="shared" ref="D102:L102" si="28">D103&amp;"(含)"&amp;"-"&amp;E103</f>
        <v>50000(含)-100000</v>
      </c>
      <c r="E102" s="530" t="str">
        <f t="shared" si="28"/>
        <v>100000(含)-150000</v>
      </c>
      <c r="F102" s="530" t="str">
        <f t="shared" si="28"/>
        <v>150000(含)-200000</v>
      </c>
      <c r="G102" s="530" t="str">
        <f t="shared" si="28"/>
        <v>200000(含)-</v>
      </c>
      <c r="H102" s="530" t="str">
        <f t="shared" si="28"/>
        <v>(含)-</v>
      </c>
      <c r="I102" s="530" t="str">
        <f t="shared" si="28"/>
        <v>(含)-</v>
      </c>
      <c r="J102" s="530" t="str">
        <f t="shared" si="28"/>
        <v>(含)-</v>
      </c>
      <c r="K102" s="530" t="str">
        <f>K103&amp;"(含)"&amp;"-"&amp;L103</f>
        <v>(含)-</v>
      </c>
      <c r="L102" s="530" t="str">
        <f t="shared" si="28"/>
        <v>(含)-</v>
      </c>
      <c r="M102" s="530" t="str">
        <f>M103&amp;"(含)"&amp;"-"&amp;P103</f>
        <v>(含)-</v>
      </c>
      <c r="N102" s="1057"/>
      <c r="O102" s="1057"/>
      <c r="P102" s="2100"/>
      <c r="Q102" s="456"/>
    </row>
    <row r="103" spans="1:17" s="425" customFormat="1">
      <c r="A103" s="545"/>
      <c r="B103" s="546"/>
      <c r="C103" s="547">
        <v>0</v>
      </c>
      <c r="D103" s="547">
        <v>50000</v>
      </c>
      <c r="E103" s="547">
        <v>100000</v>
      </c>
      <c r="F103" s="547">
        <v>150000</v>
      </c>
      <c r="G103" s="547">
        <v>200000</v>
      </c>
      <c r="H103" s="547"/>
      <c r="I103" s="547"/>
      <c r="J103" s="548"/>
      <c r="K103" s="548"/>
      <c r="L103" s="549"/>
      <c r="M103" s="550"/>
      <c r="N103" s="1060"/>
      <c r="O103" s="1060"/>
      <c r="P103" s="2101"/>
      <c r="Q103" s="511"/>
    </row>
    <row r="104" spans="1:17" s="425" customFormat="1" ht="15.75" thickBot="1">
      <c r="A104" s="505"/>
      <c r="B104" s="495"/>
      <c r="C104" s="512">
        <v>100</v>
      </c>
      <c r="D104" s="488">
        <v>102</v>
      </c>
      <c r="E104" s="488">
        <v>104</v>
      </c>
      <c r="F104" s="488">
        <v>106</v>
      </c>
      <c r="G104" s="488">
        <v>108</v>
      </c>
      <c r="H104" s="488"/>
      <c r="I104" s="488"/>
      <c r="J104" s="488"/>
      <c r="K104" s="488"/>
      <c r="L104" s="488"/>
      <c r="M104" s="488"/>
      <c r="N104" s="1059"/>
      <c r="O104" s="1059"/>
      <c r="P104" s="2101"/>
      <c r="Q104" s="511"/>
    </row>
    <row r="105" spans="1:17" ht="15" thickTop="1">
      <c r="A105" s="551"/>
      <c r="B105" s="490" t="s">
        <v>2431</v>
      </c>
      <c r="C105" s="3089" t="s">
        <v>3464</v>
      </c>
      <c r="D105" s="506"/>
      <c r="E105" s="535"/>
      <c r="F105" s="535"/>
      <c r="G105" s="535"/>
      <c r="H105" s="535"/>
      <c r="I105" s="535"/>
      <c r="J105" s="535"/>
      <c r="K105" s="536"/>
      <c r="L105" s="537"/>
      <c r="M105" s="538"/>
      <c r="N105" s="1058"/>
      <c r="O105" s="1058"/>
      <c r="P105" s="2100"/>
      <c r="Q105" s="456"/>
    </row>
    <row r="106" spans="1:17" ht="15.75" thickBot="1">
      <c r="A106" s="486"/>
      <c r="B106" s="495"/>
      <c r="C106" s="496">
        <v>100</v>
      </c>
      <c r="D106" s="496">
        <f t="shared" ref="D106:M106" si="29">C106-$K34</f>
        <v>98</v>
      </c>
      <c r="E106" s="496">
        <f t="shared" si="29"/>
        <v>96</v>
      </c>
      <c r="F106" s="496">
        <f t="shared" si="29"/>
        <v>94</v>
      </c>
      <c r="G106" s="496">
        <f t="shared" si="29"/>
        <v>92</v>
      </c>
      <c r="H106" s="496">
        <f t="shared" si="29"/>
        <v>90</v>
      </c>
      <c r="I106" s="496">
        <f t="shared" si="29"/>
        <v>88</v>
      </c>
      <c r="J106" s="496">
        <f t="shared" si="29"/>
        <v>86</v>
      </c>
      <c r="K106" s="496">
        <f t="shared" si="29"/>
        <v>84</v>
      </c>
      <c r="L106" s="496">
        <f t="shared" si="29"/>
        <v>82</v>
      </c>
      <c r="M106" s="496">
        <f t="shared" si="29"/>
        <v>80</v>
      </c>
      <c r="N106" s="1059"/>
      <c r="O106" s="1059"/>
      <c r="P106" s="2100"/>
      <c r="Q106" s="456"/>
    </row>
    <row r="107" spans="1:17" ht="15" thickTop="1">
      <c r="A107" s="551"/>
      <c r="B107" s="490" t="s">
        <v>2432</v>
      </c>
      <c r="C107" s="3088" t="s">
        <v>3466</v>
      </c>
      <c r="D107" s="3088" t="s">
        <v>3467</v>
      </c>
      <c r="E107" s="3088" t="s">
        <v>3468</v>
      </c>
      <c r="F107" s="535"/>
      <c r="G107" s="535"/>
      <c r="H107" s="535"/>
      <c r="I107" s="535"/>
      <c r="J107" s="535"/>
      <c r="K107" s="536"/>
      <c r="L107" s="537"/>
      <c r="M107" s="538"/>
      <c r="N107" s="1058"/>
      <c r="O107" s="1058"/>
      <c r="P107" s="2100"/>
      <c r="Q107" s="456"/>
    </row>
    <row r="108" spans="1:17" ht="15.75" thickBot="1">
      <c r="A108" s="486"/>
      <c r="B108" s="495"/>
      <c r="C108" s="496">
        <v>100</v>
      </c>
      <c r="D108" s="496">
        <f t="shared" ref="D108:M108" si="30">C108-$K35</f>
        <v>98</v>
      </c>
      <c r="E108" s="496">
        <f t="shared" si="30"/>
        <v>96</v>
      </c>
      <c r="F108" s="496">
        <f t="shared" si="30"/>
        <v>94</v>
      </c>
      <c r="G108" s="496">
        <f t="shared" si="30"/>
        <v>92</v>
      </c>
      <c r="H108" s="496">
        <f t="shared" si="30"/>
        <v>90</v>
      </c>
      <c r="I108" s="496">
        <f t="shared" si="30"/>
        <v>88</v>
      </c>
      <c r="J108" s="496">
        <f t="shared" si="30"/>
        <v>86</v>
      </c>
      <c r="K108" s="496">
        <f t="shared" si="30"/>
        <v>84</v>
      </c>
      <c r="L108" s="496">
        <f t="shared" si="30"/>
        <v>82</v>
      </c>
      <c r="M108" s="496">
        <f t="shared" si="30"/>
        <v>80</v>
      </c>
      <c r="N108" s="1059"/>
      <c r="O108" s="1059"/>
      <c r="P108" s="2100"/>
      <c r="Q108" s="456"/>
    </row>
    <row r="109" spans="1:17" ht="15" thickTop="1">
      <c r="A109" s="551"/>
      <c r="B109" s="490" t="s">
        <v>2433</v>
      </c>
      <c r="C109" s="3089" t="s">
        <v>3440</v>
      </c>
      <c r="D109" s="3089" t="s">
        <v>3441</v>
      </c>
      <c r="E109" s="3088" t="s">
        <v>3442</v>
      </c>
      <c r="F109" s="3088" t="s">
        <v>3444</v>
      </c>
      <c r="G109" s="535"/>
      <c r="H109" s="535"/>
      <c r="I109" s="535"/>
      <c r="J109" s="535"/>
      <c r="K109" s="536"/>
      <c r="L109" s="537"/>
      <c r="M109" s="538"/>
      <c r="N109" s="1058"/>
      <c r="O109" s="1058"/>
      <c r="P109" s="2100"/>
      <c r="Q109" s="456"/>
    </row>
    <row r="110" spans="1:17" ht="15.75" thickBot="1">
      <c r="A110" s="486"/>
      <c r="B110" s="495"/>
      <c r="C110" s="496">
        <v>100</v>
      </c>
      <c r="D110" s="496">
        <f t="shared" ref="D110:M110" si="31">C110-$K36</f>
        <v>100</v>
      </c>
      <c r="E110" s="496">
        <f t="shared" si="31"/>
        <v>100</v>
      </c>
      <c r="F110" s="496">
        <f t="shared" si="31"/>
        <v>100</v>
      </c>
      <c r="G110" s="496">
        <f t="shared" si="31"/>
        <v>100</v>
      </c>
      <c r="H110" s="496">
        <f t="shared" si="31"/>
        <v>100</v>
      </c>
      <c r="I110" s="496">
        <f t="shared" si="31"/>
        <v>100</v>
      </c>
      <c r="J110" s="496">
        <f t="shared" si="31"/>
        <v>100</v>
      </c>
      <c r="K110" s="496">
        <f t="shared" si="31"/>
        <v>100</v>
      </c>
      <c r="L110" s="496">
        <f t="shared" si="31"/>
        <v>100</v>
      </c>
      <c r="M110" s="496">
        <f t="shared" si="31"/>
        <v>100</v>
      </c>
      <c r="N110" s="1059"/>
      <c r="O110" s="1059"/>
      <c r="P110" s="2100"/>
      <c r="Q110" s="456"/>
    </row>
    <row r="111" spans="1:17" s="425" customFormat="1" ht="15" thickTop="1">
      <c r="A111" s="545"/>
      <c r="B111" s="490" t="s">
        <v>1875</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60"/>
      <c r="O111" s="1060"/>
      <c r="P111" s="2101"/>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60"/>
      <c r="O112" s="1060"/>
      <c r="P112" s="2101"/>
      <c r="Q112" s="511"/>
    </row>
    <row r="113" spans="1:17" s="425" customFormat="1" ht="15.75" thickBot="1">
      <c r="A113" s="505"/>
      <c r="B113" s="495"/>
      <c r="C113" s="534">
        <v>100</v>
      </c>
      <c r="D113" s="496">
        <f>C113+$K37</f>
        <v>102</v>
      </c>
      <c r="E113" s="496">
        <f>D113+$K37</f>
        <v>104</v>
      </c>
      <c r="F113" s="496">
        <f>E113+$K37</f>
        <v>106</v>
      </c>
      <c r="G113" s="496">
        <f>F113+$K37</f>
        <v>108</v>
      </c>
      <c r="H113" s="496">
        <f>G113+$K37</f>
        <v>110</v>
      </c>
      <c r="I113" s="534"/>
      <c r="J113" s="559"/>
      <c r="K113" s="559"/>
      <c r="L113" s="559"/>
      <c r="M113" s="560"/>
      <c r="N113" s="1060"/>
      <c r="O113" s="1060"/>
      <c r="P113" s="2101"/>
      <c r="Q113" s="511"/>
    </row>
    <row r="114" spans="1:17" ht="15" thickTop="1">
      <c r="A114" s="551"/>
      <c r="B114" s="490" t="s">
        <v>2434</v>
      </c>
      <c r="C114" s="3089" t="s">
        <v>3469</v>
      </c>
      <c r="D114" s="3089" t="s">
        <v>3423</v>
      </c>
      <c r="E114" s="535"/>
      <c r="F114" s="535"/>
      <c r="G114" s="535"/>
      <c r="H114" s="535"/>
      <c r="I114" s="535"/>
      <c r="J114" s="535"/>
      <c r="K114" s="536"/>
      <c r="L114" s="537"/>
      <c r="M114" s="538"/>
      <c r="N114" s="1058"/>
      <c r="O114" s="1058"/>
      <c r="P114" s="2100"/>
      <c r="Q114" s="456"/>
    </row>
    <row r="115" spans="1:17" ht="15.75" thickBot="1">
      <c r="A115" s="486"/>
      <c r="B115" s="495"/>
      <c r="C115" s="496">
        <v>100</v>
      </c>
      <c r="D115" s="496">
        <f t="shared" ref="D115:M115" si="32">C115-$K38</f>
        <v>98</v>
      </c>
      <c r="E115" s="496">
        <f t="shared" si="32"/>
        <v>96</v>
      </c>
      <c r="F115" s="496">
        <f t="shared" si="32"/>
        <v>94</v>
      </c>
      <c r="G115" s="496">
        <f t="shared" si="32"/>
        <v>92</v>
      </c>
      <c r="H115" s="496">
        <f t="shared" si="32"/>
        <v>90</v>
      </c>
      <c r="I115" s="496">
        <f t="shared" si="32"/>
        <v>88</v>
      </c>
      <c r="J115" s="496">
        <f t="shared" si="32"/>
        <v>86</v>
      </c>
      <c r="K115" s="496">
        <f t="shared" si="32"/>
        <v>84</v>
      </c>
      <c r="L115" s="496">
        <f t="shared" si="32"/>
        <v>82</v>
      </c>
      <c r="M115" s="496">
        <f t="shared" si="32"/>
        <v>80</v>
      </c>
      <c r="N115" s="1059"/>
      <c r="O115" s="1059"/>
      <c r="P115" s="2100"/>
      <c r="Q115" s="456"/>
    </row>
    <row r="116" spans="1:17" ht="15" thickTop="1">
      <c r="A116" s="551"/>
      <c r="B116" s="490" t="s">
        <v>2435</v>
      </c>
      <c r="C116" s="506"/>
      <c r="D116" s="506"/>
      <c r="E116" s="506"/>
      <c r="F116" s="506"/>
      <c r="G116" s="506"/>
      <c r="H116" s="535"/>
      <c r="I116" s="535"/>
      <c r="J116" s="535"/>
      <c r="K116" s="536"/>
      <c r="L116" s="537"/>
      <c r="M116" s="538"/>
      <c r="N116" s="1058"/>
      <c r="O116" s="1058"/>
      <c r="P116" s="2100"/>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1059"/>
      <c r="O117" s="1059"/>
      <c r="P117" s="2100"/>
      <c r="Q117" s="456"/>
    </row>
    <row r="118" spans="1:17" ht="15" thickTop="1">
      <c r="A118" s="551"/>
      <c r="B118" s="490" t="s">
        <v>2436</v>
      </c>
      <c r="C118" s="535"/>
      <c r="D118" s="535"/>
      <c r="E118" s="535"/>
      <c r="F118" s="535"/>
      <c r="G118" s="535"/>
      <c r="H118" s="535"/>
      <c r="I118" s="535"/>
      <c r="J118" s="535"/>
      <c r="K118" s="536"/>
      <c r="L118" s="537"/>
      <c r="M118" s="538"/>
      <c r="N118" s="1058"/>
      <c r="O118" s="1058"/>
      <c r="P118" s="2100"/>
      <c r="Q118" s="456"/>
    </row>
    <row r="119" spans="1:17" ht="15.75" thickBot="1">
      <c r="A119" s="486"/>
      <c r="B119" s="495"/>
      <c r="C119" s="496">
        <v>100</v>
      </c>
      <c r="D119" s="496">
        <f t="shared" ref="D119:M119" si="33">C119-$K40</f>
        <v>100</v>
      </c>
      <c r="E119" s="496">
        <f t="shared" si="33"/>
        <v>100</v>
      </c>
      <c r="F119" s="496">
        <f t="shared" si="33"/>
        <v>100</v>
      </c>
      <c r="G119" s="496">
        <f t="shared" si="33"/>
        <v>100</v>
      </c>
      <c r="H119" s="496">
        <f t="shared" si="33"/>
        <v>100</v>
      </c>
      <c r="I119" s="496">
        <f t="shared" si="33"/>
        <v>100</v>
      </c>
      <c r="J119" s="496">
        <f t="shared" si="33"/>
        <v>100</v>
      </c>
      <c r="K119" s="496">
        <f t="shared" si="33"/>
        <v>100</v>
      </c>
      <c r="L119" s="496">
        <f t="shared" si="33"/>
        <v>100</v>
      </c>
      <c r="M119" s="496">
        <f t="shared" si="33"/>
        <v>100</v>
      </c>
      <c r="N119" s="1059"/>
      <c r="O119" s="1059"/>
      <c r="P119" s="2100"/>
      <c r="Q119" s="456"/>
    </row>
    <row r="120" spans="1:17" s="425" customFormat="1" ht="28.5" thickTop="1">
      <c r="A120" s="545"/>
      <c r="B120" s="490" t="s">
        <v>2391</v>
      </c>
      <c r="C120" s="506"/>
      <c r="D120" s="506"/>
      <c r="E120" s="506"/>
      <c r="F120" s="506"/>
      <c r="G120" s="506"/>
      <c r="H120" s="506"/>
      <c r="I120" s="506"/>
      <c r="J120" s="506"/>
      <c r="K120" s="506"/>
      <c r="L120" s="532"/>
      <c r="M120" s="533"/>
      <c r="N120" s="1060"/>
      <c r="O120" s="1060"/>
      <c r="P120" s="2101"/>
      <c r="Q120" s="511"/>
    </row>
    <row r="121" spans="1:17" s="425" customFormat="1" ht="15.75" thickBot="1">
      <c r="A121" s="505"/>
      <c r="B121" s="487"/>
      <c r="C121" s="512"/>
      <c r="D121" s="488"/>
      <c r="E121" s="488"/>
      <c r="F121" s="488"/>
      <c r="G121" s="488"/>
      <c r="H121" s="488"/>
      <c r="I121" s="488"/>
      <c r="J121" s="488"/>
      <c r="K121" s="488"/>
      <c r="L121" s="488"/>
      <c r="M121" s="488"/>
      <c r="N121" s="1060"/>
      <c r="O121" s="1060"/>
      <c r="P121" s="2101"/>
      <c r="Q121" s="511"/>
    </row>
    <row r="122" spans="1:17" ht="15" thickTop="1">
      <c r="A122" s="551"/>
      <c r="B122" s="490" t="s">
        <v>2437</v>
      </c>
      <c r="C122" s="3089" t="s">
        <v>3440</v>
      </c>
      <c r="D122" s="3089" t="s">
        <v>3441</v>
      </c>
      <c r="E122" s="3088" t="s">
        <v>3442</v>
      </c>
      <c r="F122" s="3088" t="s">
        <v>3444</v>
      </c>
      <c r="G122" s="535"/>
      <c r="H122" s="535"/>
      <c r="I122" s="535"/>
      <c r="J122" s="535"/>
      <c r="K122" s="536"/>
      <c r="L122" s="537"/>
      <c r="M122" s="538"/>
      <c r="N122" s="1058"/>
      <c r="O122" s="1058"/>
      <c r="P122" s="2100"/>
      <c r="Q122" s="456"/>
    </row>
    <row r="123" spans="1:17" ht="15.75" thickBot="1">
      <c r="A123" s="486"/>
      <c r="B123" s="495"/>
      <c r="C123" s="496">
        <v>100</v>
      </c>
      <c r="D123" s="496">
        <f t="shared" ref="D123:M123" si="34">C123-$K42</f>
        <v>97</v>
      </c>
      <c r="E123" s="496">
        <f t="shared" si="34"/>
        <v>94</v>
      </c>
      <c r="F123" s="496">
        <f t="shared" si="34"/>
        <v>91</v>
      </c>
      <c r="G123" s="496">
        <f t="shared" si="34"/>
        <v>88</v>
      </c>
      <c r="H123" s="496">
        <f t="shared" si="34"/>
        <v>85</v>
      </c>
      <c r="I123" s="496">
        <f t="shared" si="34"/>
        <v>82</v>
      </c>
      <c r="J123" s="496">
        <f t="shared" si="34"/>
        <v>79</v>
      </c>
      <c r="K123" s="496">
        <f t="shared" si="34"/>
        <v>76</v>
      </c>
      <c r="L123" s="496">
        <f t="shared" si="34"/>
        <v>73</v>
      </c>
      <c r="M123" s="496">
        <f t="shared" si="34"/>
        <v>70</v>
      </c>
      <c r="N123" s="1059"/>
      <c r="O123" s="1059"/>
      <c r="P123" s="2100"/>
      <c r="Q123" s="456"/>
    </row>
    <row r="124" spans="1:17" ht="15" thickTop="1">
      <c r="A124" s="551"/>
      <c r="B124" s="490" t="s">
        <v>2438</v>
      </c>
      <c r="C124" s="530" t="s">
        <v>2414</v>
      </c>
      <c r="D124" s="530" t="s">
        <v>2415</v>
      </c>
      <c r="E124" s="530" t="s">
        <v>2416</v>
      </c>
      <c r="F124" s="530" t="s">
        <v>2417</v>
      </c>
      <c r="G124" s="530" t="s">
        <v>2418</v>
      </c>
      <c r="H124" s="491"/>
      <c r="I124" s="491"/>
      <c r="J124" s="491"/>
      <c r="K124" s="492"/>
      <c r="L124" s="493"/>
      <c r="M124" s="494"/>
      <c r="N124" s="1058"/>
      <c r="O124" s="1058"/>
      <c r="P124" s="2101"/>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1059"/>
      <c r="O125" s="1059"/>
      <c r="P125" s="2100"/>
      <c r="Q125" s="456"/>
    </row>
    <row r="126" spans="1:17" s="425" customFormat="1" ht="15" thickTop="1">
      <c r="A126" s="545"/>
      <c r="B126" s="490">
        <f>B44</f>
        <v>111</v>
      </c>
      <c r="C126" s="506"/>
      <c r="D126" s="506"/>
      <c r="E126" s="506"/>
      <c r="F126" s="506"/>
      <c r="G126" s="506"/>
      <c r="H126" s="507"/>
      <c r="I126" s="507"/>
      <c r="J126" s="507"/>
      <c r="K126" s="507"/>
      <c r="L126" s="508"/>
      <c r="M126" s="509"/>
      <c r="N126" s="1060"/>
      <c r="O126" s="1060"/>
      <c r="P126" s="2101"/>
      <c r="Q126" s="511"/>
    </row>
    <row r="127" spans="1:17" s="425" customFormat="1" ht="15.75" thickBot="1">
      <c r="A127" s="505"/>
      <c r="B127" s="495"/>
      <c r="C127" s="512"/>
      <c r="D127" s="488"/>
      <c r="E127" s="488"/>
      <c r="F127" s="488"/>
      <c r="G127" s="512"/>
      <c r="H127" s="514"/>
      <c r="I127" s="514"/>
      <c r="J127" s="514"/>
      <c r="K127" s="514"/>
      <c r="L127" s="514"/>
      <c r="M127" s="515"/>
      <c r="N127" s="1060"/>
      <c r="O127" s="1060"/>
      <c r="P127" s="2101"/>
      <c r="Q127" s="511"/>
    </row>
    <row r="128" spans="1:17" ht="15" thickTop="1">
      <c r="A128" s="551"/>
      <c r="B128" s="490">
        <f>B45</f>
        <v>111</v>
      </c>
      <c r="C128" s="506"/>
      <c r="D128" s="506"/>
      <c r="E128" s="506"/>
      <c r="F128" s="506"/>
      <c r="G128" s="535"/>
      <c r="H128" s="535"/>
      <c r="I128" s="535"/>
      <c r="J128" s="535"/>
      <c r="K128" s="536"/>
      <c r="L128" s="537"/>
      <c r="M128" s="538"/>
      <c r="N128" s="1058"/>
      <c r="O128" s="1058"/>
      <c r="P128" s="2100"/>
      <c r="Q128" s="456"/>
    </row>
    <row r="129" spans="1:17" ht="15.75" thickBot="1">
      <c r="A129" s="486"/>
      <c r="B129" s="495"/>
      <c r="C129" s="512"/>
      <c r="D129" s="512"/>
      <c r="E129" s="512"/>
      <c r="F129" s="512"/>
      <c r="G129" s="488"/>
      <c r="H129" s="488"/>
      <c r="I129" s="488"/>
      <c r="J129" s="488"/>
      <c r="K129" s="488"/>
      <c r="L129" s="488"/>
      <c r="M129" s="489"/>
      <c r="N129" s="1059"/>
      <c r="O129" s="1059"/>
      <c r="P129" s="2100"/>
      <c r="Q129" s="456"/>
    </row>
    <row r="130" spans="1:17" ht="15" thickTop="1">
      <c r="A130" s="551"/>
      <c r="B130" s="498">
        <f>B46</f>
        <v>111</v>
      </c>
      <c r="C130" s="506"/>
      <c r="D130" s="506"/>
      <c r="E130" s="506"/>
      <c r="F130" s="506"/>
      <c r="G130" s="539"/>
      <c r="H130" s="539"/>
      <c r="I130" s="539"/>
      <c r="J130" s="539"/>
      <c r="K130" s="475"/>
      <c r="L130" s="476"/>
      <c r="M130" s="542"/>
      <c r="N130" s="1058"/>
      <c r="O130" s="1058"/>
      <c r="P130" s="2100"/>
      <c r="Q130" s="456"/>
    </row>
    <row r="131" spans="1:17" ht="15.75" thickBot="1">
      <c r="A131" s="2106"/>
      <c r="B131" s="521"/>
      <c r="C131" s="522"/>
      <c r="D131" s="522"/>
      <c r="E131" s="522"/>
      <c r="F131" s="522"/>
      <c r="G131" s="543"/>
      <c r="H131" s="543"/>
      <c r="I131" s="543"/>
      <c r="J131" s="543"/>
      <c r="K131" s="543"/>
      <c r="L131" s="543"/>
      <c r="M131" s="544"/>
      <c r="N131" s="1059"/>
      <c r="O131" s="1059"/>
      <c r="P131" s="2100"/>
      <c r="Q131" s="456"/>
    </row>
    <row r="136" spans="1:17" ht="15" thickBot="1">
      <c r="B136" s="2107" t="s">
        <v>2439</v>
      </c>
    </row>
    <row r="137" spans="1:17" ht="15">
      <c r="B137" s="2108" t="s">
        <v>2440</v>
      </c>
      <c r="C137" s="2109"/>
      <c r="D137" s="2109"/>
      <c r="E137" s="2109"/>
      <c r="F137" s="2109"/>
      <c r="G137" s="2110"/>
      <c r="H137" s="2111"/>
      <c r="I137" s="2112" t="s">
        <v>2441</v>
      </c>
      <c r="J137" s="2109"/>
      <c r="K137" s="2113"/>
    </row>
    <row r="138" spans="1:17" ht="15">
      <c r="B138" s="2114"/>
      <c r="C138" s="137" t="s">
        <v>2442</v>
      </c>
      <c r="D138" s="137" t="s">
        <v>2443</v>
      </c>
      <c r="E138" s="2115" t="s">
        <v>2444</v>
      </c>
      <c r="F138" s="2116" t="s">
        <v>2445</v>
      </c>
      <c r="G138" s="137" t="s">
        <v>2443</v>
      </c>
      <c r="H138" s="138" t="s">
        <v>2444</v>
      </c>
      <c r="I138" s="2117"/>
      <c r="J138" s="137" t="s">
        <v>2446</v>
      </c>
      <c r="K138" s="138" t="s">
        <v>2447</v>
      </c>
    </row>
    <row r="139" spans="1:17" ht="15">
      <c r="B139" s="992">
        <v>6</v>
      </c>
      <c r="C139" s="993">
        <v>96</v>
      </c>
      <c r="D139" s="2118" t="s">
        <v>2448</v>
      </c>
      <c r="E139" s="994">
        <v>100</v>
      </c>
      <c r="F139" s="995">
        <v>102.5</v>
      </c>
      <c r="G139" s="2118" t="s">
        <v>2448</v>
      </c>
      <c r="H139" s="996">
        <v>105</v>
      </c>
      <c r="I139" s="2119" t="s">
        <v>2449</v>
      </c>
      <c r="J139" s="993">
        <v>20</v>
      </c>
      <c r="K139" s="997">
        <f>C145/(J139-2)</f>
        <v>4.0555555555555553E-3</v>
      </c>
    </row>
    <row r="140" spans="1:17" ht="15">
      <c r="B140" s="998">
        <v>5</v>
      </c>
      <c r="C140" s="999">
        <v>100</v>
      </c>
      <c r="D140" s="999"/>
      <c r="E140" s="1000"/>
      <c r="F140" s="1001">
        <v>102</v>
      </c>
      <c r="G140" s="999"/>
      <c r="H140" s="1002"/>
      <c r="I140" s="2120" t="s">
        <v>2450</v>
      </c>
      <c r="J140" s="272">
        <f>ROUNDUP((J139-1)/2,0)</f>
        <v>10</v>
      </c>
      <c r="K140" s="1003">
        <v>100</v>
      </c>
    </row>
    <row r="141" spans="1:17" ht="15">
      <c r="B141" s="998">
        <v>4</v>
      </c>
      <c r="C141" s="999">
        <v>102</v>
      </c>
      <c r="D141" s="999"/>
      <c r="E141" s="1000"/>
      <c r="F141" s="1001">
        <v>101.5</v>
      </c>
      <c r="G141" s="999"/>
      <c r="H141" s="1002"/>
      <c r="I141" s="2120" t="s">
        <v>2451</v>
      </c>
      <c r="J141" s="272">
        <v>1</v>
      </c>
      <c r="K141" s="1004">
        <f>ROUND(100+(J141-J140)*K139*100,1)</f>
        <v>96.4</v>
      </c>
    </row>
    <row r="142" spans="1:17" ht="15">
      <c r="B142" s="998">
        <v>3</v>
      </c>
      <c r="C142" s="999">
        <v>103</v>
      </c>
      <c r="D142" s="999"/>
      <c r="E142" s="1000"/>
      <c r="F142" s="1001">
        <v>101</v>
      </c>
      <c r="G142" s="999"/>
      <c r="H142" s="1002"/>
      <c r="I142" s="2120" t="s">
        <v>2452</v>
      </c>
      <c r="J142" s="272">
        <f>J139</f>
        <v>20</v>
      </c>
      <c r="K142" s="1005">
        <v>95</v>
      </c>
    </row>
    <row r="143" spans="1:17" ht="15">
      <c r="B143" s="998">
        <v>2</v>
      </c>
      <c r="C143" s="999">
        <v>100</v>
      </c>
      <c r="D143" s="999"/>
      <c r="E143" s="1000"/>
      <c r="F143" s="1001">
        <v>100.5</v>
      </c>
      <c r="G143" s="999"/>
      <c r="H143" s="1002"/>
      <c r="I143" s="2120" t="s">
        <v>2453</v>
      </c>
      <c r="J143" s="999">
        <v>15</v>
      </c>
      <c r="K143" s="1004">
        <f>ROUND(100+(J143-J140)*K139*100,1)</f>
        <v>102</v>
      </c>
    </row>
    <row r="144" spans="1:17" ht="15">
      <c r="B144" s="998">
        <v>1</v>
      </c>
      <c r="C144" s="999">
        <v>98</v>
      </c>
      <c r="D144" s="2121" t="s">
        <v>2454</v>
      </c>
      <c r="E144" s="1000">
        <v>102</v>
      </c>
      <c r="F144" s="1006">
        <v>100</v>
      </c>
      <c r="G144" s="2121" t="s">
        <v>2454</v>
      </c>
      <c r="H144" s="1002">
        <v>105</v>
      </c>
      <c r="I144" s="2120" t="s">
        <v>2453</v>
      </c>
      <c r="J144" s="999">
        <v>18</v>
      </c>
      <c r="K144" s="1004">
        <f>ROUND(100+(J144-J140)*K139*100,1)</f>
        <v>103.2</v>
      </c>
    </row>
    <row r="145" spans="2:11" ht="15.75" thickBot="1">
      <c r="B145" s="2122" t="s">
        <v>2455</v>
      </c>
      <c r="C145" s="1007">
        <f>ROUND(MAX(C139:C144)/MIN(C139:C144)-1,3)</f>
        <v>7.2999999999999995E-2</v>
      </c>
      <c r="D145" s="1008"/>
      <c r="E145" s="1008"/>
      <c r="F145" s="2123" t="s">
        <v>2456</v>
      </c>
      <c r="G145" s="2124"/>
      <c r="H145" s="2125"/>
      <c r="I145" s="2126" t="s">
        <v>2453</v>
      </c>
      <c r="J145" s="1009">
        <v>8</v>
      </c>
      <c r="K145" s="1010">
        <f>ROUND(100+(J145-J140)*K139*100,1)</f>
        <v>99.2</v>
      </c>
    </row>
    <row r="147" spans="2:11">
      <c r="B147" s="2107" t="s">
        <v>2457</v>
      </c>
    </row>
    <row r="148" spans="2:11">
      <c r="B148" s="2107"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90" priority="19" stopIfTrue="1" operator="containsText" text="超过">
      <formula>NOT(ISERROR(SEARCH("超过",F52)))</formula>
    </cfRule>
  </conditionalFormatting>
  <conditionalFormatting sqref="J54">
    <cfRule type="containsText" dxfId="189" priority="18" stopIfTrue="1" operator="containsText" text="超过">
      <formula>NOT(ISERROR(SEARCH("超过",J54)))</formula>
    </cfRule>
  </conditionalFormatting>
  <conditionalFormatting sqref="H54">
    <cfRule type="containsText" dxfId="188" priority="17" stopIfTrue="1" operator="containsText" text="超过">
      <formula>NOT(ISERROR(SEARCH("超过",H54)))</formula>
    </cfRule>
  </conditionalFormatting>
  <conditionalFormatting sqref="F54">
    <cfRule type="containsText" dxfId="187" priority="16" stopIfTrue="1" operator="containsText" text="超过">
      <formula>NOT(ISERROR(SEARCH("超过",F54)))</formula>
    </cfRule>
  </conditionalFormatting>
  <conditionalFormatting sqref="F53 H53 J53">
    <cfRule type="containsText" dxfId="186" priority="15" stopIfTrue="1" operator="containsText" text="超过">
      <formula>NOT(ISERROR(SEARCH("超过",F53)))</formula>
    </cfRule>
  </conditionalFormatting>
  <conditionalFormatting sqref="E52">
    <cfRule type="expression" dxfId="185" priority="14" stopIfTrue="1">
      <formula>$F$52="超过30%"</formula>
    </cfRule>
  </conditionalFormatting>
  <conditionalFormatting sqref="G54">
    <cfRule type="expression" dxfId="184" priority="12" stopIfTrue="1">
      <formula>$H$54="超过30%"</formula>
    </cfRule>
  </conditionalFormatting>
  <conditionalFormatting sqref="E53">
    <cfRule type="expression" dxfId="183" priority="11" stopIfTrue="1">
      <formula>$F$53="超过20%"</formula>
    </cfRule>
  </conditionalFormatting>
  <conditionalFormatting sqref="E54">
    <cfRule type="expression" dxfId="182" priority="10" stopIfTrue="1">
      <formula>$F$54="超过30%"</formula>
    </cfRule>
  </conditionalFormatting>
  <conditionalFormatting sqref="G52">
    <cfRule type="expression" dxfId="181" priority="9" stopIfTrue="1">
      <formula>$H$52="超过30%"</formula>
    </cfRule>
  </conditionalFormatting>
  <conditionalFormatting sqref="G53">
    <cfRule type="expression" dxfId="180" priority="8" stopIfTrue="1">
      <formula>$H$53="超过20%"</formula>
    </cfRule>
  </conditionalFormatting>
  <conditionalFormatting sqref="I52">
    <cfRule type="expression" dxfId="179" priority="7" stopIfTrue="1">
      <formula>$J$52="超过30%"</formula>
    </cfRule>
  </conditionalFormatting>
  <conditionalFormatting sqref="I53">
    <cfRule type="expression" dxfId="178" priority="6" stopIfTrue="1">
      <formula>$J$53="超过20%"</formula>
    </cfRule>
  </conditionalFormatting>
  <conditionalFormatting sqref="I54">
    <cfRule type="expression" dxfId="177" priority="5" stopIfTrue="1">
      <formula>$J$54="超过30%"</formula>
    </cfRule>
  </conditionalFormatting>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F7:F46 H7:H46 J7:J46">
    <cfRule type="cellIs" dxfId="173"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40"/>
  <sheetViews>
    <sheetView topLeftCell="A13" workbookViewId="0">
      <selection activeCell="D30" sqref="D30"/>
    </sheetView>
  </sheetViews>
  <sheetFormatPr defaultRowHeight="13.5"/>
  <cols>
    <col min="1" max="3" width="9" style="3260"/>
    <col min="4" max="4" width="13.5" style="3260" customWidth="1"/>
    <col min="5" max="9" width="9" style="3260"/>
    <col min="10" max="10" width="9" style="3261"/>
    <col min="14" max="14" width="10.25" style="3075" bestFit="1" customWidth="1"/>
    <col min="17" max="17" width="11.5" customWidth="1"/>
    <col min="18" max="18" width="12.25" customWidth="1"/>
  </cols>
  <sheetData>
    <row r="1" spans="1:19" s="3079" customFormat="1" ht="24">
      <c r="A1" s="3255"/>
      <c r="B1" s="3256" t="s">
        <v>557</v>
      </c>
      <c r="C1" s="3256" t="s">
        <v>3447</v>
      </c>
      <c r="D1" s="3257" t="s">
        <v>3448</v>
      </c>
      <c r="E1" s="3256"/>
      <c r="F1" s="3256"/>
      <c r="G1" s="3256" t="s">
        <v>3471</v>
      </c>
      <c r="H1" s="3256" t="s">
        <v>5687</v>
      </c>
      <c r="I1" s="3256" t="s">
        <v>5688</v>
      </c>
      <c r="J1" s="3258" t="s">
        <v>3449</v>
      </c>
      <c r="K1" s="3256"/>
      <c r="L1" s="3256" t="s">
        <v>3471</v>
      </c>
      <c r="M1" s="3256" t="s">
        <v>3472</v>
      </c>
      <c r="N1" s="3258" t="s">
        <v>3449</v>
      </c>
      <c r="O1" s="3256"/>
      <c r="P1" s="3256"/>
      <c r="Q1" s="3256" t="s">
        <v>3450</v>
      </c>
      <c r="R1" s="3256" t="s">
        <v>3451</v>
      </c>
      <c r="S1" s="3256" t="s">
        <v>3452</v>
      </c>
    </row>
    <row r="2" spans="1:19">
      <c r="A2" s="3264" t="s">
        <v>3453</v>
      </c>
      <c r="B2" s="3265" t="s">
        <v>751</v>
      </c>
      <c r="C2" s="3265">
        <v>46797</v>
      </c>
      <c r="D2" s="3266">
        <v>44197</v>
      </c>
      <c r="E2" s="3265" t="s">
        <v>3454</v>
      </c>
      <c r="F2" s="3265"/>
      <c r="G2" s="3265">
        <v>55145</v>
      </c>
      <c r="H2" s="3265">
        <v>53294</v>
      </c>
      <c r="I2" s="3265">
        <v>53649</v>
      </c>
      <c r="J2" s="3267">
        <v>44562</v>
      </c>
      <c r="K2" s="3105"/>
      <c r="L2" s="3111">
        <v>53172</v>
      </c>
      <c r="M2" s="3105">
        <v>46576</v>
      </c>
      <c r="N2" s="3108">
        <v>44409</v>
      </c>
      <c r="O2" s="3105"/>
      <c r="P2" s="3105"/>
      <c r="Q2" s="3105">
        <v>41193.360000000001</v>
      </c>
      <c r="R2" s="3106">
        <v>43038</v>
      </c>
      <c r="S2" s="3105">
        <v>55583</v>
      </c>
    </row>
    <row r="3" spans="1:19">
      <c r="A3" s="3264"/>
      <c r="B3" s="3265" t="s">
        <v>605</v>
      </c>
      <c r="C3" s="3265">
        <f>车库案例!C15</f>
        <v>35.590000000000003</v>
      </c>
      <c r="D3" s="3266">
        <v>44166</v>
      </c>
      <c r="E3" s="3265"/>
      <c r="F3" s="3265"/>
      <c r="G3" s="3265"/>
      <c r="H3" s="3265"/>
      <c r="I3" s="3265"/>
      <c r="J3" s="3268"/>
      <c r="K3" s="3105"/>
      <c r="L3" s="3105"/>
      <c r="M3" s="3105"/>
      <c r="N3" s="3109"/>
      <c r="O3" s="3105"/>
      <c r="P3" s="3105"/>
      <c r="Q3" s="3105"/>
      <c r="R3" s="3105"/>
      <c r="S3" s="3105"/>
    </row>
    <row r="4" spans="1:19">
      <c r="A4" s="3264"/>
      <c r="B4" s="3265"/>
      <c r="C4" s="3265"/>
      <c r="D4" s="3266"/>
      <c r="E4" s="3265"/>
      <c r="F4" s="3265"/>
      <c r="G4" s="3265"/>
      <c r="H4" s="3265"/>
      <c r="I4" s="3265"/>
      <c r="J4" s="3268"/>
      <c r="K4" s="3105"/>
      <c r="L4" s="3105"/>
      <c r="M4" s="3105"/>
      <c r="N4" s="3109"/>
      <c r="O4" s="3105"/>
      <c r="P4" s="3105"/>
      <c r="Q4" s="3105"/>
      <c r="R4" s="3105"/>
      <c r="S4" s="3105"/>
    </row>
    <row r="5" spans="1:19" ht="16.5">
      <c r="A5" s="3107" t="s">
        <v>3455</v>
      </c>
      <c r="B5" s="3265" t="s">
        <v>751</v>
      </c>
      <c r="C5" s="3265">
        <v>50836</v>
      </c>
      <c r="D5" s="3266">
        <v>44197</v>
      </c>
      <c r="E5" s="3265" t="s">
        <v>3454</v>
      </c>
      <c r="F5" s="3265"/>
      <c r="G5" s="3265">
        <v>55539</v>
      </c>
      <c r="H5" s="3265">
        <v>54298</v>
      </c>
      <c r="I5" s="3265">
        <v>54082</v>
      </c>
      <c r="J5" s="3267">
        <v>44562</v>
      </c>
      <c r="K5" s="3105"/>
      <c r="L5" s="3110">
        <v>54796</v>
      </c>
      <c r="M5" s="3105">
        <v>53903</v>
      </c>
      <c r="N5" s="3108">
        <f>N2</f>
        <v>44409</v>
      </c>
      <c r="O5" s="3105"/>
      <c r="P5" s="3105"/>
      <c r="Q5" s="3105">
        <v>33847.31</v>
      </c>
      <c r="R5" s="3106">
        <v>43430</v>
      </c>
      <c r="S5" s="3105">
        <v>55711</v>
      </c>
    </row>
    <row r="6" spans="1:19">
      <c r="A6" s="3264"/>
      <c r="B6" s="3265" t="s">
        <v>605</v>
      </c>
      <c r="C6" s="3265">
        <f>车库案例!C12</f>
        <v>33.54</v>
      </c>
      <c r="D6" s="3266">
        <v>44197</v>
      </c>
      <c r="E6" s="3265"/>
      <c r="F6" s="3265"/>
      <c r="G6" s="3265"/>
      <c r="H6" s="3265"/>
      <c r="I6" s="3265"/>
      <c r="J6" s="3268"/>
      <c r="K6" s="3105"/>
      <c r="L6" s="3105"/>
      <c r="M6" s="3105"/>
      <c r="N6" s="3109"/>
      <c r="O6" s="3105"/>
      <c r="P6" s="3105"/>
      <c r="Q6" s="3105"/>
      <c r="R6" s="3105"/>
      <c r="S6" s="3105"/>
    </row>
    <row r="7" spans="1:19">
      <c r="A7" s="3264"/>
      <c r="B7" s="3265"/>
      <c r="C7" s="3265"/>
      <c r="D7" s="3266"/>
      <c r="E7" s="3265"/>
      <c r="F7" s="3265"/>
      <c r="G7" s="3265"/>
      <c r="H7" s="3265"/>
      <c r="I7" s="3265"/>
      <c r="J7" s="3268"/>
      <c r="K7" s="3105"/>
      <c r="L7" s="3105"/>
      <c r="M7" s="3105"/>
      <c r="N7" s="3109"/>
      <c r="O7" s="3105"/>
      <c r="P7" s="3105"/>
      <c r="Q7" s="3105"/>
      <c r="R7" s="3105"/>
      <c r="S7" s="3105"/>
    </row>
    <row r="8" spans="1:19">
      <c r="A8" s="3255" t="s">
        <v>3456</v>
      </c>
      <c r="B8" s="3265" t="s">
        <v>751</v>
      </c>
      <c r="C8" s="3265">
        <v>49421</v>
      </c>
      <c r="D8" s="3266">
        <v>44197</v>
      </c>
      <c r="E8" s="3265" t="s">
        <v>3457</v>
      </c>
      <c r="F8" s="3265"/>
      <c r="G8" s="3265">
        <v>54274</v>
      </c>
      <c r="H8" s="3265">
        <v>53166</v>
      </c>
      <c r="I8" s="3265">
        <v>54131</v>
      </c>
      <c r="J8" s="3267">
        <v>44562</v>
      </c>
      <c r="K8" s="3105"/>
      <c r="L8" s="3105">
        <v>49770</v>
      </c>
      <c r="M8" s="3105">
        <v>49480</v>
      </c>
      <c r="N8" s="3108">
        <f>N2</f>
        <v>44409</v>
      </c>
      <c r="O8" s="3105"/>
      <c r="P8" s="3105"/>
      <c r="Q8" s="3105">
        <v>31390.41</v>
      </c>
      <c r="R8" s="3106">
        <v>43445</v>
      </c>
      <c r="S8" s="3105">
        <v>55711</v>
      </c>
    </row>
    <row r="9" spans="1:19">
      <c r="A9" s="3264"/>
      <c r="B9" s="3265" t="s">
        <v>605</v>
      </c>
      <c r="C9" s="3265">
        <v>35</v>
      </c>
      <c r="D9" s="3266">
        <v>44197</v>
      </c>
      <c r="E9" s="3265"/>
      <c r="F9" s="3265"/>
      <c r="G9" s="3265"/>
      <c r="H9" s="3265"/>
      <c r="I9" s="3265"/>
      <c r="J9" s="3268"/>
      <c r="K9" s="3105"/>
      <c r="L9" s="3105"/>
      <c r="M9" s="3105"/>
      <c r="N9" s="3109"/>
      <c r="O9" s="3105"/>
      <c r="P9" s="3105"/>
      <c r="Q9" s="3105"/>
      <c r="R9" s="3105"/>
      <c r="S9" s="3105"/>
    </row>
    <row r="10" spans="1:19">
      <c r="A10" s="3264"/>
      <c r="B10" s="3265"/>
      <c r="C10" s="3265"/>
      <c r="D10" s="3266"/>
      <c r="E10" s="3265"/>
      <c r="F10" s="3265"/>
      <c r="G10" s="3265"/>
      <c r="H10" s="3265"/>
      <c r="I10" s="3265"/>
      <c r="J10" s="3268"/>
      <c r="K10" s="3105"/>
      <c r="L10" s="3105"/>
      <c r="M10" s="3105"/>
      <c r="N10" s="3109"/>
      <c r="O10" s="3105"/>
      <c r="P10" s="3105"/>
      <c r="Q10" s="3105"/>
      <c r="R10" s="3105"/>
      <c r="S10" s="3105"/>
    </row>
    <row r="11" spans="1:19" ht="24">
      <c r="A11" s="3255" t="s">
        <v>3458</v>
      </c>
      <c r="B11" s="3265" t="s">
        <v>751</v>
      </c>
      <c r="C11" s="3265">
        <v>50050</v>
      </c>
      <c r="D11" s="3266">
        <v>44197</v>
      </c>
      <c r="E11" s="3265" t="s">
        <v>3459</v>
      </c>
      <c r="F11" s="3265"/>
      <c r="G11" s="3265">
        <v>54569</v>
      </c>
      <c r="H11" s="3265">
        <v>53510</v>
      </c>
      <c r="I11" s="3265">
        <v>53113</v>
      </c>
      <c r="J11" s="3267">
        <v>44562</v>
      </c>
      <c r="K11" s="3105"/>
      <c r="L11" s="3110">
        <v>53998</v>
      </c>
      <c r="M11" s="3105">
        <v>52482</v>
      </c>
      <c r="N11" s="3108">
        <f>N2</f>
        <v>44409</v>
      </c>
      <c r="O11" s="3105"/>
      <c r="P11" s="3105"/>
      <c r="Q11" s="3105">
        <v>39720.129999999997</v>
      </c>
      <c r="R11" s="3106">
        <v>43285</v>
      </c>
      <c r="S11" s="3105">
        <v>55583</v>
      </c>
    </row>
    <row r="12" spans="1:19">
      <c r="A12" s="3264"/>
      <c r="B12" s="3265" t="s">
        <v>605</v>
      </c>
      <c r="C12" s="3265">
        <f>车库案例!C6</f>
        <v>39.9</v>
      </c>
      <c r="D12" s="3266">
        <v>44136</v>
      </c>
      <c r="E12" s="3265"/>
      <c r="F12" s="3265"/>
      <c r="G12" s="3265"/>
      <c r="H12" s="3265"/>
      <c r="I12" s="3265"/>
      <c r="J12" s="3268"/>
      <c r="K12" s="3105"/>
      <c r="L12" s="3105"/>
      <c r="M12" s="3105"/>
      <c r="N12" s="3109"/>
      <c r="O12" s="3105"/>
      <c r="P12" s="3105"/>
      <c r="Q12" s="3105"/>
      <c r="R12" s="3105"/>
      <c r="S12" s="3105"/>
    </row>
    <row r="13" spans="1:19">
      <c r="A13" s="3264"/>
      <c r="B13" s="3265"/>
      <c r="C13" s="3265"/>
      <c r="D13" s="3266"/>
      <c r="E13" s="3265"/>
      <c r="F13" s="3265"/>
      <c r="G13" s="3265"/>
      <c r="H13" s="3265"/>
      <c r="I13" s="3265"/>
      <c r="J13" s="3268"/>
      <c r="K13" s="3105"/>
      <c r="L13" s="3105"/>
      <c r="M13" s="3105"/>
      <c r="N13" s="3109"/>
      <c r="O13" s="3105"/>
      <c r="P13" s="3105"/>
      <c r="Q13" s="3105"/>
      <c r="R13" s="3105"/>
      <c r="S13" s="3105"/>
    </row>
    <row r="14" spans="1:19" ht="24">
      <c r="A14" s="3255" t="s">
        <v>3473</v>
      </c>
      <c r="B14" s="3265" t="s">
        <v>751</v>
      </c>
      <c r="C14" s="3265">
        <v>44997</v>
      </c>
      <c r="D14" s="3266">
        <v>44166</v>
      </c>
      <c r="E14" s="3265"/>
      <c r="F14" s="3265"/>
      <c r="G14" s="3265">
        <v>44290</v>
      </c>
      <c r="H14" s="3265">
        <v>43536</v>
      </c>
      <c r="I14" s="3265">
        <v>43624</v>
      </c>
      <c r="J14" s="3267">
        <v>44562</v>
      </c>
      <c r="K14" s="3105"/>
      <c r="L14" s="3105">
        <v>43887</v>
      </c>
      <c r="M14" s="3105">
        <v>47486</v>
      </c>
      <c r="N14" s="3108">
        <f>N2</f>
        <v>44409</v>
      </c>
      <c r="O14" s="3105"/>
      <c r="P14" s="3105"/>
      <c r="Q14" s="3105">
        <v>28212.240000000002</v>
      </c>
      <c r="R14" s="3106">
        <v>43643</v>
      </c>
      <c r="S14" s="3105">
        <v>48641</v>
      </c>
    </row>
    <row r="15" spans="1:19">
      <c r="A15" s="3264"/>
      <c r="B15" s="3265" t="s">
        <v>605</v>
      </c>
      <c r="C15" s="3265" t="s">
        <v>1</v>
      </c>
      <c r="D15" s="3266" t="s">
        <v>1</v>
      </c>
      <c r="E15" s="3265"/>
      <c r="F15" s="3265"/>
      <c r="G15" s="3265"/>
      <c r="H15" s="3265"/>
      <c r="I15" s="3265"/>
      <c r="J15" s="3268"/>
      <c r="K15" s="3105"/>
      <c r="L15" s="3105"/>
      <c r="M15" s="3105"/>
      <c r="N15" s="3109"/>
      <c r="O15" s="3105"/>
      <c r="P15" s="3105"/>
      <c r="Q15" s="3105"/>
      <c r="R15" s="3105"/>
      <c r="S15" s="3105"/>
    </row>
    <row r="16" spans="1:19">
      <c r="A16" s="3264"/>
      <c r="B16" s="3265"/>
      <c r="C16" s="3265"/>
      <c r="D16" s="3266"/>
      <c r="E16" s="3265"/>
      <c r="F16" s="3265"/>
      <c r="G16" s="3265"/>
      <c r="H16" s="3265"/>
      <c r="I16" s="3265"/>
      <c r="J16" s="3268"/>
      <c r="K16" s="3105"/>
      <c r="L16" s="3105"/>
      <c r="M16" s="3105"/>
      <c r="N16" s="3109"/>
      <c r="O16" s="3105"/>
      <c r="P16" s="3105"/>
      <c r="Q16" s="3105"/>
      <c r="R16" s="3105"/>
      <c r="S16" s="3105"/>
    </row>
    <row r="17" spans="1:19" ht="24">
      <c r="A17" s="3255" t="s">
        <v>3474</v>
      </c>
      <c r="B17" s="3265" t="s">
        <v>751</v>
      </c>
      <c r="C17" s="3265">
        <v>43240</v>
      </c>
      <c r="D17" s="3266">
        <v>44197</v>
      </c>
      <c r="E17" s="3265"/>
      <c r="F17" s="3265"/>
      <c r="G17" s="3265">
        <v>45226</v>
      </c>
      <c r="H17" s="3265">
        <v>45469</v>
      </c>
      <c r="I17" s="3265">
        <v>45349</v>
      </c>
      <c r="J17" s="3267">
        <v>44562</v>
      </c>
      <c r="K17" s="3105"/>
      <c r="L17" s="3111">
        <v>45226</v>
      </c>
      <c r="M17" s="3111">
        <v>44702</v>
      </c>
      <c r="N17" s="3108">
        <f>N5</f>
        <v>44409</v>
      </c>
      <c r="O17" s="3105"/>
      <c r="P17" s="3105"/>
      <c r="Q17" s="3105">
        <v>12678.14</v>
      </c>
      <c r="R17" s="3106">
        <v>42324</v>
      </c>
      <c r="S17" s="3105" t="s">
        <v>1</v>
      </c>
    </row>
    <row r="18" spans="1:19">
      <c r="A18" s="3264"/>
      <c r="B18" s="3265" t="s">
        <v>605</v>
      </c>
      <c r="C18" s="3265" t="s">
        <v>1</v>
      </c>
      <c r="D18" s="3266" t="s">
        <v>1</v>
      </c>
      <c r="E18" s="3265"/>
      <c r="F18" s="3265"/>
      <c r="G18" s="3265"/>
      <c r="H18" s="3265"/>
      <c r="I18" s="3265"/>
      <c r="J18" s="3268"/>
      <c r="K18" s="3105"/>
      <c r="L18" s="3105"/>
      <c r="M18" s="3105"/>
      <c r="N18" s="3109"/>
      <c r="O18" s="3105"/>
      <c r="P18" s="3105"/>
      <c r="Q18" s="3105"/>
      <c r="R18" s="3105"/>
      <c r="S18" s="3105"/>
    </row>
    <row r="19" spans="1:19">
      <c r="A19" s="3264"/>
      <c r="B19" s="3265"/>
      <c r="C19" s="3265"/>
      <c r="D19" s="3266"/>
      <c r="E19" s="3265"/>
      <c r="F19" s="3265"/>
      <c r="G19" s="3265"/>
      <c r="H19" s="3265"/>
      <c r="I19" s="3265"/>
      <c r="J19" s="3268"/>
      <c r="K19" s="3105"/>
      <c r="L19" s="3105"/>
      <c r="M19" s="3105"/>
      <c r="N19" s="3109"/>
      <c r="O19" s="3105"/>
      <c r="P19" s="3105"/>
      <c r="Q19" s="3105"/>
      <c r="R19" s="3105"/>
      <c r="S19" s="3105"/>
    </row>
    <row r="20" spans="1:19">
      <c r="A20" s="3255" t="s">
        <v>3475</v>
      </c>
      <c r="B20" s="3265" t="s">
        <v>751</v>
      </c>
      <c r="C20" s="3265">
        <v>50328</v>
      </c>
      <c r="D20" s="3266">
        <v>44166</v>
      </c>
      <c r="E20" s="3265"/>
      <c r="F20" s="3265"/>
      <c r="G20" s="3265"/>
      <c r="H20" s="3265"/>
      <c r="I20" s="3265"/>
      <c r="J20" s="3268"/>
      <c r="K20" s="3105"/>
      <c r="L20" s="3105">
        <v>54803</v>
      </c>
      <c r="M20" s="3105">
        <v>51736</v>
      </c>
      <c r="N20" s="3108">
        <f>N8</f>
        <v>44409</v>
      </c>
      <c r="O20" s="3105"/>
      <c r="P20" s="3105"/>
      <c r="Q20" s="3105">
        <v>61347.839999999997</v>
      </c>
      <c r="R20" s="3106">
        <v>43104</v>
      </c>
      <c r="S20" s="3105">
        <v>38924</v>
      </c>
    </row>
    <row r="21" spans="1:19">
      <c r="A21" s="3264"/>
      <c r="B21" s="3265" t="s">
        <v>605</v>
      </c>
      <c r="C21" s="3265">
        <v>43</v>
      </c>
      <c r="D21" s="3266">
        <v>44197</v>
      </c>
      <c r="E21" s="3265"/>
      <c r="F21" s="3265"/>
      <c r="G21" s="3265"/>
      <c r="H21" s="3265"/>
      <c r="I21" s="3265"/>
      <c r="J21" s="3268"/>
      <c r="K21" s="3105"/>
      <c r="L21" s="3105"/>
      <c r="M21" s="3105"/>
      <c r="N21" s="3109"/>
      <c r="O21" s="3105"/>
      <c r="P21" s="3105"/>
      <c r="Q21" s="3105"/>
      <c r="R21" s="3105"/>
      <c r="S21" s="3105"/>
    </row>
    <row r="22" spans="1:19">
      <c r="A22" s="3264"/>
      <c r="B22" s="3265"/>
      <c r="C22" s="3265"/>
      <c r="D22" s="3266"/>
      <c r="E22" s="3265"/>
      <c r="F22" s="3265"/>
      <c r="G22" s="3265"/>
      <c r="H22" s="3265"/>
      <c r="I22" s="3265"/>
      <c r="J22" s="3268"/>
      <c r="K22" s="3105"/>
      <c r="L22" s="3105"/>
      <c r="M22" s="3105"/>
      <c r="N22" s="3109"/>
      <c r="O22" s="3105"/>
      <c r="P22" s="3105"/>
      <c r="Q22" s="3105"/>
      <c r="R22" s="3105"/>
      <c r="S22" s="3105"/>
    </row>
    <row r="23" spans="1:19">
      <c r="A23" s="3255" t="s">
        <v>3477</v>
      </c>
      <c r="B23" s="3265" t="s">
        <v>751</v>
      </c>
      <c r="C23" s="3265">
        <v>48328</v>
      </c>
      <c r="D23" s="3266">
        <v>44166</v>
      </c>
      <c r="E23" s="3265"/>
      <c r="F23" s="3265"/>
      <c r="G23" s="3265"/>
      <c r="H23" s="3265"/>
      <c r="I23" s="3265"/>
      <c r="J23" s="3268"/>
      <c r="K23" s="3105"/>
      <c r="L23" s="3105">
        <v>47617</v>
      </c>
      <c r="M23" s="3105">
        <v>48488</v>
      </c>
      <c r="N23" s="3108">
        <f>N11</f>
        <v>44409</v>
      </c>
      <c r="O23" s="3105"/>
      <c r="P23" s="3105"/>
      <c r="Q23" s="3105">
        <v>57152.08</v>
      </c>
      <c r="R23" s="3106">
        <v>43117</v>
      </c>
      <c r="S23" s="3105">
        <v>68924</v>
      </c>
    </row>
    <row r="24" spans="1:19">
      <c r="A24" s="3264"/>
      <c r="B24" s="3265" t="s">
        <v>605</v>
      </c>
      <c r="C24" s="3265">
        <v>42</v>
      </c>
      <c r="D24" s="3266">
        <v>44166</v>
      </c>
      <c r="E24" s="3265"/>
      <c r="F24" s="3265"/>
      <c r="G24" s="3265"/>
      <c r="H24" s="3265"/>
      <c r="I24" s="3265"/>
      <c r="J24" s="3268"/>
      <c r="K24" s="3105"/>
      <c r="L24" s="3105"/>
      <c r="M24" s="3105"/>
      <c r="N24" s="3109"/>
      <c r="O24" s="3105"/>
      <c r="P24" s="3105"/>
      <c r="Q24" s="3105"/>
      <c r="R24" s="3105"/>
      <c r="S24" s="3105"/>
    </row>
    <row r="25" spans="1:19">
      <c r="A25" s="3264"/>
      <c r="B25" s="3265"/>
      <c r="C25" s="3265"/>
      <c r="D25" s="3266"/>
      <c r="E25" s="3265"/>
      <c r="F25" s="3265"/>
      <c r="G25" s="3265"/>
      <c r="H25" s="3265"/>
      <c r="I25" s="3265"/>
      <c r="J25" s="3268"/>
      <c r="K25" s="3105"/>
      <c r="L25" s="3105"/>
      <c r="M25" s="3105"/>
      <c r="N25" s="3109"/>
      <c r="O25" s="3105"/>
      <c r="P25" s="3105"/>
      <c r="Q25" s="3105"/>
      <c r="R25" s="3105"/>
      <c r="S25" s="3105"/>
    </row>
    <row r="26" spans="1:19">
      <c r="A26" s="3264"/>
      <c r="B26" s="3265"/>
      <c r="C26" s="3265"/>
      <c r="D26" s="3266"/>
      <c r="E26" s="3265"/>
      <c r="F26" s="3265"/>
      <c r="G26" s="3265"/>
      <c r="H26" s="3265"/>
      <c r="I26" s="3265"/>
      <c r="J26" s="3268"/>
      <c r="K26" s="3105"/>
      <c r="L26" s="3105"/>
      <c r="M26" s="3105"/>
      <c r="N26" s="3109"/>
      <c r="O26" s="3105"/>
      <c r="P26" s="3105"/>
      <c r="Q26" s="3105"/>
      <c r="R26" s="3105"/>
      <c r="S26" s="3105"/>
    </row>
    <row r="27" spans="1:19">
      <c r="A27" s="3255" t="s">
        <v>3478</v>
      </c>
      <c r="B27" s="3265" t="s">
        <v>751</v>
      </c>
      <c r="C27" s="3265">
        <v>65280</v>
      </c>
      <c r="D27" s="3266">
        <v>44105</v>
      </c>
      <c r="E27" s="3265"/>
      <c r="F27" s="3265"/>
      <c r="G27" s="3265"/>
      <c r="H27" s="3265"/>
      <c r="I27" s="3265"/>
      <c r="J27" s="3268"/>
      <c r="K27" s="3105"/>
      <c r="L27" s="3105">
        <v>71394</v>
      </c>
      <c r="M27" s="3105">
        <v>61925</v>
      </c>
      <c r="N27" s="3108">
        <v>44409</v>
      </c>
      <c r="O27" s="3105"/>
      <c r="P27" s="3105"/>
      <c r="Q27" s="3105">
        <v>25929.55</v>
      </c>
      <c r="R27" s="3106">
        <v>41333</v>
      </c>
      <c r="S27" s="3105" t="s">
        <v>1</v>
      </c>
    </row>
    <row r="28" spans="1:19">
      <c r="A28" s="3264"/>
      <c r="B28" s="3265" t="s">
        <v>605</v>
      </c>
      <c r="C28" s="3265">
        <v>40</v>
      </c>
      <c r="D28" s="3266">
        <v>44197</v>
      </c>
      <c r="E28" s="3265"/>
      <c r="F28" s="3265"/>
      <c r="G28" s="3265"/>
      <c r="H28" s="3265"/>
      <c r="I28" s="3265"/>
      <c r="J28" s="3268"/>
      <c r="K28" s="3105"/>
      <c r="L28" s="3105"/>
      <c r="M28" s="3105"/>
      <c r="N28" s="3109"/>
      <c r="O28" s="3105"/>
      <c r="P28" s="3105"/>
      <c r="Q28" s="3105"/>
      <c r="R28" s="3105"/>
      <c r="S28" s="3105"/>
    </row>
    <row r="30" spans="1:19">
      <c r="A30" s="3259" t="s">
        <v>3479</v>
      </c>
      <c r="B30" s="3265" t="s">
        <v>751</v>
      </c>
      <c r="C30" s="3265">
        <v>65280</v>
      </c>
      <c r="D30" s="3266">
        <v>44105</v>
      </c>
      <c r="L30" s="3113">
        <v>79057</v>
      </c>
      <c r="M30" s="3113">
        <v>78786</v>
      </c>
      <c r="N30" s="3114">
        <v>44409</v>
      </c>
    </row>
    <row r="31" spans="1:19">
      <c r="B31" s="3265" t="s">
        <v>605</v>
      </c>
      <c r="C31" s="3265">
        <v>40</v>
      </c>
      <c r="D31" s="3266">
        <v>44197</v>
      </c>
    </row>
    <row r="33" spans="1:14" ht="24">
      <c r="A33" s="3255" t="s">
        <v>3460</v>
      </c>
      <c r="B33" s="3265" t="s">
        <v>751</v>
      </c>
      <c r="E33" s="3262" t="s">
        <v>3476</v>
      </c>
      <c r="F33" s="3262"/>
      <c r="G33" s="3262">
        <v>63565</v>
      </c>
      <c r="H33" s="3262">
        <v>60079</v>
      </c>
      <c r="I33" s="3262">
        <v>60657</v>
      </c>
      <c r="J33" s="3263"/>
      <c r="K33" s="3066"/>
      <c r="L33" s="3067">
        <v>60704</v>
      </c>
      <c r="M33">
        <v>60589</v>
      </c>
      <c r="N33" s="3108">
        <v>44409</v>
      </c>
    </row>
    <row r="34" spans="1:14">
      <c r="B34" s="3265" t="s">
        <v>605</v>
      </c>
    </row>
    <row r="36" spans="1:14">
      <c r="A36" s="3255" t="s">
        <v>3487</v>
      </c>
      <c r="B36" s="3265" t="s">
        <v>751</v>
      </c>
      <c r="L36">
        <v>61380</v>
      </c>
      <c r="M36">
        <v>62090</v>
      </c>
      <c r="N36" s="3112">
        <v>44409</v>
      </c>
    </row>
    <row r="37" spans="1:14">
      <c r="B37" s="3265" t="s">
        <v>605</v>
      </c>
    </row>
    <row r="39" spans="1:14" ht="24">
      <c r="A39" s="3255" t="s">
        <v>3488</v>
      </c>
      <c r="B39" s="3265" t="s">
        <v>751</v>
      </c>
      <c r="G39" s="3260">
        <v>56353</v>
      </c>
      <c r="H39" s="3260">
        <v>52173</v>
      </c>
      <c r="I39" s="3260">
        <v>52173</v>
      </c>
      <c r="L39">
        <v>51071</v>
      </c>
      <c r="M39">
        <v>51916</v>
      </c>
      <c r="N39" s="3112">
        <v>44409</v>
      </c>
    </row>
    <row r="40" spans="1:14">
      <c r="B40" s="3265" t="s">
        <v>605</v>
      </c>
    </row>
  </sheetData>
  <phoneticPr fontId="141"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21" sqref="E21"/>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2459</v>
      </c>
      <c r="C1" s="1399" t="s">
        <v>2347</v>
      </c>
      <c r="D1" s="1386"/>
      <c r="E1" s="2535"/>
      <c r="F1" s="2057"/>
      <c r="G1" s="1396" t="s">
        <v>2460</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3" customFormat="1" ht="28.5" customHeight="1" thickTop="1">
      <c r="A2" s="1382" t="s">
        <v>2147</v>
      </c>
      <c r="B2" s="1320" t="e">
        <f ca="1">IF(C2="——",ROUND(C49*D3/10000,0),ROUND(C49*D3/10000,0)-D2)</f>
        <v>#DIV/0!</v>
      </c>
      <c r="C2" s="2059"/>
      <c r="D2" s="1269" t="e">
        <f ca="1">SUMIF(INDIRECT("'"&amp;F2&amp;"'"&amp;"!A:A"),"承租人权益价值",INDIRECT("'"&amp;F2&amp;"'"&amp;"!c:c"))</f>
        <v>#REF!</v>
      </c>
      <c r="E2" s="2060" t="s">
        <v>2148</v>
      </c>
      <c r="F2" s="2061"/>
      <c r="G2" s="1033"/>
      <c r="H2" s="1033"/>
      <c r="I2" s="1033"/>
      <c r="J2" s="1033"/>
      <c r="K2" s="1033"/>
      <c r="L2" s="2951"/>
      <c r="M2" s="2952"/>
      <c r="N2" s="2952"/>
      <c r="O2" s="2952"/>
      <c r="P2" s="2130"/>
      <c r="Q2" s="1037"/>
      <c r="R2" s="1037"/>
      <c r="S2" s="1037"/>
      <c r="T2" s="1037"/>
      <c r="U2" s="1037"/>
      <c r="V2" s="1037"/>
      <c r="W2" s="1037"/>
      <c r="X2" s="1037"/>
      <c r="Y2" s="1037"/>
      <c r="Z2" s="1037"/>
      <c r="AA2" s="1037"/>
      <c r="AB2" s="1037"/>
      <c r="AC2" s="2131"/>
    </row>
    <row r="3" spans="1:29" s="353" customFormat="1" ht="28.5" customHeight="1" thickBot="1">
      <c r="A3" s="204" t="s">
        <v>2149</v>
      </c>
      <c r="B3" s="561" t="e">
        <f ca="1">IF(C2="——",C49,ROUND(B2*10000/D3,0))</f>
        <v>#DIV/0!</v>
      </c>
      <c r="C3" s="355" t="s">
        <v>2461</v>
      </c>
      <c r="D3" s="354">
        <f>IF(D1="",'数据-汇总表'!E3,SUMIF('数据-汇总表'!$C19:$C33,D1,'数据-汇总表'!$E19:$E33))</f>
        <v>86417.1</v>
      </c>
      <c r="E3" s="2132"/>
      <c r="F3" s="1034"/>
      <c r="G3" s="1033"/>
      <c r="H3" s="1033"/>
      <c r="I3" s="1033"/>
      <c r="J3" s="1033"/>
      <c r="K3" s="1035"/>
      <c r="L3" s="2951"/>
      <c r="M3" s="2952"/>
      <c r="N3" s="2952"/>
      <c r="O3" s="2952"/>
      <c r="P3" s="2130"/>
      <c r="Q3" s="1037"/>
      <c r="R3" s="1037"/>
      <c r="S3" s="1037"/>
      <c r="T3" s="1037"/>
      <c r="U3" s="1037"/>
      <c r="V3" s="1037"/>
      <c r="W3" s="1037"/>
      <c r="X3" s="1037"/>
      <c r="Y3" s="1037"/>
      <c r="Z3" s="1037"/>
      <c r="AA3" s="1037"/>
      <c r="AB3" s="1037"/>
      <c r="AC3" s="2132"/>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611"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611"/>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611"/>
      <c r="AC6" s="3583"/>
    </row>
    <row r="7" spans="1:29" s="108" customFormat="1" ht="15.75" thickBot="1">
      <c r="A7" s="363" t="s">
        <v>2365</v>
      </c>
      <c r="B7" s="364"/>
      <c r="C7" s="365">
        <f>'数据-取费表'!B2</f>
        <v>44568</v>
      </c>
      <c r="D7" s="366">
        <v>100</v>
      </c>
      <c r="E7" s="367"/>
      <c r="F7" s="368">
        <f>SUMIF(58:58,YEAR(E7)&amp;"-"&amp;MONTH(E7),59:59)</f>
        <v>0</v>
      </c>
      <c r="G7" s="367"/>
      <c r="H7" s="366">
        <f>SUMIF(58:58,YEAR(G7)&amp;"-"&amp;MONTH(G7),59:59)</f>
        <v>0</v>
      </c>
      <c r="I7" s="367"/>
      <c r="J7" s="366">
        <f>SUMIF(58:58,YEAR(I7)&amp;"-"&amp;MONTH(I7),59:59)</f>
        <v>0</v>
      </c>
      <c r="K7" s="563"/>
      <c r="L7" s="2934"/>
      <c r="M7" s="2935"/>
      <c r="N7" s="2935"/>
      <c r="O7" s="2935"/>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2469</v>
      </c>
      <c r="D8" s="366">
        <v>100</v>
      </c>
      <c r="E8" s="369"/>
      <c r="F8" s="368">
        <f>SUMIF(61:61,E8,62:62)-SUMIF(61:61,C8,62:62)+100</f>
        <v>0</v>
      </c>
      <c r="G8" s="369"/>
      <c r="H8" s="366">
        <f>SUMIF(61:61,G8,62:62)-SUMIF(61:61,C8,62:62)+100</f>
        <v>0</v>
      </c>
      <c r="I8" s="369"/>
      <c r="J8" s="366">
        <f>SUMIF(61:61,I8,62:62)-SUMIF(61:61,C8,62:62)+100</f>
        <v>0</v>
      </c>
      <c r="K8" s="563"/>
      <c r="L8" s="2934"/>
      <c r="M8" s="2935"/>
      <c r="N8" s="2935"/>
      <c r="O8" s="2935"/>
      <c r="P8" s="3584" t="s">
        <v>2369</v>
      </c>
      <c r="Q8" s="3585"/>
      <c r="R8" s="705" t="s">
        <v>17</v>
      </c>
      <c r="S8" s="706">
        <f t="shared" si="0"/>
        <v>0</v>
      </c>
      <c r="T8" s="705" t="s">
        <v>17</v>
      </c>
      <c r="U8" s="706">
        <f t="shared" si="1"/>
        <v>0</v>
      </c>
      <c r="V8" s="705" t="s">
        <v>17</v>
      </c>
      <c r="W8" s="706">
        <f t="shared" si="2"/>
        <v>0</v>
      </c>
      <c r="X8" s="707"/>
      <c r="Y8" s="3584" t="s">
        <v>2369</v>
      </c>
      <c r="Z8" s="3585"/>
      <c r="AA8" s="708" t="e">
        <f t="shared" ref="AA8:AA46" si="3">D8/F8</f>
        <v>#DIV/0!</v>
      </c>
      <c r="AB8" s="708" t="e">
        <f t="shared" ref="AB8:AB46" si="4">D8/H8</f>
        <v>#DIV/0!</v>
      </c>
      <c r="AC8" s="708" t="e">
        <f t="shared" ref="AC8:AC46" si="5">D8/J8</f>
        <v>#DIV/0!</v>
      </c>
    </row>
    <row r="9" spans="1:29" s="108" customFormat="1">
      <c r="A9" s="370" t="s">
        <v>2370</v>
      </c>
      <c r="B9" s="63" t="s">
        <v>2371</v>
      </c>
      <c r="C9" s="371"/>
      <c r="D9" s="126">
        <v>100</v>
      </c>
      <c r="E9" s="372"/>
      <c r="F9" s="373">
        <f>SUMIF(63:63,E9,64:64)-SUMIF(63:63,C9,64:64)+100</f>
        <v>100</v>
      </c>
      <c r="G9" s="372"/>
      <c r="H9" s="126">
        <f>SUMIF(63:63,G9,64:64)-SUMIF(63:63,C9,64:64)+100</f>
        <v>100</v>
      </c>
      <c r="I9" s="372"/>
      <c r="J9" s="126">
        <f>SUMIF(63:63,I9,64:64)-SUMIF(63:63,C9,64:64)+100</f>
        <v>100</v>
      </c>
      <c r="K9" s="563"/>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c r="D10" s="127">
        <v>100</v>
      </c>
      <c r="E10" s="378"/>
      <c r="F10" s="379">
        <f>SUMIF(65:65,E10,66:66)-SUMIF(65:65,C10,66:66)+100</f>
        <v>100</v>
      </c>
      <c r="G10" s="377"/>
      <c r="H10" s="127">
        <f>SUMIF(65:65,G10,66:66)-SUMIF(65:65,C10,66:66)+100</f>
        <v>100</v>
      </c>
      <c r="I10" s="377"/>
      <c r="J10" s="127">
        <f>SUMIF(65:65,I10,66:66)-SUMIF(65:65,C10,66:66)+100</f>
        <v>100</v>
      </c>
      <c r="K10" s="564"/>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c r="D11" s="127">
        <v>100</v>
      </c>
      <c r="E11" s="384"/>
      <c r="F11" s="379" t="e">
        <f>LOOKUP(E11,68:68,69:69)-LOOKUP(C11,68:68,69:69)+100</f>
        <v>#N/A</v>
      </c>
      <c r="G11" s="383"/>
      <c r="H11" s="127" t="e">
        <f>LOOKUP(G11,68:68,69:69)-LOOKUP(C11,68:68,69:69)+100</f>
        <v>#N/A</v>
      </c>
      <c r="I11" s="383"/>
      <c r="J11" s="127" t="e">
        <f>LOOKUP(I11,68:68,69:69)-LOOKUP(C11,68:68,69:69)+100</f>
        <v>#N/A</v>
      </c>
      <c r="K11" s="564"/>
      <c r="L11" s="2938"/>
      <c r="M11" s="2933"/>
      <c r="N11" s="2933"/>
      <c r="O11" s="2933"/>
      <c r="P11" s="3622"/>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388"/>
      <c r="F12" s="379">
        <f>SUMIF(70:70,E12,71:71)-SUMIF(70:70,C12,71:71)+100</f>
        <v>100</v>
      </c>
      <c r="G12" s="388"/>
      <c r="H12" s="127">
        <f>SUMIF(70:70,G12,71:71)-SUMIF(70:70,C12,71:71)+100</f>
        <v>100</v>
      </c>
      <c r="I12" s="388"/>
      <c r="J12" s="127">
        <f>SUMIF(70:70,I12,71:71)-SUMIF(70:70,C12,71:71)+100</f>
        <v>100</v>
      </c>
      <c r="K12" s="565"/>
      <c r="L12" s="2934"/>
      <c r="M12" s="2935"/>
      <c r="N12" s="2935"/>
      <c r="O12" s="2935"/>
      <c r="P12" s="3622"/>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565"/>
      <c r="L13" s="2939"/>
      <c r="M13" s="2933"/>
      <c r="N13" s="2933"/>
      <c r="O13" s="2933"/>
      <c r="P13" s="3622"/>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88"/>
      <c r="F14" s="393">
        <f>SUMIF(74:74,E14,75:75)-SUMIF(74:74,C14,75:75)+100</f>
        <v>100</v>
      </c>
      <c r="G14" s="388"/>
      <c r="H14" s="392">
        <f>SUMIF(74:74,G14,75:75)-SUMIF(74:74,C14,75:75)+100</f>
        <v>100</v>
      </c>
      <c r="I14" s="388"/>
      <c r="J14" s="392">
        <f>SUMIF(74:74,I14,75:75)-SUMIF(74:74,C14,75:75)+100</f>
        <v>100</v>
      </c>
      <c r="K14" s="565"/>
      <c r="L14" s="2939"/>
      <c r="M14" s="2933"/>
      <c r="N14" s="2933"/>
      <c r="O14" s="2933"/>
      <c r="P14" s="3622"/>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15">
      <c r="A15" s="394" t="s">
        <v>2376</v>
      </c>
      <c r="B15" s="61" t="s">
        <v>2470</v>
      </c>
      <c r="C15" s="2074" t="str">
        <f>估价对象房地状况!C4</f>
        <v>较差</v>
      </c>
      <c r="D15" s="395">
        <v>100</v>
      </c>
      <c r="E15" s="396"/>
      <c r="F15" s="397">
        <f>SUMIF(76:76,E16,77:77)-SUMIF(76:76,C16,77:77)+100</f>
        <v>100</v>
      </c>
      <c r="G15" s="398"/>
      <c r="H15" s="395">
        <f>SUMIF(76:76,G16,77:77)-SUMIF(76:76,C16,77:77)+100</f>
        <v>100</v>
      </c>
      <c r="I15" s="396"/>
      <c r="J15" s="395">
        <f>SUMIF(76:76,I16,77:77)-SUMIF(76:76,C16,77:77)+100</f>
        <v>100</v>
      </c>
      <c r="K15" s="566"/>
      <c r="L15" s="2939"/>
      <c r="M15" s="2933"/>
      <c r="N15" s="2933"/>
      <c r="O15" s="2933"/>
      <c r="P15" s="3638" t="s">
        <v>2377</v>
      </c>
      <c r="Q15" s="1529" t="str">
        <f t="shared" si="6"/>
        <v>商业繁华度</v>
      </c>
      <c r="R15" s="709" t="s">
        <v>17</v>
      </c>
      <c r="S15" s="710">
        <f t="shared" si="0"/>
        <v>100</v>
      </c>
      <c r="T15" s="709" t="s">
        <v>17</v>
      </c>
      <c r="U15" s="710">
        <f t="shared" si="1"/>
        <v>100</v>
      </c>
      <c r="V15" s="709" t="s">
        <v>17</v>
      </c>
      <c r="W15" s="710">
        <f t="shared" si="2"/>
        <v>100</v>
      </c>
      <c r="X15" s="1532"/>
      <c r="Y15" s="3613" t="s">
        <v>2377</v>
      </c>
      <c r="Z15" s="1533" t="str">
        <f t="shared" si="7"/>
        <v>商业繁华度</v>
      </c>
      <c r="AA15" s="1530">
        <f t="shared" si="3"/>
        <v>1</v>
      </c>
      <c r="AB15" s="1530">
        <f t="shared" si="4"/>
        <v>1</v>
      </c>
      <c r="AC15" s="1530">
        <f t="shared" si="5"/>
        <v>1</v>
      </c>
    </row>
    <row r="16" spans="1:29" ht="15">
      <c r="A16" s="382"/>
      <c r="B16" s="400"/>
      <c r="C16" s="401"/>
      <c r="D16" s="402"/>
      <c r="E16" s="401"/>
      <c r="F16" s="403"/>
      <c r="G16" s="401"/>
      <c r="H16" s="404"/>
      <c r="I16" s="401"/>
      <c r="J16" s="402"/>
      <c r="K16" s="567"/>
      <c r="L16" s="2939"/>
      <c r="M16" s="2933"/>
      <c r="N16" s="2933"/>
      <c r="O16" s="2933"/>
      <c r="P16" s="3639"/>
      <c r="Q16" s="1529"/>
      <c r="R16" s="709"/>
      <c r="S16" s="710"/>
      <c r="T16" s="709"/>
      <c r="U16" s="710"/>
      <c r="V16" s="709"/>
      <c r="W16" s="710"/>
      <c r="X16" s="1532"/>
      <c r="Y16" s="3614"/>
      <c r="Z16" s="1533"/>
      <c r="AA16" s="1530">
        <v>1</v>
      </c>
      <c r="AB16" s="1530">
        <v>1</v>
      </c>
      <c r="AC16" s="1530">
        <v>1</v>
      </c>
    </row>
    <row r="17" spans="1:29" ht="15">
      <c r="A17" s="382"/>
      <c r="B17" s="405" t="s">
        <v>1944</v>
      </c>
      <c r="C17" s="2078" t="str">
        <f>估价对象房地状况!C6</f>
        <v>一般</v>
      </c>
      <c r="D17" s="404">
        <v>100</v>
      </c>
      <c r="E17" s="406"/>
      <c r="F17" s="407">
        <f>SUMIF(78:78,E18,79:79)-SUMIF(78:78,C18,79:79)+100</f>
        <v>100</v>
      </c>
      <c r="G17" s="408"/>
      <c r="H17" s="409">
        <f>SUMIF(78:78,G18,79:79)-SUMIF(78:78,C18,79:79)+100</f>
        <v>100</v>
      </c>
      <c r="I17" s="406"/>
      <c r="J17" s="409">
        <f>SUMIF(78:78,I18,79:79)-SUMIF(78:78,C18,79:79)+100</f>
        <v>100</v>
      </c>
      <c r="K17" s="566"/>
      <c r="L17" s="2939"/>
      <c r="M17" s="2933"/>
      <c r="N17" s="2933"/>
      <c r="O17" s="2933"/>
      <c r="P17" s="3639"/>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410"/>
      <c r="C18" s="2079"/>
      <c r="D18" s="404"/>
      <c r="E18" s="2081"/>
      <c r="F18" s="407"/>
      <c r="G18" s="2080"/>
      <c r="H18" s="402"/>
      <c r="I18" s="2081"/>
      <c r="J18" s="402"/>
      <c r="K18" s="567"/>
      <c r="L18" s="2939"/>
      <c r="M18" s="2933"/>
      <c r="N18" s="2933"/>
      <c r="O18" s="2933"/>
      <c r="P18" s="3639"/>
      <c r="Q18" s="1529"/>
      <c r="R18" s="709"/>
      <c r="S18" s="710"/>
      <c r="T18" s="709"/>
      <c r="U18" s="710"/>
      <c r="V18" s="709"/>
      <c r="W18" s="710"/>
      <c r="X18" s="1532"/>
      <c r="Y18" s="3614"/>
      <c r="Z18" s="1533"/>
      <c r="AA18" s="1530">
        <v>1</v>
      </c>
      <c r="AB18" s="1530">
        <v>1</v>
      </c>
      <c r="AC18" s="1530">
        <v>1</v>
      </c>
    </row>
    <row r="19" spans="1:29" ht="15">
      <c r="A19" s="382"/>
      <c r="B19" s="405" t="s">
        <v>2471</v>
      </c>
      <c r="C19" s="2078" t="str">
        <f>估价对象房地状况!C7</f>
        <v>一般</v>
      </c>
      <c r="D19" s="409">
        <v>100</v>
      </c>
      <c r="E19" s="411"/>
      <c r="F19" s="412">
        <f>SUMIF(80:80,E20,81:81)-SUMIF(80:80,C20,81:81)+100</f>
        <v>100</v>
      </c>
      <c r="G19" s="413"/>
      <c r="H19" s="404">
        <f>SUMIF(80:80,G20,81:81)-SUMIF(80:80,C20,81:81)+100</f>
        <v>100</v>
      </c>
      <c r="I19" s="411"/>
      <c r="J19" s="404">
        <f>SUMIF(80:80,I20,81:81)-SUMIF(80:80,C20,81:81)+100</f>
        <v>100</v>
      </c>
      <c r="K19" s="566"/>
      <c r="L19" s="2939"/>
      <c r="M19" s="2933"/>
      <c r="N19" s="2933"/>
      <c r="O19" s="2933"/>
      <c r="P19" s="3639"/>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1530">
        <f t="shared" si="5"/>
        <v>1</v>
      </c>
    </row>
    <row r="20" spans="1:29" ht="15">
      <c r="A20" s="382"/>
      <c r="B20" s="410"/>
      <c r="C20" s="401"/>
      <c r="D20" s="402"/>
      <c r="E20" s="2076"/>
      <c r="F20" s="403"/>
      <c r="G20" s="2075"/>
      <c r="H20" s="402"/>
      <c r="I20" s="2076"/>
      <c r="J20" s="402"/>
      <c r="K20" s="567"/>
      <c r="L20" s="2939"/>
      <c r="M20" s="2933"/>
      <c r="N20" s="2933"/>
      <c r="O20" s="2933"/>
      <c r="P20" s="3639"/>
      <c r="Q20" s="1529"/>
      <c r="R20" s="709"/>
      <c r="S20" s="710"/>
      <c r="T20" s="709"/>
      <c r="U20" s="710"/>
      <c r="V20" s="709"/>
      <c r="W20" s="710"/>
      <c r="X20" s="1532"/>
      <c r="Y20" s="3614"/>
      <c r="Z20" s="1533"/>
      <c r="AA20" s="1530">
        <v>1</v>
      </c>
      <c r="AB20" s="1530">
        <v>1</v>
      </c>
      <c r="AC20" s="1530">
        <v>1</v>
      </c>
    </row>
    <row r="21" spans="1:29" ht="15">
      <c r="A21" s="382"/>
      <c r="B21" s="1287" t="s">
        <v>2472</v>
      </c>
      <c r="C21" s="2078" t="str">
        <f>估价对象房地状况!C8</f>
        <v>七通</v>
      </c>
      <c r="D21" s="409">
        <v>100</v>
      </c>
      <c r="E21" s="411"/>
      <c r="F21" s="412">
        <f>SUMIF(82:82,E22,83:83)-SUMIF(82:82,C22,83:83)+100</f>
        <v>100</v>
      </c>
      <c r="G21" s="413"/>
      <c r="H21" s="404">
        <f>SUMIF(82:82,G22,83:83)-SUMIF(82:82,C22,83:83)+100</f>
        <v>100</v>
      </c>
      <c r="I21" s="411"/>
      <c r="J21" s="404">
        <f>SUMIF(82:82,I22,83:83)-SUMIF(82:82,C22,83:83)+100</f>
        <v>100</v>
      </c>
      <c r="K21" s="566"/>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c r="D22" s="402"/>
      <c r="E22" s="401"/>
      <c r="F22" s="403"/>
      <c r="G22" s="401"/>
      <c r="H22" s="402"/>
      <c r="I22" s="401"/>
      <c r="J22" s="402"/>
      <c r="K22" s="1286"/>
      <c r="L22" s="2939"/>
      <c r="M22" s="2933"/>
      <c r="N22" s="2933"/>
      <c r="O22" s="2933"/>
      <c r="P22" s="3639"/>
      <c r="Q22" s="1529"/>
      <c r="R22" s="709"/>
      <c r="S22" s="710"/>
      <c r="T22" s="709"/>
      <c r="U22" s="710"/>
      <c r="V22" s="709"/>
      <c r="W22" s="710"/>
      <c r="X22" s="1532"/>
      <c r="Y22" s="3614"/>
      <c r="Z22" s="1533"/>
      <c r="AA22" s="1530">
        <v>1</v>
      </c>
      <c r="AB22" s="1530">
        <v>1</v>
      </c>
      <c r="AC22" s="1530">
        <v>1</v>
      </c>
    </row>
    <row r="23" spans="1:29" ht="15">
      <c r="A23" s="382"/>
      <c r="B23" s="405" t="s">
        <v>1946</v>
      </c>
      <c r="C23" s="2133" t="str">
        <f>估价对象房地状况!C9</f>
        <v>一般</v>
      </c>
      <c r="D23" s="404">
        <v>100</v>
      </c>
      <c r="E23" s="406"/>
      <c r="F23" s="407">
        <f>SUMIF(84:84,E24,85:85)-SUMIF(84:84,C24,85:85)+100</f>
        <v>100</v>
      </c>
      <c r="G23" s="408"/>
      <c r="H23" s="404">
        <f>SUMIF(84:84,G24,85:85)-SUMIF(84:84,C24,85:85)+100</f>
        <v>100</v>
      </c>
      <c r="I23" s="406"/>
      <c r="J23" s="404">
        <f>SUMIF(84:84,I24,85:85)-SUMIF(84:84,C24,85:85)+100</f>
        <v>100</v>
      </c>
      <c r="K23" s="566"/>
      <c r="L23" s="2939"/>
      <c r="M23" s="2933"/>
      <c r="N23" s="2933"/>
      <c r="O23" s="2933"/>
      <c r="P23" s="3639"/>
      <c r="Q23" s="1529" t="str">
        <f>B23</f>
        <v>自然及人文环境</v>
      </c>
      <c r="R23" s="709" t="s">
        <v>17</v>
      </c>
      <c r="S23" s="710">
        <f>F23</f>
        <v>100</v>
      </c>
      <c r="T23" s="709" t="s">
        <v>17</v>
      </c>
      <c r="U23" s="710">
        <f>H23</f>
        <v>100</v>
      </c>
      <c r="V23" s="709" t="s">
        <v>17</v>
      </c>
      <c r="W23" s="710">
        <f>J23</f>
        <v>100</v>
      </c>
      <c r="X23" s="1532"/>
      <c r="Y23" s="3614"/>
      <c r="Z23" s="1533" t="str">
        <f>Q23</f>
        <v>自然及人文环境</v>
      </c>
      <c r="AA23" s="1530">
        <f t="shared" si="3"/>
        <v>1</v>
      </c>
      <c r="AB23" s="1530">
        <f t="shared" si="4"/>
        <v>1</v>
      </c>
      <c r="AC23" s="1530">
        <f t="shared" si="5"/>
        <v>1</v>
      </c>
    </row>
    <row r="24" spans="1:29" ht="15">
      <c r="A24" s="382"/>
      <c r="B24" s="410"/>
      <c r="C24" s="401"/>
      <c r="D24" s="402"/>
      <c r="E24" s="2076"/>
      <c r="F24" s="403"/>
      <c r="G24" s="2075"/>
      <c r="H24" s="402"/>
      <c r="I24" s="2076"/>
      <c r="J24" s="402"/>
      <c r="K24" s="567"/>
      <c r="L24" s="2939"/>
      <c r="M24" s="2933"/>
      <c r="N24" s="2933"/>
      <c r="O24" s="2933"/>
      <c r="P24" s="3639"/>
      <c r="Q24" s="1529"/>
      <c r="R24" s="709"/>
      <c r="S24" s="710"/>
      <c r="T24" s="709"/>
      <c r="U24" s="710"/>
      <c r="V24" s="709"/>
      <c r="W24" s="710"/>
      <c r="X24" s="1532"/>
      <c r="Y24" s="3614"/>
      <c r="Z24" s="1533"/>
      <c r="AA24" s="1530">
        <v>1</v>
      </c>
      <c r="AB24" s="1530">
        <v>1</v>
      </c>
      <c r="AC24" s="1530">
        <v>1</v>
      </c>
    </row>
    <row r="25" spans="1:29" ht="15">
      <c r="A25" s="382"/>
      <c r="B25" s="376" t="s">
        <v>2473</v>
      </c>
      <c r="C25" s="568"/>
      <c r="D25" s="389">
        <v>100</v>
      </c>
      <c r="E25" s="568"/>
      <c r="F25" s="415">
        <f>SUMIF(86:86,E25,87:87)-SUMIF(86:86,C25,87:87)+100</f>
        <v>100</v>
      </c>
      <c r="G25" s="568"/>
      <c r="H25" s="389">
        <f>SUMIF(86:86,G25,87:87)-SUMIF(86:86,C25,87:87)+100</f>
        <v>100</v>
      </c>
      <c r="I25" s="568"/>
      <c r="J25" s="389">
        <f>SUMIF(86:86,I25,87:87)-SUMIF(86:86,C25,87:87)+100</f>
        <v>100</v>
      </c>
      <c r="K25" s="564"/>
      <c r="L25" s="2939"/>
      <c r="M25" s="2933"/>
      <c r="N25" s="2933"/>
      <c r="O25" s="2933"/>
      <c r="P25" s="3639"/>
      <c r="Q25" s="1529" t="str">
        <f t="shared" ref="Q25:Q46" si="11">B25</f>
        <v>临街状况</v>
      </c>
      <c r="R25" s="709" t="s">
        <v>17</v>
      </c>
      <c r="S25" s="710">
        <f>F25</f>
        <v>100</v>
      </c>
      <c r="T25" s="709" t="s">
        <v>17</v>
      </c>
      <c r="U25" s="710">
        <f>H25</f>
        <v>100</v>
      </c>
      <c r="V25" s="709" t="s">
        <v>17</v>
      </c>
      <c r="W25" s="710">
        <f>J25</f>
        <v>100</v>
      </c>
      <c r="X25" s="1532"/>
      <c r="Y25" s="3614"/>
      <c r="Z25" s="1533" t="str">
        <f>Q25</f>
        <v>临街状况</v>
      </c>
      <c r="AA25" s="1530">
        <f t="shared" si="3"/>
        <v>1</v>
      </c>
      <c r="AB25" s="1530">
        <f t="shared" si="4"/>
        <v>1</v>
      </c>
      <c r="AC25" s="1530">
        <f t="shared" si="5"/>
        <v>1</v>
      </c>
    </row>
    <row r="26" spans="1:29" ht="15">
      <c r="A26" s="382"/>
      <c r="B26" s="1289" t="s">
        <v>2474</v>
      </c>
      <c r="C26" s="388"/>
      <c r="D26" s="389">
        <v>100</v>
      </c>
      <c r="E26" s="388"/>
      <c r="F26" s="415">
        <f>SUMIF(88:88,E26,89:89)-SUMIF(88:88,C26,89:89)+100</f>
        <v>100</v>
      </c>
      <c r="G26" s="388"/>
      <c r="H26" s="389">
        <f>SUMIF(88:88,G26,89:89)-SUMIF(88:88,C26,89:89)+100</f>
        <v>100</v>
      </c>
      <c r="I26" s="388"/>
      <c r="J26" s="389">
        <f>SUMIF(88:88,I26,89:89)-SUMIF(88:88,C26,89:89)+100</f>
        <v>100</v>
      </c>
      <c r="K26" s="565"/>
      <c r="L26" s="2939"/>
      <c r="M26" s="2933"/>
      <c r="N26" s="2933"/>
      <c r="O26" s="2933"/>
      <c r="P26" s="3639"/>
      <c r="Q26" s="1529" t="str">
        <f t="shared" si="11"/>
        <v>平面位置/可视性</v>
      </c>
      <c r="R26" s="709" t="s">
        <v>17</v>
      </c>
      <c r="S26" s="710">
        <f>F26</f>
        <v>100</v>
      </c>
      <c r="T26" s="709" t="s">
        <v>17</v>
      </c>
      <c r="U26" s="710">
        <f>H26</f>
        <v>100</v>
      </c>
      <c r="V26" s="709" t="s">
        <v>17</v>
      </c>
      <c r="W26" s="710">
        <f>J26</f>
        <v>100</v>
      </c>
      <c r="X26" s="1532"/>
      <c r="Y26" s="3614"/>
      <c r="Z26" s="1533" t="str">
        <f>Q26</f>
        <v>平面位置/可视性</v>
      </c>
      <c r="AA26" s="1530">
        <f t="shared" si="3"/>
        <v>1</v>
      </c>
      <c r="AB26" s="1530">
        <f t="shared" si="4"/>
        <v>1</v>
      </c>
      <c r="AC26" s="1530">
        <f t="shared" si="5"/>
        <v>1</v>
      </c>
    </row>
    <row r="27" spans="1:29" s="108" customFormat="1" ht="15">
      <c r="A27" s="385"/>
      <c r="B27" s="405" t="s">
        <v>2475</v>
      </c>
      <c r="C27" s="2134"/>
      <c r="D27" s="416">
        <v>100</v>
      </c>
      <c r="E27" s="2134"/>
      <c r="F27" s="418">
        <f>SUMIF(90:90,E27,91:91)-SUMIF(90:90,C27,91:91)+100</f>
        <v>100</v>
      </c>
      <c r="G27" s="2134"/>
      <c r="H27" s="416">
        <f>SUMIF(90:90,G27,91:91)-SUMIF(90:90,C27,91:91)+100</f>
        <v>100</v>
      </c>
      <c r="I27" s="2134"/>
      <c r="J27" s="416">
        <f>SUMIF(90:90,I27,91:91)-SUMIF(90:90,C27,91:91)+100</f>
        <v>100</v>
      </c>
      <c r="K27" s="564"/>
      <c r="L27" s="2934"/>
      <c r="M27" s="2935"/>
      <c r="N27" s="2935"/>
      <c r="O27" s="2935"/>
      <c r="P27" s="3639"/>
      <c r="Q27" s="1520" t="str">
        <f t="shared" si="11"/>
        <v>人流量</v>
      </c>
      <c r="R27" s="705" t="s">
        <v>17</v>
      </c>
      <c r="S27" s="706">
        <f>F27</f>
        <v>100</v>
      </c>
      <c r="T27" s="705" t="s">
        <v>17</v>
      </c>
      <c r="U27" s="706">
        <f>H27</f>
        <v>100</v>
      </c>
      <c r="V27" s="705" t="s">
        <v>17</v>
      </c>
      <c r="W27" s="706">
        <f>J27</f>
        <v>100</v>
      </c>
      <c r="X27" s="707"/>
      <c r="Y27" s="3614"/>
      <c r="Z27" s="53" t="str">
        <f>Q27</f>
        <v>人流量</v>
      </c>
      <c r="AA27" s="1530">
        <f>D27/F27</f>
        <v>1</v>
      </c>
      <c r="AB27" s="1530">
        <f>D27/H27</f>
        <v>1</v>
      </c>
      <c r="AC27" s="1530">
        <f>D27/J27</f>
        <v>1</v>
      </c>
    </row>
    <row r="28" spans="1:29" ht="15">
      <c r="A28" s="382"/>
      <c r="B28" s="376" t="s">
        <v>2476</v>
      </c>
      <c r="C28" s="568"/>
      <c r="D28" s="389">
        <v>100</v>
      </c>
      <c r="E28" s="568"/>
      <c r="F28" s="415">
        <f>SUMIF(92:92,E28,93:93)-SUMIF(92:92,C28,93:93)+100</f>
        <v>100</v>
      </c>
      <c r="G28" s="568"/>
      <c r="H28" s="389">
        <f>SUMIF(92:92,G28,93:93)-SUMIF(92:92,C28,93:93)+100</f>
        <v>100</v>
      </c>
      <c r="I28" s="568"/>
      <c r="J28" s="389">
        <f>SUMIF(92:92,I28,93:93)-SUMIF(92:92,C28,93:93)+100</f>
        <v>100</v>
      </c>
      <c r="K28" s="565"/>
      <c r="L28" s="2939"/>
      <c r="M28" s="2933"/>
      <c r="N28" s="2933"/>
      <c r="O28" s="2933"/>
      <c r="P28" s="3639"/>
      <c r="Q28" s="1529" t="str">
        <f t="shared" si="11"/>
        <v>楼层</v>
      </c>
      <c r="R28" s="709" t="s">
        <v>17</v>
      </c>
      <c r="S28" s="710">
        <f t="shared" ref="S28:S46" si="12">F28</f>
        <v>100</v>
      </c>
      <c r="T28" s="709" t="s">
        <v>17</v>
      </c>
      <c r="U28" s="710">
        <f t="shared" ref="U28:U46" si="13">H28</f>
        <v>100</v>
      </c>
      <c r="V28" s="709" t="s">
        <v>17</v>
      </c>
      <c r="W28" s="710">
        <f t="shared" ref="W28:W46" si="14">J28</f>
        <v>100</v>
      </c>
      <c r="X28" s="1532"/>
      <c r="Y28" s="3614"/>
      <c r="Z28" s="1533" t="str">
        <f t="shared" ref="Z28:Z46" si="15">Q28</f>
        <v>楼层</v>
      </c>
      <c r="AA28" s="1530">
        <f t="shared" si="3"/>
        <v>1</v>
      </c>
      <c r="AB28" s="1530">
        <f t="shared" si="4"/>
        <v>1</v>
      </c>
      <c r="AC28" s="1530">
        <f t="shared" si="5"/>
        <v>1</v>
      </c>
    </row>
    <row r="29" spans="1:29" ht="15">
      <c r="A29" s="382"/>
      <c r="B29" s="1289">
        <v>111</v>
      </c>
      <c r="C29" s="388"/>
      <c r="D29" s="389">
        <v>100</v>
      </c>
      <c r="E29" s="388"/>
      <c r="F29" s="415">
        <f>SUMIF(94:94,E29,95:95)-SUMIF(94:94,C29,95:95)+100</f>
        <v>100</v>
      </c>
      <c r="G29" s="388"/>
      <c r="H29" s="389">
        <f>SUMIF(94:94,G29,95:95)-SUMIF(94:94,C29,95:95)+100</f>
        <v>100</v>
      </c>
      <c r="I29" s="388"/>
      <c r="J29" s="389">
        <f>SUMIF(94:94,I29,95:95)-SUMIF(94:94,C29,95:95)+100</f>
        <v>100</v>
      </c>
      <c r="K29" s="565"/>
      <c r="L29" s="2939"/>
      <c r="M29" s="2933"/>
      <c r="N29" s="2933"/>
      <c r="O29" s="2933"/>
      <c r="P29" s="3639"/>
      <c r="Q29" s="1529">
        <f t="shared" si="11"/>
        <v>111</v>
      </c>
      <c r="R29" s="709" t="s">
        <v>17</v>
      </c>
      <c r="S29" s="710">
        <f t="shared" si="12"/>
        <v>100</v>
      </c>
      <c r="T29" s="709" t="s">
        <v>17</v>
      </c>
      <c r="U29" s="710">
        <f t="shared" si="13"/>
        <v>100</v>
      </c>
      <c r="V29" s="709" t="s">
        <v>17</v>
      </c>
      <c r="W29" s="710">
        <f t="shared" si="14"/>
        <v>100</v>
      </c>
      <c r="X29" s="1532"/>
      <c r="Y29" s="3614"/>
      <c r="Z29" s="1533">
        <f t="shared" si="15"/>
        <v>111</v>
      </c>
      <c r="AA29" s="1530">
        <f t="shared" si="3"/>
        <v>1</v>
      </c>
      <c r="AB29" s="1530">
        <f t="shared" si="4"/>
        <v>1</v>
      </c>
      <c r="AC29" s="1530">
        <f t="shared" si="5"/>
        <v>1</v>
      </c>
    </row>
    <row r="30" spans="1:29" ht="15">
      <c r="A30" s="382"/>
      <c r="B30" s="1289">
        <v>111</v>
      </c>
      <c r="C30" s="388"/>
      <c r="D30" s="389">
        <v>100</v>
      </c>
      <c r="E30" s="388"/>
      <c r="F30" s="415">
        <f>SUMIF(96:96,E30,97:97)-SUMIF(96:96,C30,97:97)+100</f>
        <v>100</v>
      </c>
      <c r="G30" s="388"/>
      <c r="H30" s="389">
        <f>SUMIF(96:96,G30,97:97)-SUMIF(96:96,C30,97:97)+100</f>
        <v>100</v>
      </c>
      <c r="I30" s="388"/>
      <c r="J30" s="389">
        <f>SUMIF(96:96,I30,97:97)-SUMIF(96:96,C30,97:97)+100</f>
        <v>100</v>
      </c>
      <c r="K30" s="565"/>
      <c r="L30" s="2939"/>
      <c r="M30" s="2933"/>
      <c r="N30" s="2933"/>
      <c r="O30" s="2933"/>
      <c r="P30" s="3639"/>
      <c r="Q30" s="1529">
        <f t="shared" si="11"/>
        <v>111</v>
      </c>
      <c r="R30" s="709" t="s">
        <v>17</v>
      </c>
      <c r="S30" s="710">
        <f t="shared" si="12"/>
        <v>100</v>
      </c>
      <c r="T30" s="709" t="s">
        <v>17</v>
      </c>
      <c r="U30" s="710">
        <f t="shared" si="13"/>
        <v>100</v>
      </c>
      <c r="V30" s="709" t="s">
        <v>17</v>
      </c>
      <c r="W30" s="710">
        <f t="shared" si="14"/>
        <v>100</v>
      </c>
      <c r="X30" s="1532"/>
      <c r="Y30" s="3614"/>
      <c r="Z30" s="1533">
        <f t="shared" si="15"/>
        <v>111</v>
      </c>
      <c r="AA30" s="1530">
        <f t="shared" si="3"/>
        <v>1</v>
      </c>
      <c r="AB30" s="1530">
        <f t="shared" si="4"/>
        <v>1</v>
      </c>
      <c r="AC30" s="1530">
        <f t="shared" si="5"/>
        <v>1</v>
      </c>
    </row>
    <row r="31" spans="1:29" ht="15.75" thickBot="1">
      <c r="A31" s="390"/>
      <c r="B31" s="1289">
        <v>111</v>
      </c>
      <c r="C31" s="391"/>
      <c r="D31" s="392">
        <v>100</v>
      </c>
      <c r="E31" s="388"/>
      <c r="F31" s="393">
        <f>SUMIF(98:98,E31,99:99)-SUMIF(98:98,C31,99:99)+100</f>
        <v>100</v>
      </c>
      <c r="G31" s="388"/>
      <c r="H31" s="392">
        <f>SUMIF(98:98,G31,99:99)-SUMIF(98:98,C31,99:99)+100</f>
        <v>100</v>
      </c>
      <c r="I31" s="388"/>
      <c r="J31" s="392">
        <f>SUMIF(98:98,I31,99:99)-SUMIF(98:98,C31,99:99)+100</f>
        <v>100</v>
      </c>
      <c r="K31" s="565"/>
      <c r="L31" s="2939"/>
      <c r="M31" s="2933"/>
      <c r="N31" s="2933"/>
      <c r="O31" s="2933"/>
      <c r="P31" s="3639"/>
      <c r="Q31" s="1529">
        <f t="shared" si="11"/>
        <v>111</v>
      </c>
      <c r="R31" s="709" t="s">
        <v>17</v>
      </c>
      <c r="S31" s="710">
        <f t="shared" si="12"/>
        <v>100</v>
      </c>
      <c r="T31" s="709" t="s">
        <v>17</v>
      </c>
      <c r="U31" s="710">
        <f t="shared" si="13"/>
        <v>100</v>
      </c>
      <c r="V31" s="709" t="s">
        <v>17</v>
      </c>
      <c r="W31" s="710">
        <f t="shared" si="14"/>
        <v>100</v>
      </c>
      <c r="X31" s="1532"/>
      <c r="Y31" s="3614"/>
      <c r="Z31" s="1533">
        <f t="shared" si="15"/>
        <v>111</v>
      </c>
      <c r="AA31" s="1530">
        <f t="shared" si="3"/>
        <v>1</v>
      </c>
      <c r="AB31" s="1530">
        <f t="shared" si="4"/>
        <v>1</v>
      </c>
      <c r="AC31" s="1530">
        <f t="shared" si="5"/>
        <v>1</v>
      </c>
    </row>
    <row r="32" spans="1:29" ht="15">
      <c r="A32" s="394" t="s">
        <v>2380</v>
      </c>
      <c r="B32" s="63" t="s">
        <v>2477</v>
      </c>
      <c r="C32" s="2088"/>
      <c r="D32" s="421">
        <v>100</v>
      </c>
      <c r="E32" s="2088"/>
      <c r="F32" s="415">
        <f>SUMIF(100:100,E32,101:101)-SUMIF(100:100,C32,101:101)+100</f>
        <v>100</v>
      </c>
      <c r="G32" s="2088"/>
      <c r="H32" s="389">
        <f>SUMIF(100:100,G32,101:101)-SUMIF(100:100,C32,101:101)+100</f>
        <v>100</v>
      </c>
      <c r="I32" s="2088"/>
      <c r="J32" s="421">
        <f>SUMIF(100:100,I32,101:101)-SUMIF(100:100,C32,101:101)+100</f>
        <v>100</v>
      </c>
      <c r="K32" s="564"/>
      <c r="L32" s="2939"/>
      <c r="M32" s="2933"/>
      <c r="N32" s="2933"/>
      <c r="O32" s="2933"/>
      <c r="P32" s="3634" t="s">
        <v>2382</v>
      </c>
      <c r="Q32" s="1529" t="str">
        <f t="shared" si="11"/>
        <v>商业类型</v>
      </c>
      <c r="R32" s="709" t="s">
        <v>17</v>
      </c>
      <c r="S32" s="710">
        <f t="shared" si="12"/>
        <v>100</v>
      </c>
      <c r="T32" s="709" t="s">
        <v>17</v>
      </c>
      <c r="U32" s="710">
        <f t="shared" si="13"/>
        <v>100</v>
      </c>
      <c r="V32" s="709" t="s">
        <v>17</v>
      </c>
      <c r="W32" s="710">
        <f t="shared" si="14"/>
        <v>100</v>
      </c>
      <c r="X32" s="1532"/>
      <c r="Y32" s="3616" t="s">
        <v>2382</v>
      </c>
      <c r="Z32" s="1533" t="str">
        <f t="shared" si="15"/>
        <v>商业类型</v>
      </c>
      <c r="AA32" s="1530">
        <f t="shared" si="3"/>
        <v>1</v>
      </c>
      <c r="AB32" s="1530">
        <f t="shared" si="4"/>
        <v>1</v>
      </c>
      <c r="AC32" s="1530">
        <f t="shared" si="5"/>
        <v>1</v>
      </c>
    </row>
    <row r="33" spans="1:29" s="425" customFormat="1" ht="15">
      <c r="A33" s="422"/>
      <c r="B33" s="376" t="s">
        <v>2383</v>
      </c>
      <c r="C33" s="423"/>
      <c r="D33" s="127">
        <v>100</v>
      </c>
      <c r="E33" s="384"/>
      <c r="F33" s="379" t="e">
        <f>LOOKUP(E33,103:103,104:104)-LOOKUP(C33,103:103,104:104)+100</f>
        <v>#N/A</v>
      </c>
      <c r="G33" s="383"/>
      <c r="H33" s="127" t="e">
        <f>LOOKUP(G33,103:103,104:104)-LOOKUP(C33,103:103,104:104)+100</f>
        <v>#N/A</v>
      </c>
      <c r="I33" s="383"/>
      <c r="J33" s="127" t="e">
        <f>LOOKUP(I33,103:103,104:104)-LOOKUP(C33,103:103,104:104)+100</f>
        <v>#N/A</v>
      </c>
      <c r="K33" s="565"/>
      <c r="L33" s="2938"/>
      <c r="M33" s="2940"/>
      <c r="N33" s="2940"/>
      <c r="O33" s="2940"/>
      <c r="P33" s="3635"/>
      <c r="Q33" s="711" t="str">
        <f t="shared" si="11"/>
        <v>项目建筑规模</v>
      </c>
      <c r="R33" s="712" t="s">
        <v>17</v>
      </c>
      <c r="S33" s="713" t="e">
        <f t="shared" si="12"/>
        <v>#N/A</v>
      </c>
      <c r="T33" s="712" t="s">
        <v>17</v>
      </c>
      <c r="U33" s="713" t="e">
        <f t="shared" si="13"/>
        <v>#N/A</v>
      </c>
      <c r="V33" s="712" t="s">
        <v>17</v>
      </c>
      <c r="W33" s="713" t="e">
        <f t="shared" si="14"/>
        <v>#N/A</v>
      </c>
      <c r="X33" s="714"/>
      <c r="Y33" s="3616"/>
      <c r="Z33" s="715" t="str">
        <f t="shared" si="15"/>
        <v>项目建筑规模</v>
      </c>
      <c r="AA33" s="1530" t="e">
        <f t="shared" si="3"/>
        <v>#N/A</v>
      </c>
      <c r="AB33" s="1530" t="e">
        <f t="shared" si="4"/>
        <v>#N/A</v>
      </c>
      <c r="AC33" s="1530" t="e">
        <f t="shared" si="5"/>
        <v>#N/A</v>
      </c>
    </row>
    <row r="34" spans="1:29" ht="15">
      <c r="A34" s="426"/>
      <c r="B34" s="376" t="s">
        <v>2384</v>
      </c>
      <c r="C34" s="2090"/>
      <c r="D34" s="389">
        <v>100</v>
      </c>
      <c r="E34" s="2090"/>
      <c r="F34" s="415">
        <f>SUMIF(105:105,E34,106:106)-SUMIF(105:105,C34,106:106)+100</f>
        <v>100</v>
      </c>
      <c r="G34" s="2090"/>
      <c r="H34" s="389">
        <f>SUMIF(105:105,G34,106:106)-SUMIF(105:105,C34,106:106)+100</f>
        <v>100</v>
      </c>
      <c r="I34" s="2090"/>
      <c r="J34" s="389">
        <f>SUMIF(105:105,I34,106:106)-SUMIF(105:105,C34,106:106)+100</f>
        <v>100</v>
      </c>
      <c r="K34" s="564"/>
      <c r="L34" s="2939"/>
      <c r="M34" s="2933"/>
      <c r="N34" s="2933"/>
      <c r="O34" s="2933"/>
      <c r="P34" s="3635"/>
      <c r="Q34" s="1529" t="str">
        <f t="shared" si="11"/>
        <v>建筑结构</v>
      </c>
      <c r="R34" s="709" t="s">
        <v>17</v>
      </c>
      <c r="S34" s="710">
        <f t="shared" si="12"/>
        <v>100</v>
      </c>
      <c r="T34" s="709" t="s">
        <v>17</v>
      </c>
      <c r="U34" s="710">
        <f t="shared" si="13"/>
        <v>100</v>
      </c>
      <c r="V34" s="709" t="s">
        <v>17</v>
      </c>
      <c r="W34" s="710">
        <f t="shared" si="14"/>
        <v>100</v>
      </c>
      <c r="X34" s="1532"/>
      <c r="Y34" s="3616"/>
      <c r="Z34" s="1533" t="str">
        <f t="shared" si="15"/>
        <v>建筑结构</v>
      </c>
      <c r="AA34" s="1530">
        <f t="shared" si="3"/>
        <v>1</v>
      </c>
      <c r="AB34" s="1530">
        <f t="shared" si="4"/>
        <v>1</v>
      </c>
      <c r="AC34" s="1530">
        <f t="shared" si="5"/>
        <v>1</v>
      </c>
    </row>
    <row r="35" spans="1:29" ht="15">
      <c r="A35" s="426"/>
      <c r="B35" s="376" t="s">
        <v>2478</v>
      </c>
      <c r="C35" s="2084"/>
      <c r="D35" s="389">
        <v>100</v>
      </c>
      <c r="E35" s="2084"/>
      <c r="F35" s="415">
        <f>SUMIF(107:107,E35,108:108)-SUMIF(107:107,C35,108:108)+100</f>
        <v>100</v>
      </c>
      <c r="G35" s="2084"/>
      <c r="H35" s="389">
        <f>SUMIF(107:107,G35,108:108)-SUMIF(107:107,C35,108:108)+100</f>
        <v>100</v>
      </c>
      <c r="I35" s="2084"/>
      <c r="J35" s="389">
        <f>SUMIF(107:107,I35,108:108)-SUMIF(107:107,C35,108:108)+100</f>
        <v>100</v>
      </c>
      <c r="K35" s="564"/>
      <c r="L35" s="2939"/>
      <c r="M35" s="2933"/>
      <c r="N35" s="2933"/>
      <c r="O35" s="2933"/>
      <c r="P35" s="3635"/>
      <c r="Q35" s="1529" t="str">
        <f t="shared" si="11"/>
        <v>公共部分装修</v>
      </c>
      <c r="R35" s="709" t="s">
        <v>17</v>
      </c>
      <c r="S35" s="710">
        <f t="shared" si="12"/>
        <v>100</v>
      </c>
      <c r="T35" s="709" t="s">
        <v>17</v>
      </c>
      <c r="U35" s="710">
        <f t="shared" si="13"/>
        <v>100</v>
      </c>
      <c r="V35" s="709" t="s">
        <v>17</v>
      </c>
      <c r="W35" s="710">
        <f t="shared" si="14"/>
        <v>100</v>
      </c>
      <c r="X35" s="1532"/>
      <c r="Y35" s="3616"/>
      <c r="Z35" s="1533" t="str">
        <f t="shared" si="15"/>
        <v>公共部分装修</v>
      </c>
      <c r="AA35" s="1530">
        <f t="shared" si="3"/>
        <v>1</v>
      </c>
      <c r="AB35" s="1530">
        <f t="shared" si="4"/>
        <v>1</v>
      </c>
      <c r="AC35" s="1530">
        <f t="shared" si="5"/>
        <v>1</v>
      </c>
    </row>
    <row r="36" spans="1:29" ht="15">
      <c r="A36" s="426"/>
      <c r="B36" s="376" t="s">
        <v>2479</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939"/>
      <c r="M36" s="2933"/>
      <c r="N36" s="2933"/>
      <c r="O36" s="2933"/>
      <c r="P36" s="3635"/>
      <c r="Q36" s="1529" t="str">
        <f t="shared" si="11"/>
        <v>成新度</v>
      </c>
      <c r="R36" s="709" t="s">
        <v>17</v>
      </c>
      <c r="S36" s="710" t="e">
        <f t="shared" si="12"/>
        <v>#N/A</v>
      </c>
      <c r="T36" s="709" t="s">
        <v>17</v>
      </c>
      <c r="U36" s="710" t="e">
        <f t="shared" si="13"/>
        <v>#N/A</v>
      </c>
      <c r="V36" s="709" t="s">
        <v>17</v>
      </c>
      <c r="W36" s="710" t="e">
        <f t="shared" si="14"/>
        <v>#N/A</v>
      </c>
      <c r="X36" s="1532"/>
      <c r="Y36" s="3616"/>
      <c r="Z36" s="1533" t="str">
        <f t="shared" si="15"/>
        <v>成新度</v>
      </c>
      <c r="AA36" s="1530" t="e">
        <f t="shared" si="3"/>
        <v>#N/A</v>
      </c>
      <c r="AB36" s="1530" t="e">
        <f t="shared" si="4"/>
        <v>#N/A</v>
      </c>
      <c r="AC36" s="1530" t="e">
        <f t="shared" si="5"/>
        <v>#N/A</v>
      </c>
    </row>
    <row r="37" spans="1:29" s="108" customFormat="1" ht="15">
      <c r="A37" s="427"/>
      <c r="B37" s="376" t="s">
        <v>2480</v>
      </c>
      <c r="C37" s="2084"/>
      <c r="D37" s="127">
        <v>100</v>
      </c>
      <c r="E37" s="2084"/>
      <c r="F37" s="415">
        <f>SUMIF(112:112,E37,113:113)-SUMIF(112:112,C37,113:113)+100</f>
        <v>100</v>
      </c>
      <c r="G37" s="2084"/>
      <c r="H37" s="389">
        <f>SUMIF(112:112,G37,113:113)-SUMIF(112:112,C37,113:113)+100</f>
        <v>100</v>
      </c>
      <c r="I37" s="2084"/>
      <c r="J37" s="389">
        <f>SUMIF(112:112,I37,113:113)-SUMIF(112:112,C37,113:113)+100</f>
        <v>100</v>
      </c>
      <c r="K37" s="564"/>
      <c r="L37" s="2934"/>
      <c r="M37" s="2935"/>
      <c r="N37" s="2935"/>
      <c r="O37" s="2935"/>
      <c r="P37" s="3635"/>
      <c r="Q37" s="1520" t="str">
        <f t="shared" si="11"/>
        <v>市政基础设施</v>
      </c>
      <c r="R37" s="705" t="s">
        <v>17</v>
      </c>
      <c r="S37" s="706">
        <f t="shared" si="12"/>
        <v>100</v>
      </c>
      <c r="T37" s="705" t="s">
        <v>17</v>
      </c>
      <c r="U37" s="706">
        <f t="shared" si="13"/>
        <v>100</v>
      </c>
      <c r="V37" s="705" t="s">
        <v>17</v>
      </c>
      <c r="W37" s="706">
        <f t="shared" si="14"/>
        <v>100</v>
      </c>
      <c r="X37" s="707"/>
      <c r="Y37" s="3616"/>
      <c r="Z37" s="53" t="str">
        <f t="shared" si="15"/>
        <v>市政基础设施</v>
      </c>
      <c r="AA37" s="708">
        <f t="shared" si="3"/>
        <v>1</v>
      </c>
      <c r="AB37" s="708">
        <f t="shared" si="4"/>
        <v>1</v>
      </c>
      <c r="AC37" s="708">
        <f t="shared" si="5"/>
        <v>1</v>
      </c>
    </row>
    <row r="38" spans="1:29" ht="15">
      <c r="A38" s="426"/>
      <c r="B38" s="376" t="s">
        <v>2481</v>
      </c>
      <c r="C38" s="2084"/>
      <c r="D38" s="389">
        <v>100</v>
      </c>
      <c r="E38" s="2084"/>
      <c r="F38" s="415">
        <f>SUMIF(114:114,E38,115:115)-SUMIF(114:114,C38,115:115)+100</f>
        <v>100</v>
      </c>
      <c r="G38" s="2084"/>
      <c r="H38" s="389">
        <f>SUMIF(114:114,G38,115:115)-SUMIF(114:114,C38,115:115)+100</f>
        <v>100</v>
      </c>
      <c r="I38" s="2084"/>
      <c r="J38" s="389">
        <f>SUMIF(114:114,I38,115:115)-SUMIF(114:114,C38,115:115)+100</f>
        <v>100</v>
      </c>
      <c r="K38" s="564"/>
      <c r="L38" s="2939"/>
      <c r="M38" s="2933"/>
      <c r="N38" s="2933"/>
      <c r="O38" s="2933"/>
      <c r="P38" s="3635" t="s">
        <v>2382</v>
      </c>
      <c r="Q38" s="1529" t="str">
        <f t="shared" si="11"/>
        <v>业态</v>
      </c>
      <c r="R38" s="709" t="s">
        <v>17</v>
      </c>
      <c r="S38" s="710">
        <f t="shared" si="12"/>
        <v>100</v>
      </c>
      <c r="T38" s="709" t="s">
        <v>17</v>
      </c>
      <c r="U38" s="710">
        <f t="shared" si="13"/>
        <v>100</v>
      </c>
      <c r="V38" s="709" t="s">
        <v>17</v>
      </c>
      <c r="W38" s="710">
        <f t="shared" si="14"/>
        <v>100</v>
      </c>
      <c r="X38" s="1532"/>
      <c r="Y38" s="3616" t="s">
        <v>2382</v>
      </c>
      <c r="Z38" s="1533" t="str">
        <f t="shared" si="15"/>
        <v>业态</v>
      </c>
      <c r="AA38" s="1530">
        <f t="shared" si="3"/>
        <v>1</v>
      </c>
      <c r="AB38" s="1530">
        <f t="shared" si="4"/>
        <v>1</v>
      </c>
      <c r="AC38" s="1530">
        <f t="shared" si="5"/>
        <v>1</v>
      </c>
    </row>
    <row r="39" spans="1:29" ht="15">
      <c r="A39" s="426"/>
      <c r="B39" s="376" t="s">
        <v>2482</v>
      </c>
      <c r="C39" s="2084"/>
      <c r="D39" s="389">
        <v>100</v>
      </c>
      <c r="E39" s="2084"/>
      <c r="F39" s="415">
        <f>SUMIF(116:116,E39,117:117)-SUMIF(116:116,C39,117:117)+100</f>
        <v>100</v>
      </c>
      <c r="G39" s="2084"/>
      <c r="H39" s="389">
        <f>SUMIF(116:116,G39,117:117)-SUMIF(116:116,C39,117:117)+100</f>
        <v>100</v>
      </c>
      <c r="I39" s="2084"/>
      <c r="J39" s="389">
        <f>SUMIF(116:116,I39,117:117)-SUMIF(116:116,C39,117:117)+100</f>
        <v>100</v>
      </c>
      <c r="K39" s="564"/>
      <c r="L39" s="2939"/>
      <c r="M39" s="2933"/>
      <c r="N39" s="2933"/>
      <c r="O39" s="2933"/>
      <c r="P39" s="3635"/>
      <c r="Q39" s="1529" t="str">
        <f t="shared" si="11"/>
        <v>层高</v>
      </c>
      <c r="R39" s="709" t="s">
        <v>17</v>
      </c>
      <c r="S39" s="710">
        <f t="shared" si="12"/>
        <v>100</v>
      </c>
      <c r="T39" s="709" t="s">
        <v>17</v>
      </c>
      <c r="U39" s="710">
        <f t="shared" si="13"/>
        <v>100</v>
      </c>
      <c r="V39" s="709" t="s">
        <v>17</v>
      </c>
      <c r="W39" s="710">
        <f t="shared" si="14"/>
        <v>100</v>
      </c>
      <c r="X39" s="1532"/>
      <c r="Y39" s="3616"/>
      <c r="Z39" s="1533" t="str">
        <f t="shared" si="15"/>
        <v>层高</v>
      </c>
      <c r="AA39" s="1530">
        <f t="shared" si="3"/>
        <v>1</v>
      </c>
      <c r="AB39" s="1530">
        <f t="shared" si="4"/>
        <v>1</v>
      </c>
      <c r="AC39" s="1530">
        <f t="shared" si="5"/>
        <v>1</v>
      </c>
    </row>
    <row r="40" spans="1:29" ht="15">
      <c r="A40" s="426"/>
      <c r="B40" s="376" t="s">
        <v>2483</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939"/>
      <c r="M40" s="2933"/>
      <c r="N40" s="2933"/>
      <c r="O40" s="2933"/>
      <c r="P40" s="3635"/>
      <c r="Q40" s="1529" t="str">
        <f t="shared" si="11"/>
        <v>单套建筑面积</v>
      </c>
      <c r="R40" s="709" t="s">
        <v>17</v>
      </c>
      <c r="S40" s="710">
        <f t="shared" si="12"/>
        <v>100</v>
      </c>
      <c r="T40" s="709" t="s">
        <v>17</v>
      </c>
      <c r="U40" s="710">
        <f t="shared" si="13"/>
        <v>100</v>
      </c>
      <c r="V40" s="709" t="s">
        <v>17</v>
      </c>
      <c r="W40" s="710">
        <f t="shared" si="14"/>
        <v>100</v>
      </c>
      <c r="X40" s="1532"/>
      <c r="Y40" s="3616"/>
      <c r="Z40" s="1533" t="str">
        <f t="shared" si="15"/>
        <v>单套建筑面积</v>
      </c>
      <c r="AA40" s="1530">
        <f t="shared" si="3"/>
        <v>1</v>
      </c>
      <c r="AB40" s="1530">
        <f t="shared" si="4"/>
        <v>1</v>
      </c>
      <c r="AC40" s="1530">
        <f t="shared" si="5"/>
        <v>1</v>
      </c>
    </row>
    <row r="41" spans="1:29" s="425" customFormat="1" ht="15">
      <c r="A41" s="422"/>
      <c r="B41" s="1531" t="s">
        <v>2484</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938"/>
      <c r="M41" s="2940"/>
      <c r="N41" s="2940"/>
      <c r="O41" s="2940"/>
      <c r="P41" s="3635"/>
      <c r="Q41" s="711" t="str">
        <f t="shared" si="11"/>
        <v>进深比</v>
      </c>
      <c r="R41" s="712" t="s">
        <v>17</v>
      </c>
      <c r="S41" s="713">
        <f t="shared" si="12"/>
        <v>100</v>
      </c>
      <c r="T41" s="712" t="s">
        <v>17</v>
      </c>
      <c r="U41" s="713">
        <f t="shared" si="13"/>
        <v>100</v>
      </c>
      <c r="V41" s="712" t="s">
        <v>17</v>
      </c>
      <c r="W41" s="713">
        <f t="shared" si="14"/>
        <v>100</v>
      </c>
      <c r="X41" s="714"/>
      <c r="Y41" s="3616"/>
      <c r="Z41" s="715" t="str">
        <f t="shared" si="15"/>
        <v>进深比</v>
      </c>
      <c r="AA41" s="1530">
        <f t="shared" si="3"/>
        <v>1</v>
      </c>
      <c r="AB41" s="1530">
        <f t="shared" si="4"/>
        <v>1</v>
      </c>
      <c r="AC41" s="1530">
        <f t="shared" si="5"/>
        <v>1</v>
      </c>
    </row>
    <row r="42" spans="1:29" ht="15">
      <c r="A42" s="426"/>
      <c r="B42" s="376" t="s">
        <v>2485</v>
      </c>
      <c r="C42" s="2084"/>
      <c r="D42" s="389">
        <v>100</v>
      </c>
      <c r="E42" s="2084"/>
      <c r="F42" s="415">
        <f>SUMIF(122:122,E42,123:123)-SUMIF(122:122,C42,123:123)+100</f>
        <v>100</v>
      </c>
      <c r="G42" s="2084"/>
      <c r="H42" s="389">
        <f>SUMIF(122:122,G42,123:123)-SUMIF(122:122,C42,123:123)+100</f>
        <v>100</v>
      </c>
      <c r="I42" s="2084"/>
      <c r="J42" s="389">
        <f>SUMIF(122:122,I42,123:123)-SUMIF(122:122,C42,123:123)+100</f>
        <v>100</v>
      </c>
      <c r="K42" s="564"/>
      <c r="L42" s="2939"/>
      <c r="M42" s="2933"/>
      <c r="N42" s="2933"/>
      <c r="O42" s="2933"/>
      <c r="P42" s="3635"/>
      <c r="Q42" s="1529" t="str">
        <f t="shared" si="11"/>
        <v>内部装修</v>
      </c>
      <c r="R42" s="709" t="s">
        <v>17</v>
      </c>
      <c r="S42" s="710">
        <f t="shared" si="12"/>
        <v>100</v>
      </c>
      <c r="T42" s="709" t="s">
        <v>17</v>
      </c>
      <c r="U42" s="710">
        <f t="shared" si="13"/>
        <v>100</v>
      </c>
      <c r="V42" s="709" t="s">
        <v>17</v>
      </c>
      <c r="W42" s="710">
        <f t="shared" si="14"/>
        <v>100</v>
      </c>
      <c r="X42" s="1532"/>
      <c r="Y42" s="3616"/>
      <c r="Z42" s="1533" t="str">
        <f t="shared" si="15"/>
        <v>内部装修</v>
      </c>
      <c r="AA42" s="1530">
        <f t="shared" si="3"/>
        <v>1</v>
      </c>
      <c r="AB42" s="1530">
        <f t="shared" si="4"/>
        <v>1</v>
      </c>
      <c r="AC42" s="1530">
        <f t="shared" si="5"/>
        <v>1</v>
      </c>
    </row>
    <row r="43" spans="1:29" ht="15">
      <c r="A43" s="426"/>
      <c r="B43" s="376" t="s">
        <v>2393</v>
      </c>
      <c r="C43" s="2084"/>
      <c r="D43" s="389">
        <v>100</v>
      </c>
      <c r="E43" s="2084"/>
      <c r="F43" s="415">
        <f>SUMIF(124:124,E43,125:125)-SUMIF(124:124,C43,125:125)+100</f>
        <v>100</v>
      </c>
      <c r="G43" s="2084"/>
      <c r="H43" s="389">
        <f>SUMIF(124:124,G43,125:125)-SUMIF(124:124,C43,125:125)+100</f>
        <v>100</v>
      </c>
      <c r="I43" s="2084"/>
      <c r="J43" s="389">
        <f>SUMIF(124:124,I43,125:125)-SUMIF(124:124,C43,125:125)+100</f>
        <v>100</v>
      </c>
      <c r="K43" s="564"/>
      <c r="L43" s="2939"/>
      <c r="M43" s="2933"/>
      <c r="N43" s="2933"/>
      <c r="O43" s="2933"/>
      <c r="P43" s="3635"/>
      <c r="Q43" s="1529" t="str">
        <f t="shared" si="11"/>
        <v>内部装修维护情况</v>
      </c>
      <c r="R43" s="709" t="s">
        <v>17</v>
      </c>
      <c r="S43" s="710">
        <f t="shared" si="12"/>
        <v>100</v>
      </c>
      <c r="T43" s="709" t="s">
        <v>17</v>
      </c>
      <c r="U43" s="710">
        <f t="shared" si="13"/>
        <v>100</v>
      </c>
      <c r="V43" s="709" t="s">
        <v>17</v>
      </c>
      <c r="W43" s="710">
        <f t="shared" si="14"/>
        <v>100</v>
      </c>
      <c r="X43" s="1532"/>
      <c r="Y43" s="3616"/>
      <c r="Z43" s="1533" t="str">
        <f t="shared" si="15"/>
        <v>内部装修维护情况</v>
      </c>
      <c r="AA43" s="1530">
        <f t="shared" si="3"/>
        <v>1</v>
      </c>
      <c r="AB43" s="1530">
        <f t="shared" si="4"/>
        <v>1</v>
      </c>
      <c r="AC43" s="1530">
        <f t="shared" si="5"/>
        <v>1</v>
      </c>
    </row>
    <row r="44" spans="1:29" s="108" customFormat="1" ht="15">
      <c r="A44" s="427"/>
      <c r="B44" s="1289">
        <v>111</v>
      </c>
      <c r="C44" s="423"/>
      <c r="D44" s="127">
        <v>100</v>
      </c>
      <c r="E44" s="388"/>
      <c r="F44" s="379">
        <f>SUMIF(126:126,E44,127:127)-SUMIF(126:126,C44,127:127)+100</f>
        <v>100</v>
      </c>
      <c r="G44" s="388"/>
      <c r="H44" s="127">
        <f>SUMIF(126:126,G44,127:127)-SUMIF(126:126,C44,127:127)+100</f>
        <v>100</v>
      </c>
      <c r="I44" s="388"/>
      <c r="J44" s="127">
        <f>SUMIF(126:126,I44,127:127)-SUMIF(126:126,C44,127:127)+100</f>
        <v>100</v>
      </c>
      <c r="K44" s="565"/>
      <c r="L44" s="2934"/>
      <c r="M44" s="2935"/>
      <c r="N44" s="2935"/>
      <c r="O44" s="2935"/>
      <c r="P44" s="3635"/>
      <c r="Q44" s="1520">
        <f t="shared" si="11"/>
        <v>111</v>
      </c>
      <c r="R44" s="705" t="s">
        <v>17</v>
      </c>
      <c r="S44" s="706">
        <f t="shared" si="12"/>
        <v>100</v>
      </c>
      <c r="T44" s="705" t="s">
        <v>17</v>
      </c>
      <c r="U44" s="706">
        <f t="shared" si="13"/>
        <v>100</v>
      </c>
      <c r="V44" s="705" t="s">
        <v>17</v>
      </c>
      <c r="W44" s="706">
        <f t="shared" si="14"/>
        <v>100</v>
      </c>
      <c r="X44" s="707"/>
      <c r="Y44" s="3616"/>
      <c r="Z44" s="53">
        <f t="shared" si="15"/>
        <v>111</v>
      </c>
      <c r="AA44" s="708">
        <f t="shared" si="3"/>
        <v>1</v>
      </c>
      <c r="AB44" s="708">
        <f t="shared" si="4"/>
        <v>1</v>
      </c>
      <c r="AC44" s="708">
        <f t="shared" si="5"/>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939"/>
      <c r="M45" s="2933"/>
      <c r="N45" s="2933"/>
      <c r="O45" s="2933"/>
      <c r="P45" s="3635"/>
      <c r="Q45" s="1529">
        <f t="shared" si="11"/>
        <v>111</v>
      </c>
      <c r="R45" s="709" t="s">
        <v>17</v>
      </c>
      <c r="S45" s="710">
        <f t="shared" si="12"/>
        <v>100</v>
      </c>
      <c r="T45" s="709" t="s">
        <v>17</v>
      </c>
      <c r="U45" s="710">
        <f t="shared" si="13"/>
        <v>100</v>
      </c>
      <c r="V45" s="709" t="s">
        <v>17</v>
      </c>
      <c r="W45" s="710">
        <f t="shared" si="14"/>
        <v>100</v>
      </c>
      <c r="X45" s="1532"/>
      <c r="Y45" s="3616"/>
      <c r="Z45" s="1533">
        <f t="shared" si="15"/>
        <v>111</v>
      </c>
      <c r="AA45" s="1530">
        <f t="shared" si="3"/>
        <v>1</v>
      </c>
      <c r="AB45" s="1530">
        <f t="shared" si="4"/>
        <v>1</v>
      </c>
      <c r="AC45" s="1530">
        <f t="shared" si="5"/>
        <v>1</v>
      </c>
    </row>
    <row r="46" spans="1:29" ht="15.75" thickBot="1">
      <c r="A46" s="432"/>
      <c r="B46" s="2073">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939"/>
      <c r="M46" s="2933"/>
      <c r="N46" s="2933"/>
      <c r="O46" s="2933"/>
      <c r="P46" s="3636"/>
      <c r="Q46" s="1529">
        <f t="shared" si="11"/>
        <v>111</v>
      </c>
      <c r="R46" s="709" t="s">
        <v>17</v>
      </c>
      <c r="S46" s="710">
        <f t="shared" si="12"/>
        <v>100</v>
      </c>
      <c r="T46" s="709" t="s">
        <v>17</v>
      </c>
      <c r="U46" s="710">
        <f t="shared" si="13"/>
        <v>100</v>
      </c>
      <c r="V46" s="709" t="s">
        <v>17</v>
      </c>
      <c r="W46" s="710">
        <f t="shared" si="14"/>
        <v>100</v>
      </c>
      <c r="X46" s="1532"/>
      <c r="Y46" s="3637"/>
      <c r="Z46" s="1533">
        <f t="shared" si="15"/>
        <v>111</v>
      </c>
      <c r="AA46" s="1530">
        <f t="shared" si="3"/>
        <v>1</v>
      </c>
      <c r="AB46" s="1530">
        <f t="shared" si="4"/>
        <v>1</v>
      </c>
      <c r="AC46" s="1530">
        <f t="shared" si="5"/>
        <v>1</v>
      </c>
    </row>
    <row r="47" spans="1:29" ht="15">
      <c r="A47" s="433" t="s">
        <v>2394</v>
      </c>
      <c r="B47" s="434"/>
      <c r="C47" s="1310" t="s">
        <v>1</v>
      </c>
      <c r="D47" s="1311"/>
      <c r="E47" s="1312"/>
      <c r="F47" s="1313"/>
      <c r="G47" s="1314"/>
      <c r="H47" s="1315"/>
      <c r="I47" s="1312"/>
      <c r="J47" s="1315"/>
      <c r="K47" s="718"/>
      <c r="L47" s="2941"/>
      <c r="M47" s="2942"/>
      <c r="N47" s="2933"/>
      <c r="O47" s="2942"/>
      <c r="P47" s="3598" t="str">
        <f>A47</f>
        <v>成交单价（元/平方米）</v>
      </c>
      <c r="Q47" s="3598"/>
      <c r="R47" s="3611">
        <f>E47</f>
        <v>0</v>
      </c>
      <c r="S47" s="3611"/>
      <c r="T47" s="3611">
        <f>G47</f>
        <v>0</v>
      </c>
      <c r="U47" s="3611"/>
      <c r="V47" s="3611">
        <f>I47</f>
        <v>0</v>
      </c>
      <c r="W47" s="3611"/>
      <c r="X47" s="694"/>
      <c r="Y47" s="716"/>
      <c r="Z47" s="694"/>
      <c r="AA47" s="694"/>
      <c r="AB47" s="694"/>
      <c r="AC47" s="694"/>
    </row>
    <row r="48" spans="1:29" ht="15.75" thickBot="1">
      <c r="A48" s="440" t="s">
        <v>2486</v>
      </c>
      <c r="B48" s="441"/>
      <c r="C48" s="1316" t="e">
        <f>R49</f>
        <v>#DIV/0!</v>
      </c>
      <c r="D48" s="2530" t="s">
        <v>2877</v>
      </c>
      <c r="E48" s="1317" t="e">
        <f>R48</f>
        <v>#DIV/0!</v>
      </c>
      <c r="F48" s="2531"/>
      <c r="G48" s="1316" t="e">
        <f>T48</f>
        <v>#DIV/0!</v>
      </c>
      <c r="H48" s="2531"/>
      <c r="I48" s="1317" t="e">
        <f>V48</f>
        <v>#DIV/0!</v>
      </c>
      <c r="J48" s="2531"/>
      <c r="K48" s="2533">
        <f>F48+H48+J48</f>
        <v>0</v>
      </c>
      <c r="L48" s="2941"/>
      <c r="M48" s="2942"/>
      <c r="N48" s="2933"/>
      <c r="O48" s="2942"/>
      <c r="P48" s="3598" t="str">
        <f>A48</f>
        <v>比较价值（元/平方米）</v>
      </c>
      <c r="Q48" s="3598"/>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694"/>
      <c r="Y48" s="694"/>
      <c r="Z48" s="694"/>
      <c r="AA48" s="694"/>
      <c r="AB48" s="694"/>
      <c r="AC48" s="694"/>
    </row>
    <row r="49" spans="1:29" ht="15.75" thickBot="1">
      <c r="A49" s="444" t="s">
        <v>2487</v>
      </c>
      <c r="B49" s="445"/>
      <c r="C49" s="1319" t="e">
        <f>R49</f>
        <v>#DIV/0!</v>
      </c>
      <c r="D49" s="1319"/>
      <c r="E49" s="1319"/>
      <c r="F49" s="1319"/>
      <c r="G49" s="1319"/>
      <c r="H49" s="1319"/>
      <c r="I49" s="1319"/>
      <c r="J49" s="1319"/>
      <c r="K49" s="719"/>
      <c r="L49" s="2941"/>
      <c r="M49" s="2942"/>
      <c r="N49" s="2933"/>
      <c r="O49" s="2942"/>
      <c r="P49" s="3618" t="str">
        <f>A49</f>
        <v>估价对象XX用房的比较价值（楼面单价，元/平方米）</v>
      </c>
      <c r="Q49" s="3619"/>
      <c r="R49" s="3632" t="e">
        <f>IF(F1="售价",ROUND(IF(D48="简单平均",AVERAGE(R48:V48),R48*F48+T48*H48+V48*J48),0),ROUND(IF(D48="简单平均",AVERAGE(R48:V48),R48*F48+T48*H48+V48*J48),1))</f>
        <v>#DIV/0!</v>
      </c>
      <c r="S49" s="3632"/>
      <c r="T49" s="3632"/>
      <c r="U49" s="3632"/>
      <c r="V49" s="3632"/>
      <c r="W49" s="3632"/>
      <c r="X49" s="694"/>
      <c r="Y49" s="694"/>
      <c r="Z49" s="694"/>
      <c r="AA49" s="694"/>
      <c r="AB49" s="694"/>
      <c r="AC49" s="694"/>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49" t="s">
        <v>2488</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49" t="s">
        <v>2489</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4" customFormat="1" ht="13.5" customHeight="1">
      <c r="A54" s="2945"/>
      <c r="B54" s="2945"/>
      <c r="C54" s="449" t="s">
        <v>2490</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4"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698" t="s">
        <v>2491</v>
      </c>
      <c r="B57" s="694"/>
      <c r="C57" s="699"/>
      <c r="D57" s="699"/>
      <c r="E57" s="699"/>
      <c r="F57" s="700"/>
      <c r="G57" s="700"/>
      <c r="H57" s="699"/>
      <c r="I57" s="699"/>
      <c r="J57" s="699"/>
      <c r="K57" s="701"/>
      <c r="L57" s="1067"/>
      <c r="M57" s="1065"/>
      <c r="N57" s="1065"/>
      <c r="O57" s="1065"/>
      <c r="P57" s="2955"/>
      <c r="Q57" s="2956"/>
      <c r="R57" s="2942"/>
      <c r="S57" s="2942"/>
      <c r="T57" s="2942"/>
      <c r="U57" s="2942"/>
      <c r="V57" s="2942"/>
      <c r="W57" s="2942"/>
      <c r="X57" s="2942"/>
      <c r="Y57" s="2942"/>
      <c r="Z57" s="2942"/>
      <c r="AA57" s="2942"/>
      <c r="AB57" s="2942"/>
      <c r="AC57" s="2942"/>
    </row>
    <row r="58" spans="1:29" s="460" customFormat="1" ht="15">
      <c r="A58" s="457" t="s">
        <v>2365</v>
      </c>
      <c r="B58" s="458"/>
      <c r="C58" s="1339" t="str">
        <f>YEAR(C7)&amp;"-"&amp;MONTH(C7)</f>
        <v>2022-1</v>
      </c>
      <c r="D58" s="1340">
        <f>EDATE(C58,-1)</f>
        <v>44531</v>
      </c>
      <c r="E58" s="1340">
        <f t="shared" ref="E58:N58" si="16">EDATE(D58,-1)</f>
        <v>44501</v>
      </c>
      <c r="F58" s="1340">
        <f t="shared" si="16"/>
        <v>44470</v>
      </c>
      <c r="G58" s="1340">
        <f t="shared" si="16"/>
        <v>44440</v>
      </c>
      <c r="H58" s="1340">
        <f t="shared" si="16"/>
        <v>44409</v>
      </c>
      <c r="I58" s="1340">
        <f t="shared" si="16"/>
        <v>44378</v>
      </c>
      <c r="J58" s="1340">
        <f t="shared" si="16"/>
        <v>44348</v>
      </c>
      <c r="K58" s="1340">
        <f t="shared" si="16"/>
        <v>44317</v>
      </c>
      <c r="L58" s="1340">
        <f t="shared" si="16"/>
        <v>44287</v>
      </c>
      <c r="M58" s="1340">
        <f t="shared" si="16"/>
        <v>44256</v>
      </c>
      <c r="N58" s="1340">
        <f t="shared" si="16"/>
        <v>44228</v>
      </c>
      <c r="O58" s="1340">
        <f>EDATE(N58,-1)</f>
        <v>44197</v>
      </c>
      <c r="P58" s="2957"/>
      <c r="Q58" s="2958"/>
      <c r="R58" s="2958"/>
      <c r="S58" s="2958"/>
      <c r="T58" s="2958"/>
      <c r="U58" s="2958"/>
      <c r="V58" s="2958"/>
      <c r="W58" s="2958"/>
      <c r="X58" s="2958"/>
      <c r="Y58" s="2958"/>
      <c r="Z58" s="2958"/>
      <c r="AA58" s="2958"/>
      <c r="AB58" s="2958"/>
      <c r="AC58" s="2958"/>
    </row>
    <row r="59" spans="1:29" s="108" customFormat="1" ht="15">
      <c r="A59" s="461"/>
      <c r="B59" s="462"/>
      <c r="C59" s="1338">
        <v>100</v>
      </c>
      <c r="D59" s="464"/>
      <c r="E59" s="464"/>
      <c r="F59" s="464"/>
      <c r="G59" s="464"/>
      <c r="H59" s="464"/>
      <c r="I59" s="464"/>
      <c r="J59" s="464"/>
      <c r="K59" s="464"/>
      <c r="L59" s="464"/>
      <c r="M59" s="465"/>
      <c r="N59" s="464"/>
      <c r="O59" s="465"/>
      <c r="P59" s="2959"/>
      <c r="Q59" s="2877"/>
      <c r="R59" s="2877"/>
      <c r="S59" s="2877"/>
      <c r="T59" s="2877"/>
      <c r="U59" s="2877"/>
      <c r="V59" s="2877"/>
      <c r="W59" s="2877"/>
      <c r="X59" s="2877"/>
      <c r="Y59" s="2877"/>
      <c r="Z59" s="2877"/>
      <c r="AA59" s="2877"/>
      <c r="AB59" s="2877"/>
      <c r="AC59" s="2877"/>
    </row>
    <row r="60" spans="1:29" s="108" customFormat="1" ht="15.75" thickBot="1">
      <c r="A60" s="467" t="s">
        <v>2402</v>
      </c>
      <c r="B60" s="468"/>
      <c r="C60" s="469"/>
      <c r="D60" s="470"/>
      <c r="E60" s="470"/>
      <c r="F60" s="470"/>
      <c r="G60" s="470"/>
      <c r="H60" s="470"/>
      <c r="I60" s="470"/>
      <c r="J60" s="470"/>
      <c r="K60" s="470"/>
      <c r="L60" s="470"/>
      <c r="M60" s="471"/>
      <c r="N60" s="470"/>
      <c r="O60" s="471"/>
      <c r="P60" s="2959"/>
      <c r="Q60" s="2956"/>
      <c r="R60" s="2877"/>
      <c r="S60" s="2877"/>
      <c r="T60" s="2877"/>
      <c r="U60" s="2877"/>
      <c r="V60" s="2877"/>
      <c r="W60" s="2877"/>
      <c r="X60" s="2877"/>
      <c r="Y60" s="2877"/>
      <c r="Z60" s="2877"/>
      <c r="AA60" s="2877"/>
      <c r="AB60" s="2877"/>
      <c r="AC60" s="2877"/>
    </row>
    <row r="61" spans="1:29" s="108" customFormat="1" ht="15">
      <c r="A61" s="473" t="s">
        <v>2367</v>
      </c>
      <c r="B61" s="462"/>
      <c r="C61" s="474" t="s">
        <v>2469</v>
      </c>
      <c r="D61" s="475"/>
      <c r="E61" s="475"/>
      <c r="F61" s="475"/>
      <c r="G61" s="475"/>
      <c r="H61" s="475"/>
      <c r="I61" s="475"/>
      <c r="J61" s="475"/>
      <c r="K61" s="475"/>
      <c r="L61" s="476"/>
      <c r="M61" s="477"/>
      <c r="N61" s="2969"/>
      <c r="O61" s="2969"/>
      <c r="P61" s="2960"/>
      <c r="Q61" s="2956"/>
      <c r="R61" s="2877"/>
      <c r="S61" s="2877"/>
      <c r="T61" s="2877"/>
      <c r="U61" s="2877"/>
      <c r="V61" s="2877"/>
      <c r="W61" s="2877"/>
      <c r="X61" s="2877"/>
      <c r="Y61" s="2877"/>
      <c r="Z61" s="2877"/>
      <c r="AA61" s="2877"/>
      <c r="AB61" s="2877"/>
      <c r="AC61" s="2877"/>
    </row>
    <row r="62" spans="1:29" s="108" customFormat="1" ht="15.75" thickBot="1">
      <c r="A62" s="473"/>
      <c r="B62" s="462"/>
      <c r="C62" s="463">
        <v>100</v>
      </c>
      <c r="D62" s="464"/>
      <c r="E62" s="464"/>
      <c r="F62" s="464"/>
      <c r="G62" s="464"/>
      <c r="H62" s="464"/>
      <c r="I62" s="464"/>
      <c r="J62" s="464"/>
      <c r="K62" s="464"/>
      <c r="L62" s="464"/>
      <c r="M62" s="466"/>
      <c r="N62" s="2969"/>
      <c r="O62" s="2969"/>
      <c r="P62" s="2959"/>
      <c r="Q62" s="2956"/>
      <c r="R62" s="2877"/>
      <c r="S62" s="2877"/>
      <c r="T62" s="2877"/>
      <c r="U62" s="2877"/>
      <c r="V62" s="2877"/>
      <c r="W62" s="2877"/>
      <c r="X62" s="2877"/>
      <c r="Y62" s="2877"/>
      <c r="Z62" s="2877"/>
      <c r="AA62" s="2877"/>
      <c r="AB62" s="2877"/>
      <c r="AC62" s="2877"/>
    </row>
    <row r="63" spans="1:29">
      <c r="A63" s="479" t="s">
        <v>2405</v>
      </c>
      <c r="B63" s="480" t="s">
        <v>2371</v>
      </c>
      <c r="C63" s="481">
        <f>C9</f>
        <v>0</v>
      </c>
      <c r="D63" s="482"/>
      <c r="E63" s="482"/>
      <c r="F63" s="482"/>
      <c r="G63" s="482"/>
      <c r="H63" s="482"/>
      <c r="I63" s="482"/>
      <c r="J63" s="482"/>
      <c r="K63" s="483"/>
      <c r="L63" s="484"/>
      <c r="M63" s="485"/>
      <c r="N63" s="2970"/>
      <c r="O63" s="2970"/>
      <c r="P63" s="2961"/>
      <c r="Q63" s="2956"/>
      <c r="R63" s="2942"/>
      <c r="S63" s="2942"/>
      <c r="T63" s="2942"/>
      <c r="U63" s="2942"/>
      <c r="V63" s="2942"/>
      <c r="W63" s="2942"/>
      <c r="X63" s="2942"/>
      <c r="Y63" s="2942"/>
      <c r="Z63" s="2942"/>
      <c r="AA63" s="2942"/>
      <c r="AB63" s="2942"/>
      <c r="AC63" s="2942"/>
    </row>
    <row r="64" spans="1:29" ht="15.75" thickBot="1">
      <c r="A64" s="486"/>
      <c r="B64" s="487"/>
      <c r="C64" s="488">
        <v>100</v>
      </c>
      <c r="D64" s="488"/>
      <c r="E64" s="488"/>
      <c r="F64" s="488"/>
      <c r="G64" s="488"/>
      <c r="H64" s="488"/>
      <c r="I64" s="488"/>
      <c r="J64" s="488"/>
      <c r="K64" s="488"/>
      <c r="L64" s="488"/>
      <c r="M64" s="489"/>
      <c r="N64" s="2971"/>
      <c r="O64" s="2971"/>
      <c r="P64" s="2961"/>
      <c r="Q64" s="2956"/>
      <c r="R64" s="2942"/>
      <c r="S64" s="2942"/>
      <c r="T64" s="2942"/>
      <c r="U64" s="2942"/>
      <c r="V64" s="2942"/>
      <c r="W64" s="2942"/>
      <c r="X64" s="2942"/>
      <c r="Y64" s="2942"/>
      <c r="Z64" s="2942"/>
      <c r="AA64" s="2942"/>
      <c r="AB64" s="2942"/>
      <c r="AC64" s="2942"/>
    </row>
    <row r="65" spans="1:29" ht="27.75" thickTop="1">
      <c r="A65" s="486"/>
      <c r="B65" s="490" t="s">
        <v>2374</v>
      </c>
      <c r="C65" s="491" t="s">
        <v>2406</v>
      </c>
      <c r="D65" s="491" t="s">
        <v>2407</v>
      </c>
      <c r="E65" s="491" t="s">
        <v>2408</v>
      </c>
      <c r="F65" s="491" t="s">
        <v>2409</v>
      </c>
      <c r="G65" s="491" t="s">
        <v>2410</v>
      </c>
      <c r="H65" s="491" t="s">
        <v>2411</v>
      </c>
      <c r="I65" s="491" t="s">
        <v>2412</v>
      </c>
      <c r="J65" s="491"/>
      <c r="K65" s="492"/>
      <c r="L65" s="493"/>
      <c r="M65" s="494"/>
      <c r="N65" s="2970"/>
      <c r="O65" s="2970"/>
      <c r="P65" s="2961"/>
      <c r="Q65" s="2956"/>
      <c r="R65" s="2942"/>
      <c r="S65" s="2942"/>
      <c r="T65" s="2942"/>
      <c r="U65" s="2942"/>
      <c r="V65" s="2942"/>
      <c r="W65" s="2942"/>
      <c r="X65" s="2942"/>
      <c r="Y65" s="2942"/>
      <c r="Z65" s="2942"/>
      <c r="AA65" s="2942"/>
      <c r="AB65" s="2942"/>
      <c r="AC65" s="2942"/>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971"/>
      <c r="O66" s="2971"/>
      <c r="P66" s="2961"/>
      <c r="Q66" s="2956"/>
      <c r="R66" s="2942"/>
      <c r="S66" s="2942"/>
      <c r="T66" s="2942"/>
      <c r="U66" s="2942"/>
      <c r="V66" s="2942"/>
      <c r="W66" s="2942"/>
      <c r="X66" s="2942"/>
      <c r="Y66" s="2942"/>
      <c r="Z66" s="2942"/>
      <c r="AA66" s="2942"/>
      <c r="AB66" s="2942"/>
      <c r="AC66" s="2942"/>
    </row>
    <row r="67" spans="1:29" ht="15.75" thickTop="1">
      <c r="A67" s="486"/>
      <c r="B67" s="498" t="s">
        <v>2375</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86"/>
      <c r="B68" s="500"/>
      <c r="C68" s="501"/>
      <c r="D68" s="501"/>
      <c r="E68" s="501"/>
      <c r="F68" s="501"/>
      <c r="G68" s="501"/>
      <c r="H68" s="501"/>
      <c r="I68" s="501"/>
      <c r="J68" s="501"/>
      <c r="K68" s="502"/>
      <c r="L68" s="503"/>
      <c r="M68" s="504"/>
      <c r="N68" s="2970"/>
      <c r="O68" s="2970"/>
      <c r="P68" s="2961"/>
      <c r="Q68" s="2956"/>
      <c r="R68" s="2942"/>
      <c r="S68" s="2942"/>
      <c r="T68" s="2942"/>
      <c r="U68" s="2942"/>
      <c r="V68" s="2942"/>
      <c r="W68" s="2942"/>
      <c r="X68" s="2942"/>
      <c r="Y68" s="2942"/>
      <c r="Z68" s="2942"/>
      <c r="AA68" s="2942"/>
      <c r="AB68" s="2942"/>
      <c r="AC68" s="2942"/>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971"/>
      <c r="O69" s="2971"/>
      <c r="P69" s="2961"/>
      <c r="Q69" s="2956"/>
      <c r="R69" s="2942"/>
      <c r="S69" s="2942"/>
      <c r="T69" s="2942"/>
      <c r="U69" s="2942"/>
      <c r="V69" s="2942"/>
      <c r="W69" s="2942"/>
      <c r="X69" s="2942"/>
      <c r="Y69" s="2942"/>
      <c r="Z69" s="2942"/>
      <c r="AA69" s="2942"/>
      <c r="AB69" s="2942"/>
      <c r="AC69" s="2942"/>
    </row>
    <row r="70" spans="1:29" s="425" customFormat="1" ht="15.75" thickTop="1">
      <c r="A70" s="505"/>
      <c r="B70" s="490">
        <f>B12</f>
        <v>111</v>
      </c>
      <c r="C70" s="506"/>
      <c r="D70" s="506"/>
      <c r="E70" s="506"/>
      <c r="F70" s="506"/>
      <c r="G70" s="506"/>
      <c r="H70" s="507"/>
      <c r="I70" s="507"/>
      <c r="J70" s="507"/>
      <c r="K70" s="507"/>
      <c r="L70" s="508"/>
      <c r="M70" s="509"/>
      <c r="N70" s="2972"/>
      <c r="O70" s="2972"/>
      <c r="P70" s="2962"/>
      <c r="Q70" s="2963"/>
      <c r="R70" s="2964"/>
      <c r="S70" s="2964"/>
      <c r="T70" s="2964"/>
      <c r="U70" s="2964"/>
      <c r="V70" s="2964"/>
      <c r="W70" s="2964"/>
      <c r="X70" s="2964"/>
      <c r="Y70" s="2964"/>
      <c r="Z70" s="2964"/>
      <c r="AA70" s="2964"/>
      <c r="AB70" s="2964"/>
      <c r="AC70" s="2964"/>
    </row>
    <row r="71" spans="1:29" s="425" customFormat="1" ht="15.75" thickBot="1">
      <c r="A71" s="505"/>
      <c r="B71" s="495"/>
      <c r="C71" s="512"/>
      <c r="D71" s="488"/>
      <c r="E71" s="488"/>
      <c r="F71" s="488"/>
      <c r="G71" s="488"/>
      <c r="H71" s="488"/>
      <c r="I71" s="488"/>
      <c r="J71" s="488"/>
      <c r="K71" s="488"/>
      <c r="L71" s="488"/>
      <c r="M71" s="489"/>
      <c r="N71" s="2971"/>
      <c r="O71" s="2971"/>
      <c r="P71" s="2962"/>
      <c r="Q71" s="2963"/>
      <c r="R71" s="2964"/>
      <c r="S71" s="2964"/>
      <c r="T71" s="2964"/>
      <c r="U71" s="2964"/>
      <c r="V71" s="2964"/>
      <c r="W71" s="2964"/>
      <c r="X71" s="2964"/>
      <c r="Y71" s="2964"/>
      <c r="Z71" s="2964"/>
      <c r="AA71" s="2964"/>
      <c r="AB71" s="2964"/>
      <c r="AC71" s="2964"/>
    </row>
    <row r="72" spans="1:29" s="425" customFormat="1" ht="15.75" thickTop="1">
      <c r="A72" s="505"/>
      <c r="B72" s="490">
        <f>B13</f>
        <v>111</v>
      </c>
      <c r="C72" s="506"/>
      <c r="D72" s="506"/>
      <c r="E72" s="506"/>
      <c r="F72" s="506"/>
      <c r="G72" s="506"/>
      <c r="H72" s="507"/>
      <c r="I72" s="507"/>
      <c r="J72" s="507"/>
      <c r="K72" s="507"/>
      <c r="L72" s="508"/>
      <c r="M72" s="509"/>
      <c r="N72" s="2972"/>
      <c r="O72" s="2972"/>
      <c r="P72" s="2965"/>
      <c r="Q72" s="2966"/>
      <c r="R72" s="2964"/>
      <c r="S72" s="2964"/>
      <c r="T72" s="2964"/>
      <c r="U72" s="2964"/>
      <c r="V72" s="2964"/>
      <c r="W72" s="2964"/>
      <c r="X72" s="2964"/>
      <c r="Y72" s="2964"/>
      <c r="Z72" s="2964"/>
      <c r="AA72" s="2964"/>
      <c r="AB72" s="2964"/>
      <c r="AC72" s="2964"/>
    </row>
    <row r="73" spans="1:29" s="425" customFormat="1" ht="15.75" thickBot="1">
      <c r="A73" s="505"/>
      <c r="B73" s="495"/>
      <c r="C73" s="512"/>
      <c r="D73" s="488"/>
      <c r="E73" s="488"/>
      <c r="F73" s="488"/>
      <c r="G73" s="512"/>
      <c r="H73" s="514"/>
      <c r="I73" s="514"/>
      <c r="J73" s="514"/>
      <c r="K73" s="514"/>
      <c r="L73" s="514"/>
      <c r="M73" s="515"/>
      <c r="N73" s="2972"/>
      <c r="O73" s="2972"/>
      <c r="P73" s="2962"/>
      <c r="Q73" s="2963"/>
      <c r="R73" s="2964"/>
      <c r="S73" s="2964"/>
      <c r="T73" s="2964"/>
      <c r="U73" s="2964"/>
      <c r="V73" s="2964"/>
      <c r="W73" s="2964"/>
      <c r="X73" s="2964"/>
      <c r="Y73" s="2964"/>
      <c r="Z73" s="2964"/>
      <c r="AA73" s="2964"/>
      <c r="AB73" s="2964"/>
      <c r="AC73" s="2964"/>
    </row>
    <row r="74" spans="1:29" s="425" customFormat="1" ht="15.75" thickTop="1">
      <c r="A74" s="505"/>
      <c r="B74" s="498">
        <f>B14</f>
        <v>111</v>
      </c>
      <c r="C74" s="506"/>
      <c r="D74" s="506"/>
      <c r="E74" s="506"/>
      <c r="F74" s="506"/>
      <c r="G74" s="475"/>
      <c r="H74" s="516"/>
      <c r="I74" s="516"/>
      <c r="J74" s="516"/>
      <c r="K74" s="516"/>
      <c r="L74" s="517"/>
      <c r="M74" s="518"/>
      <c r="N74" s="2972"/>
      <c r="O74" s="2972"/>
      <c r="P74" s="2967"/>
      <c r="Q74" s="2963"/>
      <c r="R74" s="2964"/>
      <c r="S74" s="2964"/>
      <c r="T74" s="2964"/>
      <c r="U74" s="2964"/>
      <c r="V74" s="2964"/>
      <c r="W74" s="2964"/>
      <c r="X74" s="2964"/>
      <c r="Y74" s="2964"/>
      <c r="Z74" s="2964"/>
      <c r="AA74" s="2964"/>
      <c r="AB74" s="2964"/>
      <c r="AC74" s="2964"/>
    </row>
    <row r="75" spans="1:29" s="425" customFormat="1" ht="15.75" thickBot="1">
      <c r="A75" s="520"/>
      <c r="B75" s="521"/>
      <c r="C75" s="522"/>
      <c r="D75" s="522"/>
      <c r="E75" s="522"/>
      <c r="F75" s="522"/>
      <c r="G75" s="522"/>
      <c r="H75" s="523"/>
      <c r="I75" s="523"/>
      <c r="J75" s="523"/>
      <c r="K75" s="523"/>
      <c r="L75" s="523"/>
      <c r="M75" s="524"/>
      <c r="N75" s="2972"/>
      <c r="O75" s="2972"/>
      <c r="P75" s="2962"/>
      <c r="Q75" s="2963"/>
      <c r="R75" s="2964"/>
      <c r="S75" s="2964"/>
      <c r="T75" s="2964"/>
      <c r="U75" s="2964"/>
      <c r="V75" s="2964"/>
      <c r="W75" s="2964"/>
      <c r="X75" s="2964"/>
      <c r="Y75" s="2964"/>
      <c r="Z75" s="2964"/>
      <c r="AA75" s="2964"/>
      <c r="AB75" s="2964"/>
      <c r="AC75" s="2964"/>
    </row>
    <row r="76" spans="1:29">
      <c r="A76" s="479" t="s">
        <v>2376</v>
      </c>
      <c r="B76" s="480" t="s">
        <v>2413</v>
      </c>
      <c r="C76" s="525" t="s">
        <v>2414</v>
      </c>
      <c r="D76" s="525" t="s">
        <v>2415</v>
      </c>
      <c r="E76" s="525" t="s">
        <v>2416</v>
      </c>
      <c r="F76" s="525" t="s">
        <v>2417</v>
      </c>
      <c r="G76" s="525" t="s">
        <v>2418</v>
      </c>
      <c r="H76" s="481"/>
      <c r="I76" s="481"/>
      <c r="J76" s="481"/>
      <c r="K76" s="526"/>
      <c r="L76" s="527"/>
      <c r="M76" s="528"/>
      <c r="N76" s="2970"/>
      <c r="O76" s="2970"/>
      <c r="P76" s="2968"/>
      <c r="Q76" s="2956"/>
      <c r="R76" s="2942"/>
      <c r="S76" s="2942"/>
      <c r="T76" s="2942"/>
      <c r="U76" s="2942"/>
      <c r="V76" s="2942"/>
      <c r="W76" s="2942"/>
      <c r="X76" s="2942"/>
      <c r="Y76" s="2942"/>
      <c r="Z76" s="2942"/>
      <c r="AA76" s="2942"/>
      <c r="AB76" s="2942"/>
      <c r="AC76" s="2942"/>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971"/>
      <c r="O77" s="2971"/>
      <c r="P77" s="2961"/>
      <c r="Q77" s="2956"/>
      <c r="R77" s="2942"/>
      <c r="S77" s="2942"/>
      <c r="T77" s="2942"/>
      <c r="U77" s="2942"/>
      <c r="V77" s="2942"/>
      <c r="W77" s="2942"/>
      <c r="X77" s="2942"/>
      <c r="Y77" s="2942"/>
      <c r="Z77" s="2942"/>
      <c r="AA77" s="2942"/>
      <c r="AB77" s="2942"/>
      <c r="AC77" s="2942"/>
    </row>
    <row r="78" spans="1:29" ht="15.75" thickTop="1">
      <c r="A78" s="486"/>
      <c r="B78" s="490" t="s">
        <v>2419</v>
      </c>
      <c r="C78" s="530" t="s">
        <v>2414</v>
      </c>
      <c r="D78" s="530" t="s">
        <v>2415</v>
      </c>
      <c r="E78" s="530" t="s">
        <v>2416</v>
      </c>
      <c r="F78" s="530" t="s">
        <v>2417</v>
      </c>
      <c r="G78" s="530" t="s">
        <v>2418</v>
      </c>
      <c r="H78" s="491"/>
      <c r="I78" s="491"/>
      <c r="J78" s="491"/>
      <c r="K78" s="492"/>
      <c r="L78" s="493"/>
      <c r="M78" s="494"/>
      <c r="N78" s="2970"/>
      <c r="O78" s="2970"/>
      <c r="P78" s="2961"/>
      <c r="Q78" s="2956"/>
      <c r="R78" s="2942"/>
      <c r="S78" s="2942"/>
      <c r="T78" s="2942"/>
      <c r="U78" s="2942"/>
      <c r="V78" s="2942"/>
      <c r="W78" s="2942"/>
      <c r="X78" s="2942"/>
      <c r="Y78" s="2942"/>
      <c r="Z78" s="2942"/>
      <c r="AA78" s="2942"/>
      <c r="AB78" s="2942"/>
      <c r="AC78" s="2942"/>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971"/>
      <c r="O79" s="2971"/>
      <c r="P79" s="2961"/>
      <c r="Q79" s="2956"/>
      <c r="R79" s="2942"/>
      <c r="S79" s="2942"/>
      <c r="T79" s="2942"/>
      <c r="U79" s="2942"/>
      <c r="V79" s="2942"/>
      <c r="W79" s="2942"/>
      <c r="X79" s="2942"/>
      <c r="Y79" s="2942"/>
      <c r="Z79" s="2942"/>
      <c r="AA79" s="2942"/>
      <c r="AB79" s="2942"/>
      <c r="AC79" s="2942"/>
    </row>
    <row r="80" spans="1:29" ht="15.75" thickTop="1">
      <c r="A80" s="486"/>
      <c r="B80" s="490" t="s">
        <v>2420</v>
      </c>
      <c r="C80" s="530" t="s">
        <v>2414</v>
      </c>
      <c r="D80" s="530" t="s">
        <v>2415</v>
      </c>
      <c r="E80" s="530" t="s">
        <v>2416</v>
      </c>
      <c r="F80" s="530" t="s">
        <v>2417</v>
      </c>
      <c r="G80" s="530" t="s">
        <v>2418</v>
      </c>
      <c r="H80" s="491"/>
      <c r="I80" s="491"/>
      <c r="J80" s="491"/>
      <c r="K80" s="492"/>
      <c r="L80" s="493"/>
      <c r="M80" s="494"/>
      <c r="N80" s="2970"/>
      <c r="O80" s="2970"/>
      <c r="P80" s="2961"/>
      <c r="Q80" s="2956"/>
      <c r="R80" s="2942"/>
      <c r="S80" s="2942"/>
      <c r="T80" s="2942"/>
      <c r="U80" s="2942"/>
      <c r="V80" s="2942"/>
      <c r="W80" s="2942"/>
      <c r="X80" s="2942"/>
      <c r="Y80" s="2942"/>
      <c r="Z80" s="2942"/>
      <c r="AA80" s="2942"/>
      <c r="AB80" s="2942"/>
      <c r="AC80" s="2942"/>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971"/>
      <c r="O81" s="2971"/>
      <c r="P81" s="2961"/>
      <c r="Q81" s="2956"/>
      <c r="R81" s="2942"/>
      <c r="S81" s="2942"/>
      <c r="T81" s="2942"/>
      <c r="U81" s="2942"/>
      <c r="V81" s="2942"/>
      <c r="W81" s="2942"/>
      <c r="X81" s="2942"/>
      <c r="Y81" s="2942"/>
      <c r="Z81" s="2942"/>
      <c r="AA81" s="2942"/>
      <c r="AB81" s="2942"/>
      <c r="AC81" s="2942"/>
    </row>
    <row r="82" spans="1:29" ht="15.75" thickTop="1">
      <c r="A82" s="486"/>
      <c r="B82" s="498" t="s">
        <v>2472</v>
      </c>
      <c r="C82" s="611" t="s">
        <v>2492</v>
      </c>
      <c r="D82" s="611" t="s">
        <v>2493</v>
      </c>
      <c r="E82" s="611" t="s">
        <v>2494</v>
      </c>
      <c r="F82" s="611" t="s">
        <v>2495</v>
      </c>
      <c r="G82" s="611" t="s">
        <v>2496</v>
      </c>
      <c r="H82" s="491"/>
      <c r="I82" s="491"/>
      <c r="J82" s="491"/>
      <c r="K82" s="491"/>
      <c r="L82" s="491"/>
      <c r="M82" s="1285"/>
      <c r="N82" s="2971"/>
      <c r="O82" s="2971"/>
      <c r="P82" s="2961"/>
      <c r="Q82" s="2956"/>
      <c r="R82" s="2942"/>
      <c r="S82" s="2942"/>
      <c r="T82" s="2942"/>
      <c r="U82" s="2942"/>
      <c r="V82" s="2942"/>
      <c r="W82" s="2942"/>
      <c r="X82" s="2942"/>
      <c r="Y82" s="2942"/>
      <c r="Z82" s="2942"/>
      <c r="AA82" s="2942"/>
      <c r="AB82" s="2942"/>
      <c r="AC82" s="2942"/>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971"/>
      <c r="O83" s="2971"/>
      <c r="P83" s="2961"/>
      <c r="Q83" s="2956"/>
      <c r="R83" s="2942"/>
      <c r="S83" s="2942"/>
      <c r="T83" s="2942"/>
      <c r="U83" s="2942"/>
      <c r="V83" s="2942"/>
      <c r="W83" s="2942"/>
      <c r="X83" s="2942"/>
      <c r="Y83" s="2942"/>
      <c r="Z83" s="2942"/>
      <c r="AA83" s="2942"/>
      <c r="AB83" s="2942"/>
      <c r="AC83" s="2942"/>
    </row>
    <row r="84" spans="1:29" ht="15.75" thickTop="1">
      <c r="A84" s="486"/>
      <c r="B84" s="490" t="s">
        <v>2426</v>
      </c>
      <c r="C84" s="530" t="s">
        <v>2414</v>
      </c>
      <c r="D84" s="530" t="s">
        <v>2415</v>
      </c>
      <c r="E84" s="530" t="s">
        <v>2416</v>
      </c>
      <c r="F84" s="530" t="s">
        <v>2417</v>
      </c>
      <c r="G84" s="530" t="s">
        <v>2418</v>
      </c>
      <c r="H84" s="491"/>
      <c r="I84" s="491"/>
      <c r="J84" s="491"/>
      <c r="K84" s="492"/>
      <c r="L84" s="493"/>
      <c r="M84" s="494"/>
      <c r="N84" s="2970"/>
      <c r="O84" s="2970"/>
      <c r="P84" s="2961"/>
      <c r="Q84" s="2956"/>
      <c r="R84" s="2942"/>
      <c r="S84" s="2942"/>
      <c r="T84" s="2942"/>
      <c r="U84" s="2942"/>
      <c r="V84" s="2942"/>
      <c r="W84" s="2942"/>
      <c r="X84" s="2942"/>
      <c r="Y84" s="2942"/>
      <c r="Z84" s="2942"/>
      <c r="AA84" s="2942"/>
      <c r="AB84" s="2942"/>
      <c r="AC84" s="2942"/>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971"/>
      <c r="O85" s="2971"/>
      <c r="P85" s="2961"/>
      <c r="Q85" s="2956"/>
      <c r="R85" s="2942"/>
      <c r="S85" s="2942"/>
      <c r="T85" s="2942"/>
      <c r="U85" s="2942"/>
      <c r="V85" s="2942"/>
      <c r="W85" s="2942"/>
      <c r="X85" s="2942"/>
      <c r="Y85" s="2942"/>
      <c r="Z85" s="2942"/>
      <c r="AA85" s="2942"/>
      <c r="AB85" s="2942"/>
      <c r="AC85" s="2942"/>
    </row>
    <row r="86" spans="1:29" s="108" customFormat="1" ht="15.75" thickTop="1">
      <c r="A86" s="531"/>
      <c r="B86" s="490" t="s">
        <v>2497</v>
      </c>
      <c r="C86" s="506"/>
      <c r="D86" s="506"/>
      <c r="E86" s="506"/>
      <c r="F86" s="506"/>
      <c r="G86" s="506"/>
      <c r="H86" s="506"/>
      <c r="I86" s="506"/>
      <c r="J86" s="506"/>
      <c r="K86" s="506"/>
      <c r="L86" s="532"/>
      <c r="M86" s="533"/>
      <c r="N86" s="2969"/>
      <c r="O86" s="2969"/>
      <c r="P86" s="2961"/>
      <c r="Q86" s="2956"/>
      <c r="R86" s="2877"/>
      <c r="S86" s="2877"/>
      <c r="T86" s="2877"/>
      <c r="U86" s="2877"/>
      <c r="V86" s="2877"/>
      <c r="W86" s="2877"/>
      <c r="X86" s="2877"/>
      <c r="Y86" s="2877"/>
      <c r="Z86" s="2877"/>
      <c r="AA86" s="2877"/>
      <c r="AB86" s="2877"/>
      <c r="AC86" s="2877"/>
    </row>
    <row r="87" spans="1:29" s="108"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971"/>
      <c r="O87" s="2971"/>
      <c r="P87" s="2961"/>
      <c r="Q87" s="2956"/>
      <c r="R87" s="2877"/>
      <c r="S87" s="2877"/>
      <c r="T87" s="2877"/>
      <c r="U87" s="2877"/>
      <c r="V87" s="2877"/>
      <c r="W87" s="2877"/>
      <c r="X87" s="2877"/>
      <c r="Y87" s="2877"/>
      <c r="Z87" s="2877"/>
      <c r="AA87" s="2877"/>
      <c r="AB87" s="2877"/>
      <c r="AC87" s="2877"/>
    </row>
    <row r="88" spans="1:29" s="108" customFormat="1" ht="15.75" thickTop="1">
      <c r="A88" s="531"/>
      <c r="B88" s="490" t="str">
        <f>B26</f>
        <v>平面位置/可视性</v>
      </c>
      <c r="C88" s="506"/>
      <c r="D88" s="506"/>
      <c r="E88" s="506"/>
      <c r="F88" s="2105"/>
      <c r="G88" s="506"/>
      <c r="H88" s="506"/>
      <c r="I88" s="506"/>
      <c r="J88" s="506"/>
      <c r="K88" s="506"/>
      <c r="L88" s="506"/>
      <c r="M88" s="533"/>
      <c r="N88" s="2969"/>
      <c r="O88" s="2969"/>
      <c r="P88" s="2961"/>
      <c r="Q88" s="2956"/>
      <c r="R88" s="2877"/>
      <c r="S88" s="2877"/>
      <c r="T88" s="2877"/>
      <c r="U88" s="2877"/>
      <c r="V88" s="2877"/>
      <c r="W88" s="2877"/>
      <c r="X88" s="2877"/>
      <c r="Y88" s="2877"/>
      <c r="Z88" s="2877"/>
      <c r="AA88" s="2877"/>
      <c r="AB88" s="2877"/>
      <c r="AC88" s="2877"/>
    </row>
    <row r="89" spans="1:29" s="108" customFormat="1" ht="15.75" thickBot="1">
      <c r="A89" s="531"/>
      <c r="B89" s="495"/>
      <c r="C89" s="512"/>
      <c r="D89" s="488"/>
      <c r="E89" s="488"/>
      <c r="F89" s="488"/>
      <c r="G89" s="488"/>
      <c r="H89" s="488"/>
      <c r="I89" s="488"/>
      <c r="J89" s="488"/>
      <c r="K89" s="488"/>
      <c r="L89" s="488"/>
      <c r="M89" s="488"/>
      <c r="N89" s="2971"/>
      <c r="O89" s="2971"/>
      <c r="P89" s="2961"/>
      <c r="Q89" s="2956"/>
      <c r="R89" s="2877"/>
      <c r="S89" s="2877"/>
      <c r="T89" s="2877"/>
      <c r="U89" s="2877"/>
      <c r="V89" s="2877"/>
      <c r="W89" s="2877"/>
      <c r="X89" s="2877"/>
      <c r="Y89" s="2877"/>
      <c r="Z89" s="2877"/>
      <c r="AA89" s="2877"/>
      <c r="AB89" s="2877"/>
      <c r="AC89" s="2877"/>
    </row>
    <row r="90" spans="1:29" s="425" customFormat="1" ht="15.75" thickTop="1">
      <c r="A90" s="505"/>
      <c r="B90" s="490" t="str">
        <f>B27</f>
        <v>人流量</v>
      </c>
      <c r="C90" s="506"/>
      <c r="D90" s="506"/>
      <c r="E90" s="506"/>
      <c r="F90" s="506"/>
      <c r="G90" s="506"/>
      <c r="H90" s="507"/>
      <c r="I90" s="507"/>
      <c r="J90" s="507"/>
      <c r="K90" s="507"/>
      <c r="L90" s="508"/>
      <c r="M90" s="509"/>
      <c r="N90" s="2972"/>
      <c r="O90" s="2972"/>
      <c r="P90" s="2962"/>
      <c r="Q90" s="2963"/>
      <c r="R90" s="2964"/>
      <c r="S90" s="2964"/>
      <c r="T90" s="2964"/>
      <c r="U90" s="2964"/>
      <c r="V90" s="2964"/>
      <c r="W90" s="2964"/>
      <c r="X90" s="2964"/>
      <c r="Y90" s="2964"/>
      <c r="Z90" s="2964"/>
      <c r="AA90" s="2964"/>
      <c r="AB90" s="2964"/>
      <c r="AC90" s="2964"/>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86"/>
      <c r="B92" s="490" t="str">
        <f>B28</f>
        <v>楼层</v>
      </c>
      <c r="C92" s="506"/>
      <c r="D92" s="506"/>
      <c r="E92" s="506"/>
      <c r="F92" s="506"/>
      <c r="G92" s="506"/>
      <c r="H92" s="506"/>
      <c r="I92" s="506"/>
      <c r="J92" s="506"/>
      <c r="K92" s="506"/>
      <c r="L92" s="532"/>
      <c r="M92" s="533"/>
      <c r="N92" s="2970"/>
      <c r="O92" s="2970"/>
      <c r="P92" s="2961"/>
      <c r="Q92" s="2956"/>
      <c r="R92" s="2942"/>
      <c r="S92" s="2942"/>
      <c r="T92" s="2942"/>
      <c r="U92" s="2942"/>
      <c r="V92" s="2942"/>
      <c r="W92" s="2942"/>
      <c r="X92" s="2942"/>
      <c r="Y92" s="2942"/>
      <c r="Z92" s="2942"/>
      <c r="AA92" s="2942"/>
      <c r="AB92" s="2942"/>
      <c r="AC92" s="2942"/>
    </row>
    <row r="93" spans="1:29" ht="15.75" thickBot="1">
      <c r="A93" s="486"/>
      <c r="B93" s="495"/>
      <c r="C93" s="488"/>
      <c r="D93" s="488"/>
      <c r="E93" s="488"/>
      <c r="F93" s="488"/>
      <c r="G93" s="488"/>
      <c r="H93" s="488"/>
      <c r="I93" s="488"/>
      <c r="J93" s="488"/>
      <c r="K93" s="488"/>
      <c r="L93" s="488"/>
      <c r="M93" s="489"/>
      <c r="N93" s="2971"/>
      <c r="O93" s="2971"/>
      <c r="P93" s="2961"/>
      <c r="Q93" s="2956"/>
      <c r="R93" s="2942"/>
      <c r="S93" s="2942"/>
      <c r="T93" s="2942"/>
      <c r="U93" s="2942"/>
      <c r="V93" s="2942"/>
      <c r="W93" s="2942"/>
      <c r="X93" s="2942"/>
      <c r="Y93" s="2942"/>
      <c r="Z93" s="2942"/>
      <c r="AA93" s="2942"/>
      <c r="AB93" s="2942"/>
      <c r="AC93" s="2942"/>
    </row>
    <row r="94" spans="1:29" ht="15.75" thickTop="1">
      <c r="A94" s="486"/>
      <c r="B94" s="490">
        <f>B29</f>
        <v>111</v>
      </c>
      <c r="C94" s="506"/>
      <c r="D94" s="506"/>
      <c r="E94" s="506"/>
      <c r="F94" s="506"/>
      <c r="G94" s="535"/>
      <c r="H94" s="535"/>
      <c r="I94" s="535"/>
      <c r="J94" s="535"/>
      <c r="K94" s="536"/>
      <c r="L94" s="537"/>
      <c r="M94" s="538"/>
      <c r="N94" s="2970"/>
      <c r="O94" s="2970"/>
      <c r="P94" s="2961"/>
      <c r="Q94" s="2956"/>
      <c r="R94" s="2942"/>
      <c r="S94" s="2942"/>
      <c r="T94" s="2942"/>
      <c r="U94" s="2942"/>
      <c r="V94" s="2942"/>
      <c r="W94" s="2942"/>
      <c r="X94" s="2942"/>
      <c r="Y94" s="2942"/>
      <c r="Z94" s="2942"/>
      <c r="AA94" s="2942"/>
      <c r="AB94" s="2942"/>
      <c r="AC94" s="2942"/>
    </row>
    <row r="95" spans="1:29" ht="15.75" thickBot="1">
      <c r="A95" s="486"/>
      <c r="B95" s="495"/>
      <c r="C95" s="512"/>
      <c r="D95" s="488"/>
      <c r="E95" s="488"/>
      <c r="F95" s="488"/>
      <c r="G95" s="488"/>
      <c r="H95" s="488"/>
      <c r="I95" s="488"/>
      <c r="J95" s="488"/>
      <c r="K95" s="488"/>
      <c r="L95" s="488"/>
      <c r="M95" s="489"/>
      <c r="N95" s="2971"/>
      <c r="O95" s="2971"/>
      <c r="P95" s="2961"/>
      <c r="Q95" s="2956"/>
      <c r="R95" s="2942"/>
      <c r="S95" s="2942"/>
      <c r="T95" s="2942"/>
      <c r="U95" s="2942"/>
      <c r="V95" s="2942"/>
      <c r="W95" s="2942"/>
      <c r="X95" s="2942"/>
      <c r="Y95" s="2942"/>
      <c r="Z95" s="2942"/>
      <c r="AA95" s="2942"/>
      <c r="AB95" s="2942"/>
      <c r="AC95" s="2942"/>
    </row>
    <row r="96" spans="1:29" ht="15.75" thickTop="1">
      <c r="A96" s="486"/>
      <c r="B96" s="490">
        <f>B30</f>
        <v>111</v>
      </c>
      <c r="C96" s="506"/>
      <c r="D96" s="506"/>
      <c r="E96" s="506"/>
      <c r="F96" s="506"/>
      <c r="G96" s="535"/>
      <c r="H96" s="535"/>
      <c r="I96" s="535"/>
      <c r="J96" s="535"/>
      <c r="K96" s="536"/>
      <c r="L96" s="537"/>
      <c r="M96" s="538"/>
      <c r="N96" s="2970"/>
      <c r="O96" s="2970"/>
      <c r="P96" s="2961"/>
      <c r="Q96" s="2956"/>
      <c r="R96" s="2942"/>
      <c r="S96" s="2942"/>
      <c r="T96" s="2942"/>
      <c r="U96" s="2942"/>
      <c r="V96" s="2942"/>
      <c r="W96" s="2942"/>
      <c r="X96" s="2942"/>
      <c r="Y96" s="2942"/>
      <c r="Z96" s="2942"/>
      <c r="AA96" s="2942"/>
      <c r="AB96" s="2942"/>
      <c r="AC96" s="2942"/>
    </row>
    <row r="97" spans="1:29" ht="15.75" thickBot="1">
      <c r="A97" s="486"/>
      <c r="B97" s="495"/>
      <c r="C97" s="512"/>
      <c r="D97" s="488"/>
      <c r="E97" s="488"/>
      <c r="F97" s="488"/>
      <c r="G97" s="488"/>
      <c r="H97" s="488"/>
      <c r="I97" s="488"/>
      <c r="J97" s="488"/>
      <c r="K97" s="488"/>
      <c r="L97" s="488"/>
      <c r="M97" s="489"/>
      <c r="N97" s="2971"/>
      <c r="O97" s="2971"/>
      <c r="P97" s="2961"/>
      <c r="Q97" s="2956"/>
      <c r="R97" s="2942"/>
      <c r="S97" s="2942"/>
      <c r="T97" s="2942"/>
      <c r="U97" s="2942"/>
      <c r="V97" s="2942"/>
      <c r="W97" s="2942"/>
      <c r="X97" s="2942"/>
      <c r="Y97" s="2942"/>
      <c r="Z97" s="2942"/>
      <c r="AA97" s="2942"/>
      <c r="AB97" s="2942"/>
      <c r="AC97" s="2942"/>
    </row>
    <row r="98" spans="1:29" ht="15.75" thickTop="1">
      <c r="A98" s="486"/>
      <c r="B98" s="498">
        <f>B31</f>
        <v>111</v>
      </c>
      <c r="C98" s="506"/>
      <c r="D98" s="506"/>
      <c r="E98" s="506"/>
      <c r="F98" s="506"/>
      <c r="G98" s="539"/>
      <c r="H98" s="539"/>
      <c r="I98" s="539"/>
      <c r="J98" s="539"/>
      <c r="K98" s="540"/>
      <c r="L98" s="541"/>
      <c r="M98" s="542"/>
      <c r="N98" s="2970"/>
      <c r="O98" s="2970"/>
      <c r="P98" s="2961"/>
      <c r="Q98" s="2956"/>
      <c r="R98" s="2942"/>
      <c r="S98" s="2942"/>
      <c r="T98" s="2942"/>
      <c r="U98" s="2942"/>
      <c r="V98" s="2942"/>
      <c r="W98" s="2942"/>
      <c r="X98" s="2942"/>
      <c r="Y98" s="2942"/>
      <c r="Z98" s="2942"/>
      <c r="AA98" s="2942"/>
      <c r="AB98" s="2942"/>
      <c r="AC98" s="2942"/>
    </row>
    <row r="99" spans="1:29" ht="15.75" thickBot="1">
      <c r="A99" s="2106"/>
      <c r="B99" s="521"/>
      <c r="C99" s="522"/>
      <c r="D99" s="522"/>
      <c r="E99" s="522"/>
      <c r="F99" s="522"/>
      <c r="G99" s="543"/>
      <c r="H99" s="543"/>
      <c r="I99" s="543"/>
      <c r="J99" s="543"/>
      <c r="K99" s="543"/>
      <c r="L99" s="543"/>
      <c r="M99" s="544"/>
      <c r="N99" s="2971"/>
      <c r="O99" s="2971"/>
      <c r="P99" s="2961"/>
      <c r="Q99" s="2956"/>
      <c r="R99" s="2942"/>
      <c r="S99" s="2942"/>
      <c r="T99" s="2942"/>
      <c r="U99" s="2942"/>
      <c r="V99" s="2942"/>
      <c r="W99" s="2942"/>
      <c r="X99" s="2942"/>
      <c r="Y99" s="2942"/>
      <c r="Z99" s="2942"/>
      <c r="AA99" s="2942"/>
      <c r="AB99" s="2942"/>
      <c r="AC99" s="2942"/>
    </row>
    <row r="100" spans="1:29">
      <c r="A100" s="479" t="s">
        <v>2380</v>
      </c>
      <c r="B100" s="480" t="s">
        <v>2498</v>
      </c>
      <c r="C100" s="482"/>
      <c r="D100" s="482"/>
      <c r="E100" s="482"/>
      <c r="F100" s="482"/>
      <c r="G100" s="482"/>
      <c r="H100" s="482"/>
      <c r="I100" s="482"/>
      <c r="J100" s="482"/>
      <c r="K100" s="483"/>
      <c r="L100" s="484"/>
      <c r="M100" s="485"/>
      <c r="N100" s="2970"/>
      <c r="O100" s="2970"/>
      <c r="P100" s="2961"/>
      <c r="Q100" s="2956"/>
      <c r="R100" s="2942"/>
      <c r="S100" s="2942"/>
      <c r="T100" s="2942"/>
      <c r="U100" s="2942"/>
      <c r="V100" s="2942"/>
      <c r="W100" s="2942"/>
      <c r="X100" s="2942"/>
      <c r="Y100" s="2942"/>
      <c r="Z100" s="2942"/>
      <c r="AA100" s="2942"/>
      <c r="AB100" s="2942"/>
      <c r="AC100" s="2942"/>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86"/>
      <c r="B102" s="490" t="s">
        <v>2430</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25" customFormat="1">
      <c r="A103" s="545"/>
      <c r="B103" s="546"/>
      <c r="C103" s="547"/>
      <c r="D103" s="547"/>
      <c r="E103" s="547"/>
      <c r="F103" s="547"/>
      <c r="G103" s="547"/>
      <c r="H103" s="547"/>
      <c r="I103" s="547"/>
      <c r="J103" s="548"/>
      <c r="K103" s="548"/>
      <c r="L103" s="549"/>
      <c r="M103" s="550"/>
      <c r="N103" s="2972"/>
      <c r="O103" s="2972"/>
      <c r="P103" s="2962"/>
      <c r="Q103" s="2963"/>
      <c r="R103" s="2964"/>
      <c r="S103" s="2964"/>
      <c r="T103" s="2964"/>
      <c r="U103" s="2964"/>
      <c r="V103" s="2964"/>
      <c r="W103" s="2964"/>
      <c r="X103" s="2964"/>
      <c r="Y103" s="2964"/>
      <c r="Z103" s="2964"/>
      <c r="AA103" s="2964"/>
      <c r="AB103" s="2964"/>
      <c r="AC103" s="2964"/>
    </row>
    <row r="104" spans="1:29" s="425" customFormat="1" ht="15.75" thickBot="1">
      <c r="A104" s="505"/>
      <c r="B104" s="495"/>
      <c r="C104" s="512"/>
      <c r="D104" s="488"/>
      <c r="E104" s="488"/>
      <c r="F104" s="488"/>
      <c r="G104" s="488"/>
      <c r="H104" s="488"/>
      <c r="I104" s="488"/>
      <c r="J104" s="488"/>
      <c r="K104" s="488"/>
      <c r="L104" s="488"/>
      <c r="M104" s="489"/>
      <c r="N104" s="2971"/>
      <c r="O104" s="2971"/>
      <c r="P104" s="2962"/>
      <c r="Q104" s="2963"/>
      <c r="R104" s="2964"/>
      <c r="S104" s="2964"/>
      <c r="T104" s="2964"/>
      <c r="U104" s="2964"/>
      <c r="V104" s="2964"/>
      <c r="W104" s="2964"/>
      <c r="X104" s="2964"/>
      <c r="Y104" s="2964"/>
      <c r="Z104" s="2964"/>
      <c r="AA104" s="2964"/>
      <c r="AB104" s="2964"/>
      <c r="AC104" s="2964"/>
    </row>
    <row r="105" spans="1:29" ht="15" thickTop="1">
      <c r="A105" s="551"/>
      <c r="B105" s="490" t="s">
        <v>2431</v>
      </c>
      <c r="C105" s="506"/>
      <c r="D105" s="506"/>
      <c r="E105" s="535"/>
      <c r="F105" s="535"/>
      <c r="G105" s="535"/>
      <c r="H105" s="535"/>
      <c r="I105" s="535"/>
      <c r="J105" s="535"/>
      <c r="K105" s="536"/>
      <c r="L105" s="537"/>
      <c r="M105" s="538"/>
      <c r="N105" s="2970"/>
      <c r="O105" s="2970"/>
      <c r="P105" s="2961"/>
      <c r="Q105" s="2956"/>
      <c r="R105" s="2942"/>
      <c r="S105" s="2942"/>
      <c r="T105" s="2942"/>
      <c r="U105" s="2942"/>
      <c r="V105" s="2942"/>
      <c r="W105" s="2942"/>
      <c r="X105" s="2942"/>
      <c r="Y105" s="2942"/>
      <c r="Z105" s="2942"/>
      <c r="AA105" s="2942"/>
      <c r="AB105" s="2942"/>
      <c r="AC105" s="2942"/>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1"/>
      <c r="B107" s="490" t="s">
        <v>2433</v>
      </c>
      <c r="C107" s="506"/>
      <c r="D107" s="506"/>
      <c r="E107" s="506"/>
      <c r="F107" s="535"/>
      <c r="G107" s="535"/>
      <c r="H107" s="535"/>
      <c r="I107" s="535"/>
      <c r="J107" s="535"/>
      <c r="K107" s="536"/>
      <c r="L107" s="537"/>
      <c r="M107" s="538"/>
      <c r="N107" s="2970"/>
      <c r="O107" s="2970"/>
      <c r="P107" s="2961"/>
      <c r="Q107" s="2956"/>
      <c r="R107" s="2942"/>
      <c r="S107" s="2942"/>
      <c r="T107" s="2942"/>
      <c r="U107" s="2942"/>
      <c r="V107" s="2942"/>
      <c r="W107" s="2942"/>
      <c r="X107" s="2942"/>
      <c r="Y107" s="2942"/>
      <c r="Z107" s="2942"/>
      <c r="AA107" s="2942"/>
      <c r="AB107" s="2942"/>
      <c r="AC107" s="2942"/>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1"/>
      <c r="B109" s="490" t="s">
        <v>1875</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970"/>
      <c r="O109" s="2970"/>
      <c r="P109" s="2961"/>
      <c r="Q109" s="2956"/>
      <c r="R109" s="2942"/>
      <c r="S109" s="2942"/>
      <c r="T109" s="2942"/>
      <c r="U109" s="2942"/>
      <c r="V109" s="2942"/>
      <c r="W109" s="2942"/>
      <c r="X109" s="2942"/>
      <c r="Y109" s="2942"/>
      <c r="Z109" s="2942"/>
      <c r="AA109" s="2942"/>
      <c r="AB109" s="2942"/>
      <c r="AC109" s="2942"/>
    </row>
    <row r="110" spans="1:29">
      <c r="A110" s="551"/>
      <c r="B110" s="498"/>
      <c r="C110" s="555">
        <v>0.5</v>
      </c>
      <c r="D110" s="555">
        <v>0.6</v>
      </c>
      <c r="E110" s="555">
        <v>0.7</v>
      </c>
      <c r="F110" s="555">
        <v>0.8</v>
      </c>
      <c r="G110" s="555">
        <v>0.9</v>
      </c>
      <c r="H110" s="555">
        <v>1.0001</v>
      </c>
      <c r="I110" s="574"/>
      <c r="J110" s="574"/>
      <c r="K110" s="575"/>
      <c r="L110" s="576"/>
      <c r="M110" s="577"/>
      <c r="N110" s="2970"/>
      <c r="O110" s="2970"/>
      <c r="P110" s="2961"/>
      <c r="Q110" s="2956"/>
      <c r="R110" s="2942"/>
      <c r="S110" s="2942"/>
      <c r="T110" s="2942"/>
      <c r="U110" s="2942"/>
      <c r="V110" s="2942"/>
      <c r="W110" s="2942"/>
      <c r="X110" s="2942"/>
      <c r="Y110" s="2942"/>
      <c r="Z110" s="2942"/>
      <c r="AA110" s="2942"/>
      <c r="AB110" s="2942"/>
      <c r="AC110" s="2942"/>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971"/>
      <c r="O111" s="2971"/>
      <c r="P111" s="2961"/>
      <c r="Q111" s="2956"/>
      <c r="R111" s="2942"/>
      <c r="S111" s="2942"/>
      <c r="T111" s="2942"/>
      <c r="U111" s="2942"/>
      <c r="V111" s="2942"/>
      <c r="W111" s="2942"/>
      <c r="X111" s="2942"/>
      <c r="Y111" s="2942"/>
      <c r="Z111" s="2942"/>
      <c r="AA111" s="2942"/>
      <c r="AB111" s="2942"/>
      <c r="AC111" s="2942"/>
    </row>
    <row r="112" spans="1:29" s="425" customFormat="1" ht="15" thickTop="1">
      <c r="A112" s="545"/>
      <c r="B112" s="490" t="s">
        <v>2435</v>
      </c>
      <c r="C112" s="506"/>
      <c r="D112" s="506"/>
      <c r="E112" s="506"/>
      <c r="F112" s="506"/>
      <c r="G112" s="506"/>
      <c r="H112" s="535"/>
      <c r="I112" s="535"/>
      <c r="J112" s="535"/>
      <c r="K112" s="536"/>
      <c r="L112" s="537"/>
      <c r="M112" s="538"/>
      <c r="N112" s="2972"/>
      <c r="O112" s="2972"/>
      <c r="P112" s="2962"/>
      <c r="Q112" s="2963"/>
      <c r="R112" s="2964"/>
      <c r="S112" s="2964"/>
      <c r="T112" s="2964"/>
      <c r="U112" s="2964"/>
      <c r="V112" s="2964"/>
      <c r="W112" s="2964"/>
      <c r="X112" s="2964"/>
      <c r="Y112" s="2964"/>
      <c r="Z112" s="2964"/>
      <c r="AA112" s="2964"/>
      <c r="AB112" s="2964"/>
      <c r="AC112" s="2964"/>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1"/>
      <c r="B114" s="490" t="s">
        <v>2499</v>
      </c>
      <c r="C114" s="506"/>
      <c r="D114" s="506"/>
      <c r="E114" s="535"/>
      <c r="F114" s="535"/>
      <c r="G114" s="535"/>
      <c r="H114" s="535"/>
      <c r="I114" s="535"/>
      <c r="J114" s="535"/>
      <c r="K114" s="536"/>
      <c r="L114" s="537"/>
      <c r="M114" s="538"/>
      <c r="N114" s="2970"/>
      <c r="O114" s="2970"/>
      <c r="P114" s="2961"/>
      <c r="Q114" s="2956"/>
      <c r="R114" s="2942"/>
      <c r="S114" s="2942"/>
      <c r="T114" s="2942"/>
      <c r="U114" s="2942"/>
      <c r="V114" s="2942"/>
      <c r="W114" s="2942"/>
      <c r="X114" s="2942"/>
      <c r="Y114" s="2942"/>
      <c r="Z114" s="2942"/>
      <c r="AA114" s="2942"/>
      <c r="AB114" s="2942"/>
      <c r="AC114" s="2942"/>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1"/>
      <c r="B116" s="490" t="s">
        <v>2500</v>
      </c>
      <c r="C116" s="506"/>
      <c r="D116" s="506"/>
      <c r="E116" s="506"/>
      <c r="F116" s="506"/>
      <c r="G116" s="506"/>
      <c r="H116" s="535"/>
      <c r="I116" s="535"/>
      <c r="J116" s="535"/>
      <c r="K116" s="536"/>
      <c r="L116" s="537"/>
      <c r="M116" s="538"/>
      <c r="N116" s="2970"/>
      <c r="O116" s="2970"/>
      <c r="P116" s="2961"/>
      <c r="Q116" s="2956"/>
      <c r="R116" s="2942"/>
      <c r="S116" s="2942"/>
      <c r="T116" s="2942"/>
      <c r="U116" s="2942"/>
      <c r="V116" s="2942"/>
      <c r="W116" s="2942"/>
      <c r="X116" s="2942"/>
      <c r="Y116" s="2942"/>
      <c r="Z116" s="2942"/>
      <c r="AA116" s="2942"/>
      <c r="AB116" s="2942"/>
      <c r="AC116" s="2942"/>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971"/>
      <c r="O117" s="2971"/>
      <c r="P117" s="2961"/>
      <c r="Q117" s="2956"/>
      <c r="R117" s="2942"/>
      <c r="S117" s="2942"/>
      <c r="T117" s="2942"/>
      <c r="U117" s="2942"/>
      <c r="V117" s="2942"/>
      <c r="W117" s="2942"/>
      <c r="X117" s="2942"/>
      <c r="Y117" s="2942"/>
      <c r="Z117" s="2942"/>
      <c r="AA117" s="2942"/>
      <c r="AB117" s="2942"/>
      <c r="AC117" s="2942"/>
    </row>
    <row r="118" spans="1:29" ht="15" thickTop="1">
      <c r="A118" s="551"/>
      <c r="B118" s="490" t="s">
        <v>2501</v>
      </c>
      <c r="C118" s="578"/>
      <c r="D118" s="578"/>
      <c r="E118" s="578"/>
      <c r="F118" s="578"/>
      <c r="G118" s="578"/>
      <c r="H118" s="507"/>
      <c r="I118" s="507"/>
      <c r="J118" s="507"/>
      <c r="K118" s="507"/>
      <c r="L118" s="508"/>
      <c r="M118" s="509"/>
      <c r="N118" s="2970"/>
      <c r="O118" s="2970"/>
      <c r="P118" s="2961"/>
      <c r="Q118" s="2956"/>
      <c r="R118" s="2942"/>
      <c r="S118" s="2942"/>
      <c r="T118" s="2942"/>
      <c r="U118" s="2942"/>
      <c r="V118" s="2942"/>
      <c r="W118" s="2942"/>
      <c r="X118" s="2942"/>
      <c r="Y118" s="2942"/>
      <c r="Z118" s="2942"/>
      <c r="AA118" s="2942"/>
      <c r="AB118" s="2942"/>
      <c r="AC118" s="2942"/>
    </row>
    <row r="119" spans="1:29" ht="15.75" thickBot="1">
      <c r="A119" s="486"/>
      <c r="B119" s="495"/>
      <c r="C119" s="512"/>
      <c r="D119" s="488"/>
      <c r="E119" s="488"/>
      <c r="F119" s="488"/>
      <c r="G119" s="488"/>
      <c r="H119" s="488"/>
      <c r="I119" s="488"/>
      <c r="J119" s="488"/>
      <c r="K119" s="488"/>
      <c r="L119" s="488"/>
      <c r="M119" s="489"/>
      <c r="N119" s="2971"/>
      <c r="O119" s="2971"/>
      <c r="P119" s="2961"/>
      <c r="Q119" s="2956"/>
      <c r="R119" s="2942"/>
      <c r="S119" s="2942"/>
      <c r="T119" s="2942"/>
      <c r="U119" s="2942"/>
      <c r="V119" s="2942"/>
      <c r="W119" s="2942"/>
      <c r="X119" s="2942"/>
      <c r="Y119" s="2942"/>
      <c r="Z119" s="2942"/>
      <c r="AA119" s="2942"/>
      <c r="AB119" s="2942"/>
      <c r="AC119" s="2942"/>
    </row>
    <row r="120" spans="1:29" s="425" customFormat="1" ht="15" thickTop="1">
      <c r="A120" s="545"/>
      <c r="B120" s="490" t="s">
        <v>2502</v>
      </c>
      <c r="C120" s="535"/>
      <c r="D120" s="535"/>
      <c r="E120" s="535"/>
      <c r="F120" s="535"/>
      <c r="G120" s="507"/>
      <c r="H120" s="507"/>
      <c r="I120" s="507"/>
      <c r="J120" s="507"/>
      <c r="K120" s="507"/>
      <c r="L120" s="508"/>
      <c r="M120" s="509"/>
      <c r="N120" s="2972"/>
      <c r="O120" s="2972"/>
      <c r="P120" s="2962"/>
      <c r="Q120" s="2963"/>
      <c r="R120" s="2964"/>
      <c r="S120" s="2964"/>
      <c r="T120" s="2964"/>
      <c r="U120" s="2964"/>
      <c r="V120" s="2964"/>
      <c r="W120" s="2964"/>
      <c r="X120" s="2964"/>
      <c r="Y120" s="2964"/>
      <c r="Z120" s="2964"/>
      <c r="AA120" s="2964"/>
      <c r="AB120" s="2964"/>
      <c r="AC120" s="2964"/>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1"/>
      <c r="B122" s="490" t="s">
        <v>2437</v>
      </c>
      <c r="C122" s="506"/>
      <c r="D122" s="506"/>
      <c r="E122" s="506"/>
      <c r="F122" s="535"/>
      <c r="G122" s="535"/>
      <c r="H122" s="535"/>
      <c r="I122" s="535"/>
      <c r="J122" s="535"/>
      <c r="K122" s="536"/>
      <c r="L122" s="537"/>
      <c r="M122" s="538"/>
      <c r="N122" s="2970"/>
      <c r="O122" s="2970"/>
      <c r="P122" s="2961"/>
      <c r="Q122" s="2956"/>
      <c r="R122" s="2942"/>
      <c r="S122" s="2942"/>
      <c r="T122" s="2942"/>
      <c r="U122" s="2942"/>
      <c r="V122" s="2942"/>
      <c r="W122" s="2942"/>
      <c r="X122" s="2942"/>
      <c r="Y122" s="2942"/>
      <c r="Z122" s="2942"/>
      <c r="AA122" s="2942"/>
      <c r="AB122" s="2942"/>
      <c r="AC122" s="2942"/>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1"/>
      <c r="B124" s="490" t="s">
        <v>2438</v>
      </c>
      <c r="C124" s="530" t="s">
        <v>2414</v>
      </c>
      <c r="D124" s="530" t="s">
        <v>2415</v>
      </c>
      <c r="E124" s="530" t="s">
        <v>2416</v>
      </c>
      <c r="F124" s="530" t="s">
        <v>2417</v>
      </c>
      <c r="G124" s="530" t="s">
        <v>2418</v>
      </c>
      <c r="H124" s="491"/>
      <c r="I124" s="491"/>
      <c r="J124" s="491"/>
      <c r="K124" s="492"/>
      <c r="L124" s="493"/>
      <c r="M124" s="494"/>
      <c r="N124" s="2970"/>
      <c r="O124" s="2970"/>
      <c r="P124" s="2962"/>
      <c r="Q124" s="2956"/>
      <c r="R124" s="2942"/>
      <c r="S124" s="2942"/>
      <c r="T124" s="2942"/>
      <c r="U124" s="2942"/>
      <c r="V124" s="2942"/>
      <c r="W124" s="2942"/>
      <c r="X124" s="2942"/>
      <c r="Y124" s="2942"/>
      <c r="Z124" s="2942"/>
      <c r="AA124" s="2942"/>
      <c r="AB124" s="2942"/>
      <c r="AC124" s="2942"/>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971"/>
      <c r="O125" s="2971"/>
      <c r="P125" s="2961"/>
      <c r="Q125" s="2956"/>
      <c r="R125" s="2942"/>
      <c r="S125" s="2942"/>
      <c r="T125" s="2942"/>
      <c r="U125" s="2942"/>
      <c r="V125" s="2942"/>
      <c r="W125" s="2942"/>
      <c r="X125" s="2942"/>
      <c r="Y125" s="2942"/>
      <c r="Z125" s="2942"/>
      <c r="AA125" s="2942"/>
      <c r="AB125" s="2942"/>
      <c r="AC125" s="2942"/>
    </row>
    <row r="126" spans="1:29" s="425" customFormat="1" ht="15" thickTop="1">
      <c r="A126" s="545"/>
      <c r="B126" s="490">
        <f>B44</f>
        <v>111</v>
      </c>
      <c r="C126" s="506"/>
      <c r="D126" s="506"/>
      <c r="E126" s="506"/>
      <c r="F126" s="506"/>
      <c r="G126" s="506"/>
      <c r="H126" s="507"/>
      <c r="I126" s="507"/>
      <c r="J126" s="507"/>
      <c r="K126" s="507"/>
      <c r="L126" s="508"/>
      <c r="M126" s="509"/>
      <c r="N126" s="2972"/>
      <c r="O126" s="2972"/>
      <c r="P126" s="2962"/>
      <c r="Q126" s="2963"/>
      <c r="R126" s="2964"/>
      <c r="S126" s="2964"/>
      <c r="T126" s="2964"/>
      <c r="U126" s="2964"/>
      <c r="V126" s="2964"/>
      <c r="W126" s="2964"/>
      <c r="X126" s="2964"/>
      <c r="Y126" s="2964"/>
      <c r="Z126" s="2964"/>
      <c r="AA126" s="2964"/>
      <c r="AB126" s="2964"/>
      <c r="AC126" s="2964"/>
    </row>
    <row r="127" spans="1:29" s="425" customFormat="1" ht="15.75" thickBot="1">
      <c r="A127" s="505"/>
      <c r="B127" s="495"/>
      <c r="C127" s="512"/>
      <c r="D127" s="488"/>
      <c r="E127" s="488"/>
      <c r="F127" s="488"/>
      <c r="G127" s="512"/>
      <c r="H127" s="514"/>
      <c r="I127" s="514"/>
      <c r="J127" s="514"/>
      <c r="K127" s="514"/>
      <c r="L127" s="514"/>
      <c r="M127" s="515"/>
      <c r="N127" s="2972"/>
      <c r="O127" s="2972"/>
      <c r="P127" s="2962"/>
      <c r="Q127" s="2963"/>
      <c r="R127" s="2964"/>
      <c r="S127" s="2964"/>
      <c r="T127" s="2964"/>
      <c r="U127" s="2964"/>
      <c r="V127" s="2964"/>
      <c r="W127" s="2964"/>
      <c r="X127" s="2964"/>
      <c r="Y127" s="2964"/>
      <c r="Z127" s="2964"/>
      <c r="AA127" s="2964"/>
      <c r="AB127" s="2964"/>
      <c r="AC127" s="2964"/>
    </row>
    <row r="128" spans="1:29" ht="15" thickTop="1">
      <c r="A128" s="551"/>
      <c r="B128" s="490">
        <f>B45</f>
        <v>111</v>
      </c>
      <c r="C128" s="506"/>
      <c r="D128" s="506"/>
      <c r="E128" s="506"/>
      <c r="F128" s="506"/>
      <c r="G128" s="535"/>
      <c r="H128" s="535"/>
      <c r="I128" s="535"/>
      <c r="J128" s="535"/>
      <c r="K128" s="536"/>
      <c r="L128" s="537"/>
      <c r="M128" s="538"/>
      <c r="N128" s="2970"/>
      <c r="O128" s="2970"/>
      <c r="P128" s="2961"/>
      <c r="Q128" s="2956"/>
      <c r="R128" s="2942"/>
      <c r="S128" s="2942"/>
      <c r="T128" s="2942"/>
      <c r="U128" s="2942"/>
      <c r="V128" s="2942"/>
      <c r="W128" s="2942"/>
      <c r="X128" s="2942"/>
      <c r="Y128" s="2942"/>
      <c r="Z128" s="2942"/>
      <c r="AA128" s="2942"/>
      <c r="AB128" s="2942"/>
      <c r="AC128" s="2942"/>
    </row>
    <row r="129" spans="1:29" ht="15.75" thickBot="1">
      <c r="A129" s="486"/>
      <c r="B129" s="495"/>
      <c r="C129" s="512"/>
      <c r="D129" s="488"/>
      <c r="E129" s="488"/>
      <c r="F129" s="488"/>
      <c r="G129" s="488"/>
      <c r="H129" s="488"/>
      <c r="I129" s="488"/>
      <c r="J129" s="488"/>
      <c r="K129" s="488"/>
      <c r="L129" s="488"/>
      <c r="M129" s="489"/>
      <c r="N129" s="2971"/>
      <c r="O129" s="2971"/>
      <c r="P129" s="2961"/>
      <c r="Q129" s="2956"/>
      <c r="R129" s="2942"/>
      <c r="S129" s="2942"/>
      <c r="T129" s="2942"/>
      <c r="U129" s="2942"/>
      <c r="V129" s="2942"/>
      <c r="W129" s="2942"/>
      <c r="X129" s="2942"/>
      <c r="Y129" s="2942"/>
      <c r="Z129" s="2942"/>
      <c r="AA129" s="2942"/>
      <c r="AB129" s="2942"/>
      <c r="AC129" s="2942"/>
    </row>
    <row r="130" spans="1:29" ht="15" thickTop="1">
      <c r="A130" s="551"/>
      <c r="B130" s="498">
        <f>B46</f>
        <v>111</v>
      </c>
      <c r="C130" s="506"/>
      <c r="D130" s="506"/>
      <c r="E130" s="506"/>
      <c r="F130" s="506"/>
      <c r="G130" s="539"/>
      <c r="H130" s="539"/>
      <c r="I130" s="539"/>
      <c r="J130" s="539"/>
      <c r="K130" s="475"/>
      <c r="L130" s="476"/>
      <c r="M130" s="542"/>
      <c r="N130" s="2970"/>
      <c r="O130" s="2970"/>
      <c r="P130" s="2961"/>
      <c r="Q130" s="2956"/>
      <c r="R130" s="2942"/>
      <c r="S130" s="2942"/>
      <c r="T130" s="2942"/>
      <c r="U130" s="2942"/>
      <c r="V130" s="2942"/>
      <c r="W130" s="2942"/>
      <c r="X130" s="2942"/>
      <c r="Y130" s="2942"/>
      <c r="Z130" s="2942"/>
      <c r="AA130" s="2942"/>
      <c r="AB130" s="2942"/>
      <c r="AC130" s="2942"/>
    </row>
    <row r="131" spans="1:29" ht="15.75" thickBot="1">
      <c r="A131" s="2106"/>
      <c r="B131" s="521"/>
      <c r="C131" s="522"/>
      <c r="D131" s="522"/>
      <c r="E131" s="522"/>
      <c r="F131" s="522"/>
      <c r="G131" s="543"/>
      <c r="H131" s="543"/>
      <c r="I131" s="543"/>
      <c r="J131" s="543"/>
      <c r="K131" s="543"/>
      <c r="L131" s="543"/>
      <c r="M131" s="544"/>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72" priority="21" stopIfTrue="1" operator="containsText" text="超过">
      <formula>NOT(ISERROR(SEARCH("超过",F52)))</formula>
    </cfRule>
  </conditionalFormatting>
  <conditionalFormatting sqref="H54">
    <cfRule type="containsText" dxfId="171" priority="19" stopIfTrue="1" operator="containsText" text="超过">
      <formula>NOT(ISERROR(SEARCH("超过",H54)))</formula>
    </cfRule>
  </conditionalFormatting>
  <conditionalFormatting sqref="F54">
    <cfRule type="containsText" dxfId="170" priority="18" stopIfTrue="1" operator="containsText" text="超过">
      <formula>NOT(ISERROR(SEARCH("超过",F54)))</formula>
    </cfRule>
  </conditionalFormatting>
  <conditionalFormatting sqref="F53 H53">
    <cfRule type="containsText" dxfId="169" priority="17" stopIfTrue="1" operator="containsText" text="超过">
      <formula>NOT(ISERROR(SEARCH("超过",F53)))</formula>
    </cfRule>
  </conditionalFormatting>
  <conditionalFormatting sqref="E52">
    <cfRule type="expression" dxfId="168" priority="16" stopIfTrue="1">
      <formula>$F$52="超过30%"</formula>
    </cfRule>
  </conditionalFormatting>
  <conditionalFormatting sqref="E53">
    <cfRule type="expression" dxfId="167" priority="15" stopIfTrue="1">
      <formula>$F$53="超过20%"</formula>
    </cfRule>
  </conditionalFormatting>
  <conditionalFormatting sqref="E54">
    <cfRule type="expression" dxfId="166" priority="14" stopIfTrue="1">
      <formula>$F$54="超过30%"</formula>
    </cfRule>
  </conditionalFormatting>
  <conditionalFormatting sqref="G54">
    <cfRule type="expression" dxfId="165" priority="13" stopIfTrue="1">
      <formula>$H$54="超过30%"</formula>
    </cfRule>
  </conditionalFormatting>
  <conditionalFormatting sqref="G52">
    <cfRule type="expression" dxfId="164" priority="12" stopIfTrue="1">
      <formula>$H$52="超过30%"</formula>
    </cfRule>
  </conditionalFormatting>
  <conditionalFormatting sqref="G53">
    <cfRule type="expression" dxfId="163" priority="11" stopIfTrue="1">
      <formula>$H$53="超过20%"</formula>
    </cfRule>
  </conditionalFormatting>
  <conditionalFormatting sqref="J52">
    <cfRule type="containsText" dxfId="162" priority="10" stopIfTrue="1" operator="containsText" text="超过">
      <formula>NOT(ISERROR(SEARCH("超过",J52)))</formula>
    </cfRule>
  </conditionalFormatting>
  <conditionalFormatting sqref="J54">
    <cfRule type="containsText" dxfId="161" priority="9" stopIfTrue="1" operator="containsText" text="超过">
      <formula>NOT(ISERROR(SEARCH("超过",J54)))</formula>
    </cfRule>
  </conditionalFormatting>
  <conditionalFormatting sqref="J53">
    <cfRule type="containsText" dxfId="160" priority="8" stopIfTrue="1" operator="containsText" text="超过">
      <formula>NOT(ISERROR(SEARCH("超过",J53)))</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21" sqref="E21"/>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03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135" t="s">
        <v>2503</v>
      </c>
      <c r="C1" s="1385" t="s">
        <v>2347</v>
      </c>
      <c r="D1" s="1386"/>
      <c r="E1" s="1395"/>
      <c r="F1" s="2057"/>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t="e">
        <f ca="1">IF(C2="——",ROUND(C50*D3/10000,0),ROUND(C50*D3/10000,0)-D2)</f>
        <v>#DIV/0!</v>
      </c>
      <c r="C2" s="2059"/>
      <c r="D2" s="1269" t="e">
        <f ca="1">SUMIF(INDIRECT("'"&amp;F2&amp;"'"&amp;"!A:A"),"承租人权益价值",INDIRECT("'"&amp;F2&amp;"'"&amp;"!c:c"))</f>
        <v>#REF!</v>
      </c>
      <c r="E2" s="2060" t="s">
        <v>2148</v>
      </c>
      <c r="F2" s="2061"/>
      <c r="G2" s="1033"/>
      <c r="H2" s="1033"/>
      <c r="I2" s="1033"/>
      <c r="J2" s="1033"/>
      <c r="K2" s="1033"/>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t="e">
        <f ca="1">IF(C2="——",C50,ROUND(B2*10000/D3,0))</f>
        <v>#DIV/0!</v>
      </c>
      <c r="C3" s="355" t="s">
        <v>2461</v>
      </c>
      <c r="D3" s="354">
        <f>IF(D1="",'数据-汇总表'!E3,SUMIF('数据-汇总表'!$C19:$C33,D1,'数据-汇总表'!$E19:$E33))</f>
        <v>86417.1</v>
      </c>
      <c r="E3" s="2132"/>
      <c r="F3" s="1034"/>
      <c r="G3" s="1033"/>
      <c r="H3" s="1033"/>
      <c r="I3" s="1033"/>
      <c r="J3" s="1033"/>
      <c r="K3" s="1035"/>
      <c r="L3" s="2951"/>
      <c r="M3" s="2952"/>
      <c r="N3" s="2952"/>
      <c r="O3" s="2952"/>
      <c r="P3" s="703"/>
      <c r="Q3" s="703"/>
      <c r="R3" s="703"/>
      <c r="S3" s="703"/>
      <c r="T3" s="703"/>
      <c r="U3" s="703"/>
      <c r="V3" s="703"/>
      <c r="W3" s="703"/>
      <c r="X3" s="703"/>
      <c r="Y3" s="703"/>
      <c r="Z3" s="703"/>
      <c r="AA3" s="703"/>
      <c r="AB3" s="703"/>
      <c r="AC3" s="704"/>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47" t="s">
        <v>2468</v>
      </c>
      <c r="Q4" s="3648"/>
      <c r="R4" s="3642" t="s">
        <v>2464</v>
      </c>
      <c r="S4" s="3643"/>
      <c r="T4" s="3642" t="s">
        <v>2465</v>
      </c>
      <c r="U4" s="3643"/>
      <c r="V4" s="3651" t="s">
        <v>2466</v>
      </c>
      <c r="W4" s="3651"/>
      <c r="X4" s="2136"/>
      <c r="Y4" s="3642" t="s">
        <v>2468</v>
      </c>
      <c r="Z4" s="3643"/>
      <c r="AA4" s="3641" t="s">
        <v>2464</v>
      </c>
      <c r="AB4" s="3641" t="s">
        <v>2465</v>
      </c>
      <c r="AC4" s="3644" t="s">
        <v>2466</v>
      </c>
    </row>
    <row r="5" spans="1:29" ht="15">
      <c r="A5" s="359"/>
      <c r="B5" s="360"/>
      <c r="C5" s="3626" t="s">
        <v>2359</v>
      </c>
      <c r="D5" s="3627"/>
      <c r="E5" s="3640" t="s">
        <v>2360</v>
      </c>
      <c r="F5" s="3625"/>
      <c r="G5" s="3626" t="s">
        <v>2361</v>
      </c>
      <c r="H5" s="3627"/>
      <c r="I5" s="3626" t="s">
        <v>2362</v>
      </c>
      <c r="J5" s="3627"/>
      <c r="K5" s="562"/>
      <c r="L5" s="2932"/>
      <c r="M5" s="2933"/>
      <c r="N5" s="2933"/>
      <c r="O5" s="2933"/>
      <c r="P5" s="3649"/>
      <c r="Q5" s="3606"/>
      <c r="R5" s="3588"/>
      <c r="S5" s="3589"/>
      <c r="T5" s="3588"/>
      <c r="U5" s="3589"/>
      <c r="V5" s="3611"/>
      <c r="W5" s="3611"/>
      <c r="X5" s="1532"/>
      <c r="Y5" s="3588"/>
      <c r="Z5" s="3589"/>
      <c r="AA5" s="3582"/>
      <c r="AB5" s="3582"/>
      <c r="AC5" s="3645"/>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50"/>
      <c r="Q6" s="3608"/>
      <c r="R6" s="3588"/>
      <c r="S6" s="3589"/>
      <c r="T6" s="3609"/>
      <c r="U6" s="3610"/>
      <c r="V6" s="3611"/>
      <c r="W6" s="3611"/>
      <c r="X6" s="1532"/>
      <c r="Y6" s="3609"/>
      <c r="Z6" s="3610"/>
      <c r="AA6" s="3583"/>
      <c r="AB6" s="3583"/>
      <c r="AC6" s="3646"/>
    </row>
    <row r="7" spans="1:29" s="108" customFormat="1" ht="15.75" thickBot="1">
      <c r="A7" s="363" t="s">
        <v>2365</v>
      </c>
      <c r="B7" s="364"/>
      <c r="C7" s="365">
        <f>'数据-取费表'!B2</f>
        <v>44568</v>
      </c>
      <c r="D7" s="366">
        <v>100</v>
      </c>
      <c r="E7" s="367"/>
      <c r="F7" s="368">
        <f>SUMIF(59:59,YEAR(E7)&amp;"-"&amp;MONTH(E7),60:60)</f>
        <v>0</v>
      </c>
      <c r="G7" s="367"/>
      <c r="H7" s="366">
        <f>SUMIF(59:59,YEAR(G7)&amp;"-"&amp;MONTH(G7),60:60)</f>
        <v>0</v>
      </c>
      <c r="I7" s="367"/>
      <c r="J7" s="366">
        <f>SUMIF(59:59,YEAR(I7)&amp;"-"&amp;MONTH(I7),60:60)</f>
        <v>0</v>
      </c>
      <c r="K7" s="563"/>
      <c r="L7" s="2934"/>
      <c r="M7" s="2935"/>
      <c r="N7" s="2935"/>
      <c r="O7" s="2935"/>
      <c r="P7" s="3652"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2137" t="e">
        <f>D7/J7</f>
        <v>#DIV/0!</v>
      </c>
    </row>
    <row r="8" spans="1:29" s="108" customFormat="1" ht="15.75" thickBot="1">
      <c r="A8" s="363" t="s">
        <v>2367</v>
      </c>
      <c r="B8" s="364"/>
      <c r="C8" s="369" t="s">
        <v>2469</v>
      </c>
      <c r="D8" s="366">
        <v>100</v>
      </c>
      <c r="E8" s="369"/>
      <c r="F8" s="368">
        <f>SUMIF(62:62,E8,63:63)-SUMIF(62:62,C8,63:63)+100</f>
        <v>0</v>
      </c>
      <c r="G8" s="369"/>
      <c r="H8" s="366">
        <f>SUMIF(62:62,G8,63:63)-SUMIF(62:62,C8,63:63)+100</f>
        <v>0</v>
      </c>
      <c r="I8" s="369"/>
      <c r="J8" s="366">
        <f>SUMIF(62:62,I8,63:63)-SUMIF(62:62,C8,63:63)+100</f>
        <v>0</v>
      </c>
      <c r="K8" s="563"/>
      <c r="L8" s="2934"/>
      <c r="M8" s="2935"/>
      <c r="N8" s="2935"/>
      <c r="O8" s="2935"/>
      <c r="P8" s="3652" t="s">
        <v>2369</v>
      </c>
      <c r="Q8" s="3585"/>
      <c r="R8" s="705" t="s">
        <v>17</v>
      </c>
      <c r="S8" s="706">
        <f t="shared" si="0"/>
        <v>0</v>
      </c>
      <c r="T8" s="705" t="s">
        <v>17</v>
      </c>
      <c r="U8" s="706">
        <f t="shared" si="1"/>
        <v>0</v>
      </c>
      <c r="V8" s="705" t="s">
        <v>17</v>
      </c>
      <c r="W8" s="706">
        <f t="shared" si="2"/>
        <v>0</v>
      </c>
      <c r="X8" s="707"/>
      <c r="Y8" s="3584" t="s">
        <v>2369</v>
      </c>
      <c r="Z8" s="3585"/>
      <c r="AA8" s="708" t="e">
        <f t="shared" ref="AA8:AA47" si="3">D8/F8</f>
        <v>#DIV/0!</v>
      </c>
      <c r="AB8" s="708" t="e">
        <f t="shared" ref="AB8:AB47" si="4">D8/H8</f>
        <v>#DIV/0!</v>
      </c>
      <c r="AC8" s="2137" t="e">
        <f t="shared" ref="AC8:AC47" si="5">D8/J8</f>
        <v>#DIV/0!</v>
      </c>
    </row>
    <row r="9" spans="1:29" s="108" customFormat="1">
      <c r="A9" s="370" t="s">
        <v>2370</v>
      </c>
      <c r="B9" s="63" t="s">
        <v>2371</v>
      </c>
      <c r="C9" s="371"/>
      <c r="D9" s="126">
        <v>100</v>
      </c>
      <c r="E9" s="374"/>
      <c r="F9" s="126">
        <f>SUMIF(64:64,E9,65:65)-SUMIF(64:64,C9,65:65)+100</f>
        <v>100</v>
      </c>
      <c r="G9" s="372"/>
      <c r="H9" s="126">
        <f>SUMIF(64:64,G9,65:65)-SUMIF(64:64,C9,65:65)+100</f>
        <v>100</v>
      </c>
      <c r="I9" s="372"/>
      <c r="J9" s="126">
        <f>SUMIF(64:64,I9,65:65)-SUMIF(64:64,C9,65:65)+100</f>
        <v>100</v>
      </c>
      <c r="K9" s="563"/>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2137">
        <f t="shared" si="5"/>
        <v>1</v>
      </c>
    </row>
    <row r="10" spans="1:29" s="381" customFormat="1" ht="27">
      <c r="A10" s="375"/>
      <c r="B10" s="376" t="s">
        <v>2374</v>
      </c>
      <c r="C10" s="377"/>
      <c r="D10" s="127">
        <v>100</v>
      </c>
      <c r="E10" s="377"/>
      <c r="F10" s="127">
        <f>SUMIF(66:66,E10,67:67)-SUMIF(66:66,C10,67:67)+100</f>
        <v>100</v>
      </c>
      <c r="G10" s="378"/>
      <c r="H10" s="127">
        <f>SUMIF(66:66,G10,67:67)-SUMIF(66:66,C10,67:67)+100</f>
        <v>100</v>
      </c>
      <c r="I10" s="377"/>
      <c r="J10" s="127">
        <f>SUMIF(66:66,I10,67:67)-SUMIF(66:66,C10,67:67)+100</f>
        <v>100</v>
      </c>
      <c r="K10" s="564"/>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2137">
        <f t="shared" si="5"/>
        <v>1</v>
      </c>
    </row>
    <row r="11" spans="1:29" ht="15">
      <c r="A11" s="382"/>
      <c r="B11" s="376" t="s">
        <v>2375</v>
      </c>
      <c r="C11" s="383"/>
      <c r="D11" s="127">
        <v>100</v>
      </c>
      <c r="E11" s="383"/>
      <c r="F11" s="127" t="e">
        <f>LOOKUP(E11,69:69,70:70)-LOOKUP(C11,69:69,70:70)+100</f>
        <v>#N/A</v>
      </c>
      <c r="G11" s="384"/>
      <c r="H11" s="127" t="e">
        <f>LOOKUP(G11,69:69,70:70)-LOOKUP(C11,69:69,70:70)+100</f>
        <v>#N/A</v>
      </c>
      <c r="I11" s="383"/>
      <c r="J11" s="127" t="e">
        <f>LOOKUP(I11,69:69,70:70)-LOOKUP(C11,69:69,70:70)+100</f>
        <v>#N/A</v>
      </c>
      <c r="K11" s="564"/>
      <c r="L11" s="2938"/>
      <c r="M11" s="2933"/>
      <c r="N11" s="2933"/>
      <c r="O11" s="2933"/>
      <c r="P11" s="3622"/>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2137" t="e">
        <f t="shared" si="5"/>
        <v>#N/A</v>
      </c>
    </row>
    <row r="12" spans="1:29" s="108" customFormat="1" ht="15">
      <c r="A12" s="385"/>
      <c r="B12" s="2071">
        <v>111</v>
      </c>
      <c r="C12" s="386"/>
      <c r="D12" s="387">
        <v>100</v>
      </c>
      <c r="E12" s="386"/>
      <c r="F12" s="127">
        <f>SUMIF(71:71,E12,72:72)-SUMIF(71:71,C12,72:72)+100</f>
        <v>100</v>
      </c>
      <c r="G12" s="2138"/>
      <c r="H12" s="127">
        <f>SUMIF(71:71,G12,72:72)-SUMIF(71:71,C12,72:72)+100</f>
        <v>100</v>
      </c>
      <c r="I12" s="386"/>
      <c r="J12" s="127">
        <f>SUMIF(71:71,I12,72:72)-SUMIF(71:71,C12,72:72)+100</f>
        <v>100</v>
      </c>
      <c r="K12" s="565"/>
      <c r="L12" s="2934"/>
      <c r="M12" s="2935"/>
      <c r="N12" s="2935"/>
      <c r="O12" s="2935"/>
      <c r="P12" s="3622"/>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2137">
        <f>D12/J12</f>
        <v>1</v>
      </c>
    </row>
    <row r="13" spans="1:29" ht="15">
      <c r="A13" s="382"/>
      <c r="B13" s="2071">
        <v>111</v>
      </c>
      <c r="C13" s="388"/>
      <c r="D13" s="389">
        <v>100</v>
      </c>
      <c r="E13" s="386"/>
      <c r="F13" s="127">
        <f>SUMIF(73:73,E13,74:74)-SUMIF(73:73,C13,74:74)+100</f>
        <v>100</v>
      </c>
      <c r="G13" s="2138"/>
      <c r="H13" s="389">
        <f>SUMIF(73:73,G13,74:74)-SUMIF(73:73,C13,74:74)+100</f>
        <v>100</v>
      </c>
      <c r="I13" s="386"/>
      <c r="J13" s="389">
        <f>SUMIF(73:73,I13,74:74)-SUMIF(73:73,C13,74:74)+100</f>
        <v>100</v>
      </c>
      <c r="K13" s="565"/>
      <c r="L13" s="2939"/>
      <c r="M13" s="2933"/>
      <c r="N13" s="2933"/>
      <c r="O13" s="2933"/>
      <c r="P13" s="3622"/>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2137">
        <f t="shared" si="5"/>
        <v>1</v>
      </c>
    </row>
    <row r="14" spans="1:29" ht="15.75" thickBot="1">
      <c r="A14" s="390"/>
      <c r="B14" s="2073">
        <v>111</v>
      </c>
      <c r="C14" s="391"/>
      <c r="D14" s="392">
        <v>100</v>
      </c>
      <c r="E14" s="579"/>
      <c r="F14" s="392">
        <f>SUMIF(75:75,E14,76:76)-SUMIF(75:75,C14,76:76)+100</f>
        <v>100</v>
      </c>
      <c r="G14" s="2138"/>
      <c r="H14" s="392">
        <f>SUMIF(75:75,G14,76:76)-SUMIF(75:75,C14,76:76)+100</f>
        <v>100</v>
      </c>
      <c r="I14" s="386"/>
      <c r="J14" s="392">
        <f>SUMIF(75:75,I14,76:76)-SUMIF(75:75,C14,76:76)+100</f>
        <v>100</v>
      </c>
      <c r="K14" s="565"/>
      <c r="L14" s="2939"/>
      <c r="M14" s="2933"/>
      <c r="N14" s="2933"/>
      <c r="O14" s="2933"/>
      <c r="P14" s="3622"/>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2137">
        <f t="shared" si="5"/>
        <v>1</v>
      </c>
    </row>
    <row r="15" spans="1:29" ht="15">
      <c r="A15" s="394" t="s">
        <v>2376</v>
      </c>
      <c r="B15" s="580" t="s">
        <v>2504</v>
      </c>
      <c r="C15" s="2139">
        <f>估价对象房地状况!C5</f>
        <v>0</v>
      </c>
      <c r="D15" s="395">
        <v>100</v>
      </c>
      <c r="E15" s="398"/>
      <c r="F15" s="395">
        <f>SUMIF(77:77,E16,78:78)-SUMIF(77:77,C16,78:78)+100</f>
        <v>100</v>
      </c>
      <c r="G15" s="396"/>
      <c r="H15" s="395">
        <f>SUMIF(77:77,G16,78:78)-SUMIF(77:77,C16,78:78)+100</f>
        <v>100</v>
      </c>
      <c r="I15" s="396"/>
      <c r="J15" s="395">
        <f>SUMIF(77:77,I16,78:78)-SUMIF(77:77,C16,78:78)+100</f>
        <v>100</v>
      </c>
      <c r="K15" s="566"/>
      <c r="L15" s="2939"/>
      <c r="M15" s="2933"/>
      <c r="N15" s="2933"/>
      <c r="O15" s="2933"/>
      <c r="P15" s="3638" t="s">
        <v>2377</v>
      </c>
      <c r="Q15" s="1529" t="str">
        <f t="shared" si="6"/>
        <v>办公集聚程度</v>
      </c>
      <c r="R15" s="709" t="s">
        <v>17</v>
      </c>
      <c r="S15" s="710">
        <f t="shared" si="0"/>
        <v>100</v>
      </c>
      <c r="T15" s="709" t="s">
        <v>17</v>
      </c>
      <c r="U15" s="710">
        <f t="shared" si="1"/>
        <v>100</v>
      </c>
      <c r="V15" s="709" t="s">
        <v>17</v>
      </c>
      <c r="W15" s="710">
        <f t="shared" si="2"/>
        <v>100</v>
      </c>
      <c r="X15" s="1532"/>
      <c r="Y15" s="3613" t="s">
        <v>2377</v>
      </c>
      <c r="Z15" s="1533" t="str">
        <f t="shared" si="7"/>
        <v>办公集聚程度</v>
      </c>
      <c r="AA15" s="1530">
        <f t="shared" si="3"/>
        <v>1</v>
      </c>
      <c r="AB15" s="1530">
        <f t="shared" si="4"/>
        <v>1</v>
      </c>
      <c r="AC15" s="2140">
        <f t="shared" si="5"/>
        <v>1</v>
      </c>
    </row>
    <row r="16" spans="1:29" ht="15">
      <c r="A16" s="382"/>
      <c r="B16" s="581"/>
      <c r="C16" s="2082"/>
      <c r="D16" s="402"/>
      <c r="E16" s="401"/>
      <c r="F16" s="402"/>
      <c r="G16" s="2082"/>
      <c r="H16" s="404"/>
      <c r="I16" s="401"/>
      <c r="J16" s="402"/>
      <c r="K16" s="567"/>
      <c r="L16" s="2939"/>
      <c r="M16" s="2933"/>
      <c r="N16" s="2933"/>
      <c r="O16" s="2933"/>
      <c r="P16" s="3639"/>
      <c r="Q16" s="1529"/>
      <c r="R16" s="709"/>
      <c r="S16" s="710"/>
      <c r="T16" s="709"/>
      <c r="U16" s="710"/>
      <c r="V16" s="709"/>
      <c r="W16" s="710"/>
      <c r="X16" s="1532"/>
      <c r="Y16" s="3614"/>
      <c r="Z16" s="1533"/>
      <c r="AA16" s="1530">
        <v>1</v>
      </c>
      <c r="AB16" s="1530">
        <v>1</v>
      </c>
      <c r="AC16" s="2140">
        <v>1</v>
      </c>
    </row>
    <row r="17" spans="1:29" ht="15">
      <c r="A17" s="382"/>
      <c r="B17" s="582" t="s">
        <v>1944</v>
      </c>
      <c r="C17" s="2141" t="str">
        <f>估价对象房地状况!C6</f>
        <v>一般</v>
      </c>
      <c r="D17" s="404">
        <v>100</v>
      </c>
      <c r="E17" s="408"/>
      <c r="F17" s="404">
        <f>SUMIF(79:79,E18,80:80)-SUMIF(79:79,C18,80:80)+100</f>
        <v>100</v>
      </c>
      <c r="G17" s="406"/>
      <c r="H17" s="409">
        <f>SUMIF(79:79,G18,80:80)-SUMIF(79:79,C18,80:80)+100</f>
        <v>100</v>
      </c>
      <c r="I17" s="406"/>
      <c r="J17" s="409">
        <f>SUMIF(79:79,I18,80:80)-SUMIF(79:79,C18,80:80)+100</f>
        <v>100</v>
      </c>
      <c r="K17" s="566"/>
      <c r="L17" s="2939"/>
      <c r="M17" s="2933"/>
      <c r="N17" s="2933"/>
      <c r="O17" s="2933"/>
      <c r="P17" s="3639"/>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2140">
        <f t="shared" si="5"/>
        <v>1</v>
      </c>
    </row>
    <row r="18" spans="1:29" ht="15">
      <c r="A18" s="382"/>
      <c r="B18" s="583"/>
      <c r="C18" s="2142"/>
      <c r="D18" s="404"/>
      <c r="E18" s="2080"/>
      <c r="F18" s="404"/>
      <c r="G18" s="2081"/>
      <c r="H18" s="402"/>
      <c r="I18" s="2081"/>
      <c r="J18" s="402"/>
      <c r="K18" s="567"/>
      <c r="L18" s="2939"/>
      <c r="M18" s="2933"/>
      <c r="N18" s="2933"/>
      <c r="O18" s="2933"/>
      <c r="P18" s="3639"/>
      <c r="Q18" s="1529"/>
      <c r="R18" s="709"/>
      <c r="S18" s="710"/>
      <c r="T18" s="709"/>
      <c r="U18" s="710"/>
      <c r="V18" s="709"/>
      <c r="W18" s="710"/>
      <c r="X18" s="1532"/>
      <c r="Y18" s="3614"/>
      <c r="Z18" s="1533"/>
      <c r="AA18" s="1530">
        <v>1</v>
      </c>
      <c r="AB18" s="1530">
        <v>1</v>
      </c>
      <c r="AC18" s="2140">
        <v>1</v>
      </c>
    </row>
    <row r="19" spans="1:29" ht="15">
      <c r="A19" s="382"/>
      <c r="B19" s="582" t="s">
        <v>2505</v>
      </c>
      <c r="C19" s="2141" t="str">
        <f>估价对象房地状况!C7</f>
        <v>一般</v>
      </c>
      <c r="D19" s="409">
        <v>100</v>
      </c>
      <c r="E19" s="413"/>
      <c r="F19" s="409">
        <f>SUMIF(81:81,E20,82:82)-SUMIF(81:81,C20,82:82)+100</f>
        <v>100</v>
      </c>
      <c r="G19" s="411"/>
      <c r="H19" s="404">
        <f>SUMIF(81:81,G20,82:82)-SUMIF(81:81,C20,82:82)+100</f>
        <v>100</v>
      </c>
      <c r="I19" s="411"/>
      <c r="J19" s="404">
        <f>SUMIF(81:81,I20,82:82)-SUMIF(81:81,C20,82:82)+100</f>
        <v>100</v>
      </c>
      <c r="K19" s="566"/>
      <c r="L19" s="2939"/>
      <c r="M19" s="2933"/>
      <c r="N19" s="2933"/>
      <c r="O19" s="2933"/>
      <c r="P19" s="3639"/>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2140">
        <f t="shared" si="5"/>
        <v>1</v>
      </c>
    </row>
    <row r="20" spans="1:29" ht="15">
      <c r="A20" s="382"/>
      <c r="B20" s="583"/>
      <c r="C20" s="2082"/>
      <c r="D20" s="402"/>
      <c r="E20" s="2075"/>
      <c r="F20" s="402"/>
      <c r="G20" s="2076"/>
      <c r="H20" s="402"/>
      <c r="I20" s="2076"/>
      <c r="J20" s="402"/>
      <c r="K20" s="567"/>
      <c r="L20" s="2939"/>
      <c r="M20" s="2933"/>
      <c r="N20" s="2933"/>
      <c r="O20" s="2933"/>
      <c r="P20" s="3639"/>
      <c r="Q20" s="1529"/>
      <c r="R20" s="709"/>
      <c r="S20" s="710"/>
      <c r="T20" s="709"/>
      <c r="U20" s="710"/>
      <c r="V20" s="709"/>
      <c r="W20" s="710"/>
      <c r="X20" s="1532"/>
      <c r="Y20" s="3614"/>
      <c r="Z20" s="1533"/>
      <c r="AA20" s="1530">
        <v>1</v>
      </c>
      <c r="AB20" s="1530">
        <v>1</v>
      </c>
      <c r="AC20" s="2140">
        <v>1</v>
      </c>
    </row>
    <row r="21" spans="1:29" ht="15">
      <c r="A21" s="382"/>
      <c r="B21" s="584" t="s">
        <v>2506</v>
      </c>
      <c r="C21" s="2141" t="str">
        <f>估价对象房地状况!C8</f>
        <v>七通</v>
      </c>
      <c r="D21" s="404">
        <v>100</v>
      </c>
      <c r="E21" s="413"/>
      <c r="F21" s="409">
        <f>SUMIF(83:83,E22,84:84)-SUMIF(83:83,C22,84:84)+100</f>
        <v>100</v>
      </c>
      <c r="G21" s="411"/>
      <c r="H21" s="404">
        <f>SUMIF(83:83,G22,84:84)-SUMIF(83:83,C22,84:84)+100</f>
        <v>100</v>
      </c>
      <c r="I21" s="411"/>
      <c r="J21" s="404">
        <f>SUMIF(83:83,I22,84:84)-SUMIF(83:83,C22,84:84)+100</f>
        <v>100</v>
      </c>
      <c r="K21" s="566"/>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2140">
        <f t="shared" ref="AC21" si="10">D21/J21</f>
        <v>1</v>
      </c>
    </row>
    <row r="22" spans="1:29" ht="15">
      <c r="A22" s="382"/>
      <c r="B22" s="584"/>
      <c r="C22" s="2142"/>
      <c r="D22" s="402"/>
      <c r="E22" s="401"/>
      <c r="F22" s="402"/>
      <c r="G22" s="2082"/>
      <c r="H22" s="402"/>
      <c r="I22" s="2082"/>
      <c r="J22" s="402"/>
      <c r="K22" s="1286"/>
      <c r="L22" s="2939"/>
      <c r="M22" s="2933"/>
      <c r="N22" s="2933"/>
      <c r="O22" s="2933"/>
      <c r="P22" s="3639"/>
      <c r="Q22" s="1529"/>
      <c r="R22" s="709"/>
      <c r="S22" s="710"/>
      <c r="T22" s="709"/>
      <c r="U22" s="710"/>
      <c r="V22" s="709"/>
      <c r="W22" s="710"/>
      <c r="X22" s="1532"/>
      <c r="Y22" s="3614"/>
      <c r="Z22" s="1533"/>
      <c r="AA22" s="1530">
        <v>1</v>
      </c>
      <c r="AB22" s="1530">
        <v>1</v>
      </c>
      <c r="AC22" s="2140">
        <v>1</v>
      </c>
    </row>
    <row r="23" spans="1:29" ht="15">
      <c r="A23" s="382"/>
      <c r="B23" s="582" t="s">
        <v>2507</v>
      </c>
      <c r="C23" s="2141" t="str">
        <f>估价对象房地状况!C9</f>
        <v>一般</v>
      </c>
      <c r="D23" s="404">
        <v>100</v>
      </c>
      <c r="E23" s="408"/>
      <c r="F23" s="404">
        <f>SUMIF(85:85,E24,86:86)-SUMIF(85:85,C24,86:86)+100</f>
        <v>100</v>
      </c>
      <c r="G23" s="406"/>
      <c r="H23" s="404">
        <f>SUMIF(85:85,G24,86:86)-SUMIF(85:85,C24,86:86)+100</f>
        <v>100</v>
      </c>
      <c r="I23" s="406"/>
      <c r="J23" s="404">
        <f>SUMIF(85:85,I24,86:86)-SUMIF(85:85,C24,86:86)+100</f>
        <v>100</v>
      </c>
      <c r="K23" s="566"/>
      <c r="L23" s="2939"/>
      <c r="M23" s="2933"/>
      <c r="N23" s="2933"/>
      <c r="O23" s="2933"/>
      <c r="P23" s="3639"/>
      <c r="Q23" s="1529" t="str">
        <f>B23</f>
        <v>环境质量</v>
      </c>
      <c r="R23" s="709" t="s">
        <v>17</v>
      </c>
      <c r="S23" s="710">
        <f>F23</f>
        <v>100</v>
      </c>
      <c r="T23" s="709" t="s">
        <v>17</v>
      </c>
      <c r="U23" s="710">
        <f>H23</f>
        <v>100</v>
      </c>
      <c r="V23" s="709" t="s">
        <v>17</v>
      </c>
      <c r="W23" s="710">
        <f>J23</f>
        <v>100</v>
      </c>
      <c r="X23" s="1532"/>
      <c r="Y23" s="3614"/>
      <c r="Z23" s="1533" t="str">
        <f>Q23</f>
        <v>环境质量</v>
      </c>
      <c r="AA23" s="1530">
        <f t="shared" si="3"/>
        <v>1</v>
      </c>
      <c r="AB23" s="1530">
        <f t="shared" si="4"/>
        <v>1</v>
      </c>
      <c r="AC23" s="2140">
        <f t="shared" si="5"/>
        <v>1</v>
      </c>
    </row>
    <row r="24" spans="1:29" ht="15">
      <c r="A24" s="382"/>
      <c r="B24" s="584"/>
      <c r="C24" s="2082"/>
      <c r="D24" s="402"/>
      <c r="E24" s="2075"/>
      <c r="F24" s="402"/>
      <c r="G24" s="2076"/>
      <c r="H24" s="402"/>
      <c r="I24" s="2076"/>
      <c r="J24" s="402"/>
      <c r="K24" s="567"/>
      <c r="L24" s="2939"/>
      <c r="M24" s="2933"/>
      <c r="N24" s="2933"/>
      <c r="O24" s="2933"/>
      <c r="P24" s="3639"/>
      <c r="Q24" s="1529"/>
      <c r="R24" s="709"/>
      <c r="S24" s="710"/>
      <c r="T24" s="709"/>
      <c r="U24" s="710"/>
      <c r="V24" s="709"/>
      <c r="W24" s="710"/>
      <c r="X24" s="1532"/>
      <c r="Y24" s="3614"/>
      <c r="Z24" s="1533"/>
      <c r="AA24" s="1530">
        <v>1</v>
      </c>
      <c r="AB24" s="1530">
        <v>1</v>
      </c>
      <c r="AC24" s="2140">
        <v>1</v>
      </c>
    </row>
    <row r="25" spans="1:29" ht="27">
      <c r="A25" s="359"/>
      <c r="B25" s="582" t="s">
        <v>2508</v>
      </c>
      <c r="C25" s="2086"/>
      <c r="D25" s="389">
        <v>100</v>
      </c>
      <c r="E25" s="388"/>
      <c r="F25" s="389">
        <f>SUMIF(87:87,E26,88:88)-SUMIF(87:87,C26,88:88)+100</f>
        <v>100</v>
      </c>
      <c r="G25" s="2086"/>
      <c r="H25" s="389">
        <f>SUMIF(87:87,G26,88:88)-SUMIF(87:87,C26,88:88)+100</f>
        <v>100</v>
      </c>
      <c r="I25" s="388"/>
      <c r="J25" s="389">
        <f>SUMIF(87:87,I26,88:88)-SUMIF(87:87,C26,88:88)+100</f>
        <v>100</v>
      </c>
      <c r="K25" s="566"/>
      <c r="L25" s="2939"/>
      <c r="M25" s="2933"/>
      <c r="N25" s="2933"/>
      <c r="O25" s="2933"/>
      <c r="P25" s="3639"/>
      <c r="Q25" s="1529" t="str">
        <f>B25</f>
        <v>毗邻道路的类型与等级</v>
      </c>
      <c r="R25" s="709" t="s">
        <v>17</v>
      </c>
      <c r="S25" s="710">
        <f>F25</f>
        <v>100</v>
      </c>
      <c r="T25" s="709" t="s">
        <v>17</v>
      </c>
      <c r="U25" s="710">
        <f>H25</f>
        <v>100</v>
      </c>
      <c r="V25" s="709" t="s">
        <v>17</v>
      </c>
      <c r="W25" s="710">
        <f>J25</f>
        <v>100</v>
      </c>
      <c r="X25" s="1532"/>
      <c r="Y25" s="3614"/>
      <c r="Z25" s="1533" t="str">
        <f>Q25</f>
        <v>毗邻道路的类型与等级</v>
      </c>
      <c r="AA25" s="1530">
        <f t="shared" si="3"/>
        <v>1</v>
      </c>
      <c r="AB25" s="1530">
        <f t="shared" si="4"/>
        <v>1</v>
      </c>
      <c r="AC25" s="2140">
        <f t="shared" si="5"/>
        <v>1</v>
      </c>
    </row>
    <row r="26" spans="1:29" ht="15">
      <c r="A26" s="359"/>
      <c r="B26" s="583"/>
      <c r="C26" s="585"/>
      <c r="D26" s="389"/>
      <c r="E26" s="568"/>
      <c r="F26" s="389"/>
      <c r="G26" s="585"/>
      <c r="H26" s="389"/>
      <c r="I26" s="568"/>
      <c r="J26" s="389"/>
      <c r="K26" s="567"/>
      <c r="L26" s="2939"/>
      <c r="M26" s="2933"/>
      <c r="N26" s="2933"/>
      <c r="O26" s="2933"/>
      <c r="P26" s="3639"/>
      <c r="Q26" s="1529"/>
      <c r="R26" s="709"/>
      <c r="S26" s="710"/>
      <c r="T26" s="709"/>
      <c r="U26" s="710"/>
      <c r="V26" s="709"/>
      <c r="W26" s="710"/>
      <c r="X26" s="1532"/>
      <c r="Y26" s="3614"/>
      <c r="Z26" s="1533"/>
      <c r="AA26" s="1530">
        <v>1</v>
      </c>
      <c r="AB26" s="1530">
        <v>1</v>
      </c>
      <c r="AC26" s="2140">
        <v>1</v>
      </c>
    </row>
    <row r="27" spans="1:29" ht="15">
      <c r="A27" s="382"/>
      <c r="B27" s="583" t="s">
        <v>2476</v>
      </c>
      <c r="C27" s="585"/>
      <c r="D27" s="389">
        <v>100</v>
      </c>
      <c r="E27" s="568"/>
      <c r="F27" s="389">
        <f>SUMIF(89:89,E27,90:90)-SUMIF(89:89,C27,90:90)+100</f>
        <v>100</v>
      </c>
      <c r="G27" s="585"/>
      <c r="H27" s="389">
        <f>SUMIF(89:89,G27,90:90)-SUMIF(89:89,C27,90:90)+100</f>
        <v>100</v>
      </c>
      <c r="I27" s="568"/>
      <c r="J27" s="389">
        <f>SUMIF(89:89,I27,90:90)-SUMIF(89:89,C27,90:90)+100</f>
        <v>100</v>
      </c>
      <c r="K27" s="564"/>
      <c r="L27" s="2939"/>
      <c r="M27" s="2933"/>
      <c r="N27" s="2933"/>
      <c r="O27" s="2933"/>
      <c r="P27" s="3639"/>
      <c r="Q27" s="1529" t="str">
        <f t="shared" ref="Q27:Q47" si="11">B27</f>
        <v>楼层</v>
      </c>
      <c r="R27" s="709" t="s">
        <v>17</v>
      </c>
      <c r="S27" s="710">
        <f>F27</f>
        <v>100</v>
      </c>
      <c r="T27" s="709" t="s">
        <v>17</v>
      </c>
      <c r="U27" s="710">
        <f>H27</f>
        <v>100</v>
      </c>
      <c r="V27" s="709" t="s">
        <v>17</v>
      </c>
      <c r="W27" s="710">
        <f>J27</f>
        <v>100</v>
      </c>
      <c r="X27" s="1532"/>
      <c r="Y27" s="3614"/>
      <c r="Z27" s="1533" t="str">
        <f>Q27</f>
        <v>楼层</v>
      </c>
      <c r="AA27" s="1530">
        <f t="shared" si="3"/>
        <v>1</v>
      </c>
      <c r="AB27" s="1530">
        <f t="shared" si="4"/>
        <v>1</v>
      </c>
      <c r="AC27" s="2140">
        <f t="shared" si="5"/>
        <v>1</v>
      </c>
    </row>
    <row r="28" spans="1:29" s="108" customFormat="1" ht="15">
      <c r="A28" s="385"/>
      <c r="B28" s="582" t="s">
        <v>2509</v>
      </c>
      <c r="C28" s="2143"/>
      <c r="D28" s="416">
        <v>100</v>
      </c>
      <c r="E28" s="2134"/>
      <c r="F28" s="416">
        <f>SUMIF(91:91,E28,92:92)-SUMIF(91:91,C28,92:92)+100</f>
        <v>100</v>
      </c>
      <c r="G28" s="2143"/>
      <c r="H28" s="416">
        <f>SUMIF(91:91,G28,92:92)-SUMIF(91:91,C28,92:92)+100</f>
        <v>100</v>
      </c>
      <c r="I28" s="2134"/>
      <c r="J28" s="416">
        <f>SUMIF(91:91,I28,92:92)-SUMIF(91:91,C28,92:92)+100</f>
        <v>100</v>
      </c>
      <c r="K28" s="564"/>
      <c r="L28" s="2934"/>
      <c r="M28" s="2935"/>
      <c r="N28" s="2935"/>
      <c r="O28" s="2935"/>
      <c r="P28" s="3639"/>
      <c r="Q28" s="1520" t="str">
        <f t="shared" si="11"/>
        <v>朝向</v>
      </c>
      <c r="R28" s="705" t="s">
        <v>17</v>
      </c>
      <c r="S28" s="706">
        <f>F28</f>
        <v>100</v>
      </c>
      <c r="T28" s="705" t="s">
        <v>17</v>
      </c>
      <c r="U28" s="706">
        <f>H28</f>
        <v>100</v>
      </c>
      <c r="V28" s="705" t="s">
        <v>17</v>
      </c>
      <c r="W28" s="706">
        <f>J28</f>
        <v>100</v>
      </c>
      <c r="X28" s="707"/>
      <c r="Y28" s="3614"/>
      <c r="Z28" s="53" t="str">
        <f>Q28</f>
        <v>朝向</v>
      </c>
      <c r="AA28" s="1530">
        <f>D28/F28</f>
        <v>1</v>
      </c>
      <c r="AB28" s="1530">
        <f>D28/H28</f>
        <v>1</v>
      </c>
      <c r="AC28" s="2140">
        <f>D28/J28</f>
        <v>1</v>
      </c>
    </row>
    <row r="29" spans="1:29" ht="15">
      <c r="A29" s="382"/>
      <c r="B29" s="2144">
        <v>111</v>
      </c>
      <c r="C29" s="2086"/>
      <c r="D29" s="389">
        <v>100</v>
      </c>
      <c r="E29" s="386"/>
      <c r="F29" s="389">
        <f>SUMIF(93:93,E29,94:94)-SUMIF(93:93,C29,94:94)+100</f>
        <v>100</v>
      </c>
      <c r="G29" s="2138"/>
      <c r="H29" s="389">
        <f>SUMIF(93:93,G29,94:94)-SUMIF(93:93,C29,94:94)+100</f>
        <v>100</v>
      </c>
      <c r="I29" s="386"/>
      <c r="J29" s="389">
        <f>SUMIF(93:93,I29,94:94)-SUMIF(93:93,C29,94:94)+100</f>
        <v>100</v>
      </c>
      <c r="K29" s="565"/>
      <c r="L29" s="2939"/>
      <c r="M29" s="2933"/>
      <c r="N29" s="2933"/>
      <c r="O29" s="2933"/>
      <c r="P29" s="3639"/>
      <c r="Q29" s="1529">
        <f t="shared" si="11"/>
        <v>111</v>
      </c>
      <c r="R29" s="709" t="s">
        <v>17</v>
      </c>
      <c r="S29" s="710">
        <f t="shared" ref="S29:S47" si="12">F29</f>
        <v>100</v>
      </c>
      <c r="T29" s="709" t="s">
        <v>17</v>
      </c>
      <c r="U29" s="710">
        <f t="shared" ref="U29:U47" si="13">H29</f>
        <v>100</v>
      </c>
      <c r="V29" s="709" t="s">
        <v>17</v>
      </c>
      <c r="W29" s="710">
        <f t="shared" ref="W29:W47" si="14">J29</f>
        <v>100</v>
      </c>
      <c r="X29" s="1532"/>
      <c r="Y29" s="3614"/>
      <c r="Z29" s="1533">
        <f t="shared" ref="Z29:Z47" si="15">Q29</f>
        <v>111</v>
      </c>
      <c r="AA29" s="1530">
        <f t="shared" si="3"/>
        <v>1</v>
      </c>
      <c r="AB29" s="1530">
        <f t="shared" si="4"/>
        <v>1</v>
      </c>
      <c r="AC29" s="2140">
        <f t="shared" si="5"/>
        <v>1</v>
      </c>
    </row>
    <row r="30" spans="1:29" ht="15">
      <c r="A30" s="382"/>
      <c r="B30" s="2144">
        <v>111</v>
      </c>
      <c r="C30" s="2086"/>
      <c r="D30" s="389">
        <v>100</v>
      </c>
      <c r="E30" s="386"/>
      <c r="F30" s="389">
        <f>SUMIF(95:95,E30,96:96)-SUMIF(95:95,C30,96:96)+100</f>
        <v>100</v>
      </c>
      <c r="G30" s="2138"/>
      <c r="H30" s="389">
        <f>SUMIF(95:95,G30,96:96)-SUMIF(95:95,C30,96:96)+100</f>
        <v>100</v>
      </c>
      <c r="I30" s="386"/>
      <c r="J30" s="389">
        <f>SUMIF(95:95,I30,96:96)-SUMIF(95:95,C30,96:96)+100</f>
        <v>100</v>
      </c>
      <c r="K30" s="565"/>
      <c r="L30" s="2939"/>
      <c r="M30" s="2933"/>
      <c r="N30" s="2933"/>
      <c r="O30" s="2933"/>
      <c r="P30" s="3639"/>
      <c r="Q30" s="1529">
        <f t="shared" si="11"/>
        <v>111</v>
      </c>
      <c r="R30" s="709" t="s">
        <v>17</v>
      </c>
      <c r="S30" s="710">
        <f t="shared" si="12"/>
        <v>100</v>
      </c>
      <c r="T30" s="709" t="s">
        <v>17</v>
      </c>
      <c r="U30" s="710">
        <f t="shared" si="13"/>
        <v>100</v>
      </c>
      <c r="V30" s="709" t="s">
        <v>17</v>
      </c>
      <c r="W30" s="710">
        <f t="shared" si="14"/>
        <v>100</v>
      </c>
      <c r="X30" s="1532"/>
      <c r="Y30" s="3614"/>
      <c r="Z30" s="1533">
        <f t="shared" si="15"/>
        <v>111</v>
      </c>
      <c r="AA30" s="1530">
        <f t="shared" si="3"/>
        <v>1</v>
      </c>
      <c r="AB30" s="1530">
        <f t="shared" si="4"/>
        <v>1</v>
      </c>
      <c r="AC30" s="2140">
        <f t="shared" si="5"/>
        <v>1</v>
      </c>
    </row>
    <row r="31" spans="1:29" ht="15">
      <c r="A31" s="382"/>
      <c r="B31" s="2144">
        <v>111</v>
      </c>
      <c r="C31" s="2086"/>
      <c r="D31" s="389">
        <v>100</v>
      </c>
      <c r="E31" s="386"/>
      <c r="F31" s="389">
        <f>SUMIF(97:97,E31,98:98)-SUMIF(97:97,C31,98:98)+100</f>
        <v>100</v>
      </c>
      <c r="G31" s="2138"/>
      <c r="H31" s="389">
        <f>SUMIF(97:97,G31,98:98)-SUMIF(97:97,C31,98:98)+100</f>
        <v>100</v>
      </c>
      <c r="I31" s="386"/>
      <c r="J31" s="389">
        <f>SUMIF(97:97,I31,98:98)-SUMIF(97:97,C31,98:98)+100</f>
        <v>100</v>
      </c>
      <c r="K31" s="565"/>
      <c r="L31" s="2939"/>
      <c r="M31" s="2933"/>
      <c r="N31" s="2933"/>
      <c r="O31" s="2933"/>
      <c r="P31" s="3639"/>
      <c r="Q31" s="1529">
        <f t="shared" si="11"/>
        <v>111</v>
      </c>
      <c r="R31" s="709" t="s">
        <v>17</v>
      </c>
      <c r="S31" s="710">
        <f t="shared" si="12"/>
        <v>100</v>
      </c>
      <c r="T31" s="709" t="s">
        <v>17</v>
      </c>
      <c r="U31" s="710">
        <f t="shared" si="13"/>
        <v>100</v>
      </c>
      <c r="V31" s="709" t="s">
        <v>17</v>
      </c>
      <c r="W31" s="710">
        <f t="shared" si="14"/>
        <v>100</v>
      </c>
      <c r="X31" s="1532"/>
      <c r="Y31" s="3614"/>
      <c r="Z31" s="1533">
        <f t="shared" si="15"/>
        <v>111</v>
      </c>
      <c r="AA31" s="1530">
        <f t="shared" si="3"/>
        <v>1</v>
      </c>
      <c r="AB31" s="1530">
        <f t="shared" si="4"/>
        <v>1</v>
      </c>
      <c r="AC31" s="2140">
        <f t="shared" si="5"/>
        <v>1</v>
      </c>
    </row>
    <row r="32" spans="1:29" ht="15.75" thickBot="1">
      <c r="A32" s="390"/>
      <c r="B32" s="586">
        <v>111</v>
      </c>
      <c r="C32" s="2087"/>
      <c r="D32" s="392">
        <v>100</v>
      </c>
      <c r="E32" s="579"/>
      <c r="F32" s="392">
        <f>SUMIF(99:99,E32,100:100)-SUMIF(99:99,C32,100:100)+100</f>
        <v>100</v>
      </c>
      <c r="G32" s="2138"/>
      <c r="H32" s="392">
        <f>SUMIF(99:99,G32,100:100)-SUMIF(99:99,C32,100:100)+100</f>
        <v>100</v>
      </c>
      <c r="I32" s="386"/>
      <c r="J32" s="392">
        <f>SUMIF(99:99,I32,100:100)-SUMIF(99:99,C32,100:100)+100</f>
        <v>100</v>
      </c>
      <c r="K32" s="565"/>
      <c r="L32" s="2939"/>
      <c r="M32" s="2933"/>
      <c r="N32" s="2933"/>
      <c r="O32" s="2933"/>
      <c r="P32" s="3639"/>
      <c r="Q32" s="1529">
        <f t="shared" si="11"/>
        <v>111</v>
      </c>
      <c r="R32" s="709" t="s">
        <v>17</v>
      </c>
      <c r="S32" s="710">
        <f t="shared" si="12"/>
        <v>100</v>
      </c>
      <c r="T32" s="709" t="s">
        <v>17</v>
      </c>
      <c r="U32" s="710">
        <f t="shared" si="13"/>
        <v>100</v>
      </c>
      <c r="V32" s="709" t="s">
        <v>17</v>
      </c>
      <c r="W32" s="710">
        <f t="shared" si="14"/>
        <v>100</v>
      </c>
      <c r="X32" s="1532"/>
      <c r="Y32" s="3614"/>
      <c r="Z32" s="1533">
        <f t="shared" si="15"/>
        <v>111</v>
      </c>
      <c r="AA32" s="1530">
        <f t="shared" si="3"/>
        <v>1</v>
      </c>
      <c r="AB32" s="1530">
        <f t="shared" si="4"/>
        <v>1</v>
      </c>
      <c r="AC32" s="2140">
        <f t="shared" si="5"/>
        <v>1</v>
      </c>
    </row>
    <row r="33" spans="1:29" ht="15">
      <c r="A33" s="394" t="s">
        <v>2380</v>
      </c>
      <c r="B33" s="63" t="s">
        <v>2510</v>
      </c>
      <c r="C33" s="2145"/>
      <c r="D33" s="421">
        <v>100</v>
      </c>
      <c r="E33" s="2145"/>
      <c r="F33" s="415">
        <f>SUMIF(101:101,E33,102:102)-SUMIF(101:101,C33,102:102)+100</f>
        <v>100</v>
      </c>
      <c r="G33" s="2145"/>
      <c r="H33" s="389">
        <f>SUMIF(101:101,G33,102:102)-SUMIF(101:101,C33,102:102)+100</f>
        <v>100</v>
      </c>
      <c r="I33" s="2145"/>
      <c r="J33" s="421">
        <f>SUMIF(101:101,I33,102:102)-SUMIF(101:101,C33,102:102)+100</f>
        <v>100</v>
      </c>
      <c r="K33" s="564"/>
      <c r="L33" s="2939"/>
      <c r="M33" s="2933"/>
      <c r="N33" s="2933"/>
      <c r="O33" s="2933"/>
      <c r="P33" s="3634" t="s">
        <v>2382</v>
      </c>
      <c r="Q33" s="1529" t="str">
        <f t="shared" si="11"/>
        <v>建筑类型</v>
      </c>
      <c r="R33" s="709" t="s">
        <v>17</v>
      </c>
      <c r="S33" s="710">
        <f t="shared" si="12"/>
        <v>100</v>
      </c>
      <c r="T33" s="709" t="s">
        <v>17</v>
      </c>
      <c r="U33" s="710">
        <f t="shared" si="13"/>
        <v>100</v>
      </c>
      <c r="V33" s="709" t="s">
        <v>17</v>
      </c>
      <c r="W33" s="710">
        <f t="shared" si="14"/>
        <v>100</v>
      </c>
      <c r="X33" s="1532"/>
      <c r="Y33" s="3616" t="s">
        <v>2382</v>
      </c>
      <c r="Z33" s="1533" t="str">
        <f t="shared" si="15"/>
        <v>建筑类型</v>
      </c>
      <c r="AA33" s="1530">
        <f t="shared" si="3"/>
        <v>1</v>
      </c>
      <c r="AB33" s="1530">
        <f t="shared" si="4"/>
        <v>1</v>
      </c>
      <c r="AC33" s="2140">
        <f t="shared" si="5"/>
        <v>1</v>
      </c>
    </row>
    <row r="34" spans="1:29" s="425" customFormat="1" ht="15">
      <c r="A34" s="422"/>
      <c r="B34" s="376" t="s">
        <v>2383</v>
      </c>
      <c r="C34" s="423"/>
      <c r="D34" s="127">
        <v>100</v>
      </c>
      <c r="E34" s="384"/>
      <c r="F34" s="379" t="e">
        <f>LOOKUP(E34,104:104,105:105)-LOOKUP(C34,104:104,105:105)+100</f>
        <v>#N/A</v>
      </c>
      <c r="G34" s="383"/>
      <c r="H34" s="127" t="e">
        <f>LOOKUP(G34,104:104,105:105)-LOOKUP(C34,104:104,105:105)+100</f>
        <v>#N/A</v>
      </c>
      <c r="I34" s="383"/>
      <c r="J34" s="127" t="e">
        <f>LOOKUP(I34,104:104,105:105)-LOOKUP(C34,104:104,105:105)+100</f>
        <v>#N/A</v>
      </c>
      <c r="K34" s="565"/>
      <c r="L34" s="2938"/>
      <c r="M34" s="2940"/>
      <c r="N34" s="2940"/>
      <c r="O34" s="2940"/>
      <c r="P34" s="3635"/>
      <c r="Q34" s="711" t="str">
        <f t="shared" si="11"/>
        <v>项目建筑规模</v>
      </c>
      <c r="R34" s="712" t="s">
        <v>17</v>
      </c>
      <c r="S34" s="713" t="e">
        <f t="shared" si="12"/>
        <v>#N/A</v>
      </c>
      <c r="T34" s="712" t="s">
        <v>17</v>
      </c>
      <c r="U34" s="713" t="e">
        <f t="shared" si="13"/>
        <v>#N/A</v>
      </c>
      <c r="V34" s="712" t="s">
        <v>17</v>
      </c>
      <c r="W34" s="713" t="e">
        <f t="shared" si="14"/>
        <v>#N/A</v>
      </c>
      <c r="X34" s="714"/>
      <c r="Y34" s="3616"/>
      <c r="Z34" s="715" t="str">
        <f t="shared" si="15"/>
        <v>项目建筑规模</v>
      </c>
      <c r="AA34" s="1530" t="e">
        <f t="shared" si="3"/>
        <v>#N/A</v>
      </c>
      <c r="AB34" s="1530" t="e">
        <f t="shared" si="4"/>
        <v>#N/A</v>
      </c>
      <c r="AC34" s="2140" t="e">
        <f t="shared" si="5"/>
        <v>#N/A</v>
      </c>
    </row>
    <row r="35" spans="1:29" ht="15">
      <c r="A35" s="426"/>
      <c r="B35" s="376" t="s">
        <v>2384</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939"/>
      <c r="M35" s="2933"/>
      <c r="N35" s="2933"/>
      <c r="O35" s="2933"/>
      <c r="P35" s="3635"/>
      <c r="Q35" s="1529" t="str">
        <f t="shared" si="11"/>
        <v>建筑结构</v>
      </c>
      <c r="R35" s="709" t="s">
        <v>17</v>
      </c>
      <c r="S35" s="710">
        <f t="shared" si="12"/>
        <v>100</v>
      </c>
      <c r="T35" s="709" t="s">
        <v>17</v>
      </c>
      <c r="U35" s="710">
        <f t="shared" si="13"/>
        <v>100</v>
      </c>
      <c r="V35" s="709" t="s">
        <v>17</v>
      </c>
      <c r="W35" s="710">
        <f t="shared" si="14"/>
        <v>100</v>
      </c>
      <c r="X35" s="1532"/>
      <c r="Y35" s="3616"/>
      <c r="Z35" s="1533" t="str">
        <f t="shared" si="15"/>
        <v>建筑结构</v>
      </c>
      <c r="AA35" s="1530">
        <f t="shared" si="3"/>
        <v>1</v>
      </c>
      <c r="AB35" s="1530">
        <f t="shared" si="4"/>
        <v>1</v>
      </c>
      <c r="AC35" s="2140">
        <f t="shared" si="5"/>
        <v>1</v>
      </c>
    </row>
    <row r="36" spans="1:29" ht="15">
      <c r="A36" s="426"/>
      <c r="B36" s="376" t="s">
        <v>2478</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939"/>
      <c r="M36" s="2933"/>
      <c r="N36" s="2933"/>
      <c r="O36" s="2933"/>
      <c r="P36" s="3635"/>
      <c r="Q36" s="1529" t="str">
        <f t="shared" si="11"/>
        <v>公共部分装修</v>
      </c>
      <c r="R36" s="709" t="s">
        <v>17</v>
      </c>
      <c r="S36" s="710">
        <f t="shared" si="12"/>
        <v>100</v>
      </c>
      <c r="T36" s="709" t="s">
        <v>17</v>
      </c>
      <c r="U36" s="710">
        <f t="shared" si="13"/>
        <v>100</v>
      </c>
      <c r="V36" s="709" t="s">
        <v>17</v>
      </c>
      <c r="W36" s="710">
        <f t="shared" si="14"/>
        <v>100</v>
      </c>
      <c r="X36" s="1532"/>
      <c r="Y36" s="3616"/>
      <c r="Z36" s="1533" t="str">
        <f t="shared" si="15"/>
        <v>公共部分装修</v>
      </c>
      <c r="AA36" s="1530">
        <f t="shared" si="3"/>
        <v>1</v>
      </c>
      <c r="AB36" s="1530">
        <f t="shared" si="4"/>
        <v>1</v>
      </c>
      <c r="AC36" s="2140">
        <f t="shared" si="5"/>
        <v>1</v>
      </c>
    </row>
    <row r="37" spans="1:29" ht="15">
      <c r="A37" s="426"/>
      <c r="B37" s="376" t="s">
        <v>2479</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939"/>
      <c r="M37" s="2933"/>
      <c r="N37" s="2933"/>
      <c r="O37" s="2933"/>
      <c r="P37" s="3635"/>
      <c r="Q37" s="1529" t="str">
        <f t="shared" si="11"/>
        <v>成新度</v>
      </c>
      <c r="R37" s="709" t="s">
        <v>17</v>
      </c>
      <c r="S37" s="710" t="e">
        <f t="shared" si="12"/>
        <v>#N/A</v>
      </c>
      <c r="T37" s="709" t="s">
        <v>17</v>
      </c>
      <c r="U37" s="710" t="e">
        <f t="shared" si="13"/>
        <v>#N/A</v>
      </c>
      <c r="V37" s="709" t="s">
        <v>17</v>
      </c>
      <c r="W37" s="710" t="e">
        <f t="shared" si="14"/>
        <v>#N/A</v>
      </c>
      <c r="X37" s="1532"/>
      <c r="Y37" s="3616"/>
      <c r="Z37" s="1533" t="str">
        <f t="shared" si="15"/>
        <v>成新度</v>
      </c>
      <c r="AA37" s="1530" t="e">
        <f t="shared" si="3"/>
        <v>#N/A</v>
      </c>
      <c r="AB37" s="1530" t="e">
        <f t="shared" si="4"/>
        <v>#N/A</v>
      </c>
      <c r="AC37" s="2140" t="e">
        <f t="shared" si="5"/>
        <v>#N/A</v>
      </c>
    </row>
    <row r="38" spans="1:29" s="108" customFormat="1" ht="15">
      <c r="A38" s="427"/>
      <c r="B38" s="376" t="s">
        <v>2511</v>
      </c>
      <c r="C38" s="414"/>
      <c r="D38" s="127">
        <v>100</v>
      </c>
      <c r="E38" s="414"/>
      <c r="F38" s="415">
        <f>SUMIF(113:113,E38,114:114)-SUMIF(113:113,C38,114:114)+100</f>
        <v>100</v>
      </c>
      <c r="G38" s="414"/>
      <c r="H38" s="389">
        <f>SUMIF(113:113,G38,114:114)-SUMIF(113:113,C38,114:114)+100</f>
        <v>100</v>
      </c>
      <c r="I38" s="414"/>
      <c r="J38" s="389">
        <f>SUMIF(113:113,I38,114:114)-SUMIF(113:113,C38,114:114)+100</f>
        <v>100</v>
      </c>
      <c r="K38" s="564"/>
      <c r="L38" s="2934"/>
      <c r="M38" s="2935"/>
      <c r="N38" s="2935"/>
      <c r="O38" s="2935"/>
      <c r="P38" s="3635"/>
      <c r="Q38" s="1520" t="str">
        <f t="shared" si="11"/>
        <v>写字楼等级</v>
      </c>
      <c r="R38" s="705" t="s">
        <v>17</v>
      </c>
      <c r="S38" s="706">
        <f t="shared" si="12"/>
        <v>100</v>
      </c>
      <c r="T38" s="705" t="s">
        <v>17</v>
      </c>
      <c r="U38" s="706">
        <f t="shared" si="13"/>
        <v>100</v>
      </c>
      <c r="V38" s="705" t="s">
        <v>17</v>
      </c>
      <c r="W38" s="706">
        <f t="shared" si="14"/>
        <v>100</v>
      </c>
      <c r="X38" s="707"/>
      <c r="Y38" s="3616"/>
      <c r="Z38" s="53" t="str">
        <f t="shared" si="15"/>
        <v>写字楼等级</v>
      </c>
      <c r="AA38" s="708">
        <f t="shared" si="3"/>
        <v>1</v>
      </c>
      <c r="AB38" s="708">
        <f t="shared" si="4"/>
        <v>1</v>
      </c>
      <c r="AC38" s="2137">
        <f t="shared" si="5"/>
        <v>1</v>
      </c>
    </row>
    <row r="39" spans="1:29" ht="15">
      <c r="A39" s="426"/>
      <c r="B39" s="376" t="s">
        <v>2512</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939"/>
      <c r="M39" s="2933"/>
      <c r="N39" s="2933"/>
      <c r="O39" s="2933"/>
      <c r="P39" s="3635" t="s">
        <v>2382</v>
      </c>
      <c r="Q39" s="1529" t="str">
        <f t="shared" si="11"/>
        <v>物业管理</v>
      </c>
      <c r="R39" s="709" t="s">
        <v>17</v>
      </c>
      <c r="S39" s="710">
        <f t="shared" si="12"/>
        <v>100</v>
      </c>
      <c r="T39" s="709" t="s">
        <v>17</v>
      </c>
      <c r="U39" s="710">
        <f t="shared" si="13"/>
        <v>100</v>
      </c>
      <c r="V39" s="709" t="s">
        <v>17</v>
      </c>
      <c r="W39" s="710">
        <f t="shared" si="14"/>
        <v>100</v>
      </c>
      <c r="X39" s="1532"/>
      <c r="Y39" s="3616" t="s">
        <v>2382</v>
      </c>
      <c r="Z39" s="1533" t="str">
        <f t="shared" si="15"/>
        <v>物业管理</v>
      </c>
      <c r="AA39" s="1530">
        <f t="shared" si="3"/>
        <v>1</v>
      </c>
      <c r="AB39" s="1530">
        <f t="shared" si="4"/>
        <v>1</v>
      </c>
      <c r="AC39" s="2140">
        <f t="shared" si="5"/>
        <v>1</v>
      </c>
    </row>
    <row r="40" spans="1:29" ht="15">
      <c r="A40" s="426"/>
      <c r="B40" s="376" t="s">
        <v>2480</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939"/>
      <c r="M40" s="2933"/>
      <c r="N40" s="2933"/>
      <c r="O40" s="2933"/>
      <c r="P40" s="3635"/>
      <c r="Q40" s="1529" t="str">
        <f t="shared" si="11"/>
        <v>市政基础设施</v>
      </c>
      <c r="R40" s="709" t="s">
        <v>17</v>
      </c>
      <c r="S40" s="710">
        <f t="shared" si="12"/>
        <v>100</v>
      </c>
      <c r="T40" s="709" t="s">
        <v>17</v>
      </c>
      <c r="U40" s="710">
        <f t="shared" si="13"/>
        <v>100</v>
      </c>
      <c r="V40" s="709" t="s">
        <v>17</v>
      </c>
      <c r="W40" s="710">
        <f t="shared" si="14"/>
        <v>100</v>
      </c>
      <c r="X40" s="1532"/>
      <c r="Y40" s="3616"/>
      <c r="Z40" s="1533" t="str">
        <f t="shared" si="15"/>
        <v>市政基础设施</v>
      </c>
      <c r="AA40" s="1530">
        <f t="shared" si="3"/>
        <v>1</v>
      </c>
      <c r="AB40" s="1530">
        <f t="shared" si="4"/>
        <v>1</v>
      </c>
      <c r="AC40" s="2140">
        <f t="shared" si="5"/>
        <v>1</v>
      </c>
    </row>
    <row r="41" spans="1:29" ht="15">
      <c r="A41" s="426"/>
      <c r="B41" s="376" t="s">
        <v>2482</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939"/>
      <c r="M41" s="2933"/>
      <c r="N41" s="2933"/>
      <c r="O41" s="2933"/>
      <c r="P41" s="3635"/>
      <c r="Q41" s="1529" t="str">
        <f t="shared" si="11"/>
        <v>层高</v>
      </c>
      <c r="R41" s="709" t="s">
        <v>17</v>
      </c>
      <c r="S41" s="710">
        <f t="shared" si="12"/>
        <v>100</v>
      </c>
      <c r="T41" s="709" t="s">
        <v>17</v>
      </c>
      <c r="U41" s="710">
        <f t="shared" si="13"/>
        <v>100</v>
      </c>
      <c r="V41" s="709" t="s">
        <v>17</v>
      </c>
      <c r="W41" s="710">
        <f t="shared" si="14"/>
        <v>100</v>
      </c>
      <c r="X41" s="1532"/>
      <c r="Y41" s="3616"/>
      <c r="Z41" s="1533" t="str">
        <f t="shared" si="15"/>
        <v>层高</v>
      </c>
      <c r="AA41" s="1530">
        <f t="shared" si="3"/>
        <v>1</v>
      </c>
      <c r="AB41" s="1530">
        <f t="shared" si="4"/>
        <v>1</v>
      </c>
      <c r="AC41" s="2140">
        <f t="shared" si="5"/>
        <v>1</v>
      </c>
    </row>
    <row r="42" spans="1:29" s="425" customFormat="1" ht="15">
      <c r="A42" s="422"/>
      <c r="B42" s="1531" t="s">
        <v>2513</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938"/>
      <c r="M42" s="2940"/>
      <c r="N42" s="2940"/>
      <c r="O42" s="2940"/>
      <c r="P42" s="3635"/>
      <c r="Q42" s="711" t="str">
        <f t="shared" si="11"/>
        <v>单套建筑面积</v>
      </c>
      <c r="R42" s="712" t="s">
        <v>17</v>
      </c>
      <c r="S42" s="713">
        <f t="shared" si="12"/>
        <v>100</v>
      </c>
      <c r="T42" s="712" t="s">
        <v>17</v>
      </c>
      <c r="U42" s="713">
        <f t="shared" si="13"/>
        <v>100</v>
      </c>
      <c r="V42" s="712" t="s">
        <v>17</v>
      </c>
      <c r="W42" s="713">
        <f t="shared" si="14"/>
        <v>100</v>
      </c>
      <c r="X42" s="714"/>
      <c r="Y42" s="3616"/>
      <c r="Z42" s="715" t="str">
        <f t="shared" si="15"/>
        <v>单套建筑面积</v>
      </c>
      <c r="AA42" s="1530">
        <f t="shared" si="3"/>
        <v>1</v>
      </c>
      <c r="AB42" s="1530">
        <f t="shared" si="4"/>
        <v>1</v>
      </c>
      <c r="AC42" s="2140">
        <f t="shared" si="5"/>
        <v>1</v>
      </c>
    </row>
    <row r="43" spans="1:29" ht="15">
      <c r="A43" s="426"/>
      <c r="B43" s="376" t="s">
        <v>2485</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939"/>
      <c r="M43" s="2933"/>
      <c r="N43" s="2933"/>
      <c r="O43" s="2933"/>
      <c r="P43" s="3635"/>
      <c r="Q43" s="1529" t="str">
        <f t="shared" si="11"/>
        <v>内部装修</v>
      </c>
      <c r="R43" s="709" t="s">
        <v>17</v>
      </c>
      <c r="S43" s="710">
        <f t="shared" si="12"/>
        <v>100</v>
      </c>
      <c r="T43" s="709" t="s">
        <v>17</v>
      </c>
      <c r="U43" s="710">
        <f t="shared" si="13"/>
        <v>100</v>
      </c>
      <c r="V43" s="709" t="s">
        <v>17</v>
      </c>
      <c r="W43" s="710">
        <f t="shared" si="14"/>
        <v>100</v>
      </c>
      <c r="X43" s="1532"/>
      <c r="Y43" s="3616"/>
      <c r="Z43" s="1533" t="str">
        <f t="shared" si="15"/>
        <v>内部装修</v>
      </c>
      <c r="AA43" s="1530">
        <f t="shared" si="3"/>
        <v>1</v>
      </c>
      <c r="AB43" s="1530">
        <f t="shared" si="4"/>
        <v>1</v>
      </c>
      <c r="AC43" s="2140">
        <f t="shared" si="5"/>
        <v>1</v>
      </c>
    </row>
    <row r="44" spans="1:29" ht="15">
      <c r="A44" s="426"/>
      <c r="B44" s="376" t="s">
        <v>2393</v>
      </c>
      <c r="C44" s="414"/>
      <c r="D44" s="389">
        <v>100</v>
      </c>
      <c r="E44" s="2084"/>
      <c r="F44" s="415">
        <f>SUMIF(125:125,E44,126:126)-SUMIF(125:125,C44,126:126)+100</f>
        <v>100</v>
      </c>
      <c r="G44" s="2084"/>
      <c r="H44" s="389">
        <f>SUMIF(125:125,G44,126:126)-SUMIF(125:125,C44,126:126)+100</f>
        <v>100</v>
      </c>
      <c r="I44" s="2084"/>
      <c r="J44" s="389">
        <f>SUMIF(125:125,I44,126:126)-SUMIF(125:125,C44,126:126)+100</f>
        <v>100</v>
      </c>
      <c r="K44" s="564"/>
      <c r="L44" s="2939"/>
      <c r="M44" s="2933"/>
      <c r="N44" s="2933"/>
      <c r="O44" s="2933"/>
      <c r="P44" s="3635"/>
      <c r="Q44" s="1529" t="str">
        <f t="shared" si="11"/>
        <v>内部装修维护情况</v>
      </c>
      <c r="R44" s="709" t="s">
        <v>17</v>
      </c>
      <c r="S44" s="710">
        <f t="shared" si="12"/>
        <v>100</v>
      </c>
      <c r="T44" s="709" t="s">
        <v>17</v>
      </c>
      <c r="U44" s="710">
        <f t="shared" si="13"/>
        <v>100</v>
      </c>
      <c r="V44" s="709" t="s">
        <v>17</v>
      </c>
      <c r="W44" s="710">
        <f t="shared" si="14"/>
        <v>100</v>
      </c>
      <c r="X44" s="1532"/>
      <c r="Y44" s="3616"/>
      <c r="Z44" s="1533" t="str">
        <f t="shared" si="15"/>
        <v>内部装修维护情况</v>
      </c>
      <c r="AA44" s="1530">
        <f t="shared" si="3"/>
        <v>1</v>
      </c>
      <c r="AB44" s="1530">
        <f t="shared" si="4"/>
        <v>1</v>
      </c>
      <c r="AC44" s="2140">
        <f t="shared" si="5"/>
        <v>1</v>
      </c>
    </row>
    <row r="45" spans="1:29" s="108" customFormat="1" ht="15">
      <c r="A45" s="427"/>
      <c r="B45" s="1289">
        <v>111</v>
      </c>
      <c r="C45" s="423"/>
      <c r="D45" s="127">
        <v>100</v>
      </c>
      <c r="E45" s="386"/>
      <c r="F45" s="379">
        <f>SUMIF(127:127,E45,128:128)-SUMIF(127:127,C45,128:128)+100</f>
        <v>100</v>
      </c>
      <c r="G45" s="386"/>
      <c r="H45" s="127">
        <f>SUMIF(127:127,G45,128:128)-SUMIF(127:127,C45,128:128)+100</f>
        <v>100</v>
      </c>
      <c r="I45" s="386"/>
      <c r="J45" s="127">
        <f>SUMIF(127:127,I45,128:128)-SUMIF(127:127,C45,128:128)+100</f>
        <v>100</v>
      </c>
      <c r="K45" s="565"/>
      <c r="L45" s="2934"/>
      <c r="M45" s="2935"/>
      <c r="N45" s="2935"/>
      <c r="O45" s="2935"/>
      <c r="P45" s="3635"/>
      <c r="Q45" s="1520">
        <f t="shared" si="11"/>
        <v>111</v>
      </c>
      <c r="R45" s="705" t="s">
        <v>17</v>
      </c>
      <c r="S45" s="706">
        <f t="shared" si="12"/>
        <v>100</v>
      </c>
      <c r="T45" s="705" t="s">
        <v>17</v>
      </c>
      <c r="U45" s="706">
        <f t="shared" si="13"/>
        <v>100</v>
      </c>
      <c r="V45" s="705" t="s">
        <v>17</v>
      </c>
      <c r="W45" s="706">
        <f t="shared" si="14"/>
        <v>100</v>
      </c>
      <c r="X45" s="707"/>
      <c r="Y45" s="3616"/>
      <c r="Z45" s="53">
        <f t="shared" si="15"/>
        <v>111</v>
      </c>
      <c r="AA45" s="708">
        <f t="shared" si="3"/>
        <v>1</v>
      </c>
      <c r="AB45" s="708">
        <f t="shared" si="4"/>
        <v>1</v>
      </c>
      <c r="AC45" s="2137">
        <f t="shared" si="5"/>
        <v>1</v>
      </c>
    </row>
    <row r="46" spans="1:29" ht="15">
      <c r="A46" s="426"/>
      <c r="B46" s="1289">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939"/>
      <c r="M46" s="2933"/>
      <c r="N46" s="2933"/>
      <c r="O46" s="2933"/>
      <c r="P46" s="3635"/>
      <c r="Q46" s="1529">
        <f t="shared" si="11"/>
        <v>111</v>
      </c>
      <c r="R46" s="709" t="s">
        <v>17</v>
      </c>
      <c r="S46" s="710">
        <f t="shared" si="12"/>
        <v>100</v>
      </c>
      <c r="T46" s="709" t="s">
        <v>17</v>
      </c>
      <c r="U46" s="710">
        <f t="shared" si="13"/>
        <v>100</v>
      </c>
      <c r="V46" s="709" t="s">
        <v>17</v>
      </c>
      <c r="W46" s="710">
        <f t="shared" si="14"/>
        <v>100</v>
      </c>
      <c r="X46" s="1532"/>
      <c r="Y46" s="3616"/>
      <c r="Z46" s="1533">
        <f t="shared" si="15"/>
        <v>111</v>
      </c>
      <c r="AA46" s="1530">
        <f t="shared" si="3"/>
        <v>1</v>
      </c>
      <c r="AB46" s="1530">
        <f t="shared" si="4"/>
        <v>1</v>
      </c>
      <c r="AC46" s="2140">
        <f t="shared" si="5"/>
        <v>1</v>
      </c>
    </row>
    <row r="47" spans="1:29" ht="15.75" thickBot="1">
      <c r="A47" s="432"/>
      <c r="B47" s="2073">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939"/>
      <c r="M47" s="2933"/>
      <c r="N47" s="2933"/>
      <c r="O47" s="2933"/>
      <c r="P47" s="3636"/>
      <c r="Q47" s="1529">
        <f t="shared" si="11"/>
        <v>111</v>
      </c>
      <c r="R47" s="709" t="s">
        <v>17</v>
      </c>
      <c r="S47" s="710">
        <f t="shared" si="12"/>
        <v>100</v>
      </c>
      <c r="T47" s="709" t="s">
        <v>17</v>
      </c>
      <c r="U47" s="710">
        <f t="shared" si="13"/>
        <v>100</v>
      </c>
      <c r="V47" s="709" t="s">
        <v>17</v>
      </c>
      <c r="W47" s="710">
        <f t="shared" si="14"/>
        <v>100</v>
      </c>
      <c r="X47" s="1532"/>
      <c r="Y47" s="3637"/>
      <c r="Z47" s="1533">
        <f t="shared" si="15"/>
        <v>111</v>
      </c>
      <c r="AA47" s="1530">
        <f t="shared" si="3"/>
        <v>1</v>
      </c>
      <c r="AB47" s="1530">
        <f t="shared" si="4"/>
        <v>1</v>
      </c>
      <c r="AC47" s="2140">
        <f t="shared" si="5"/>
        <v>1</v>
      </c>
    </row>
    <row r="48" spans="1:29" ht="15">
      <c r="A48" s="433" t="s">
        <v>2394</v>
      </c>
      <c r="B48" s="434"/>
      <c r="C48" s="1310" t="s">
        <v>1</v>
      </c>
      <c r="D48" s="1311"/>
      <c r="E48" s="1312"/>
      <c r="F48" s="1313"/>
      <c r="G48" s="1314"/>
      <c r="H48" s="1315"/>
      <c r="I48" s="1312"/>
      <c r="J48" s="439"/>
      <c r="K48" s="718"/>
      <c r="L48" s="2941"/>
      <c r="M48" s="2933"/>
      <c r="N48" s="2933"/>
      <c r="O48" s="2933"/>
      <c r="P48" s="3622" t="str">
        <f>A48</f>
        <v>成交单价（元/平方米）</v>
      </c>
      <c r="Q48" s="3598"/>
      <c r="R48" s="3633">
        <f>E48</f>
        <v>0</v>
      </c>
      <c r="S48" s="3633"/>
      <c r="T48" s="3633">
        <f>G48</f>
        <v>0</v>
      </c>
      <c r="U48" s="3633"/>
      <c r="V48" s="3633">
        <f>I48</f>
        <v>0</v>
      </c>
      <c r="W48" s="3633"/>
      <c r="X48" s="400"/>
      <c r="Y48" s="716"/>
      <c r="Z48" s="400"/>
      <c r="AA48" s="400"/>
      <c r="AB48" s="400"/>
      <c r="AC48" s="581"/>
    </row>
    <row r="49" spans="1:29" ht="15.75" thickBot="1">
      <c r="A49" s="440" t="s">
        <v>2486</v>
      </c>
      <c r="B49" s="441"/>
      <c r="C49" s="1316" t="e">
        <f>R50</f>
        <v>#DIV/0!</v>
      </c>
      <c r="D49" s="2530" t="s">
        <v>2877</v>
      </c>
      <c r="E49" s="1317" t="e">
        <f>R49</f>
        <v>#DIV/0!</v>
      </c>
      <c r="F49" s="2531"/>
      <c r="G49" s="1316" t="e">
        <f>T49</f>
        <v>#DIV/0!</v>
      </c>
      <c r="H49" s="2531"/>
      <c r="I49" s="1317" t="e">
        <f>V49</f>
        <v>#DIV/0!</v>
      </c>
      <c r="J49" s="2531"/>
      <c r="K49" s="2533">
        <f>F49+H49+J49</f>
        <v>0</v>
      </c>
      <c r="L49" s="2941"/>
      <c r="M49" s="2933"/>
      <c r="N49" s="2933"/>
      <c r="O49" s="2933"/>
      <c r="P49" s="3622" t="str">
        <f>A49</f>
        <v>比较价值（元/平方米）</v>
      </c>
      <c r="Q49" s="3598"/>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400"/>
      <c r="Y49" s="400"/>
      <c r="Z49" s="400"/>
      <c r="AA49" s="400"/>
      <c r="AB49" s="400"/>
      <c r="AC49" s="581"/>
    </row>
    <row r="50" spans="1:29" ht="15.75" thickBot="1">
      <c r="A50" s="444" t="s">
        <v>2487</v>
      </c>
      <c r="B50" s="445"/>
      <c r="C50" s="1319" t="e">
        <f>R50</f>
        <v>#DIV/0!</v>
      </c>
      <c r="D50" s="1319"/>
      <c r="E50" s="1319"/>
      <c r="F50" s="1319"/>
      <c r="G50" s="1319"/>
      <c r="H50" s="1319"/>
      <c r="I50" s="1319"/>
      <c r="J50" s="446"/>
      <c r="K50" s="719"/>
      <c r="L50" s="2941"/>
      <c r="M50" s="2933"/>
      <c r="N50" s="2933"/>
      <c r="O50" s="2933"/>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2124"/>
      <c r="Y50" s="2124"/>
      <c r="Z50" s="2124"/>
      <c r="AA50" s="2124"/>
      <c r="AB50" s="2124"/>
      <c r="AC50" s="2125"/>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49" t="s">
        <v>2488</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49" t="s">
        <v>2489</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4" customFormat="1" ht="13.5" customHeight="1">
      <c r="A55" s="2945"/>
      <c r="B55" s="2945"/>
      <c r="C55" s="449" t="s">
        <v>2490</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4"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698" t="s">
        <v>2491</v>
      </c>
      <c r="B58" s="694"/>
      <c r="C58" s="699"/>
      <c r="D58" s="699"/>
      <c r="E58" s="699"/>
      <c r="F58" s="700"/>
      <c r="G58" s="700"/>
      <c r="H58" s="699"/>
      <c r="I58" s="699"/>
      <c r="J58" s="699"/>
      <c r="K58" s="701"/>
      <c r="L58" s="1067"/>
      <c r="M58" s="1065"/>
      <c r="N58" s="2986"/>
      <c r="O58" s="2986"/>
      <c r="P58" s="2975"/>
      <c r="Q58" s="2956"/>
      <c r="R58" s="2942"/>
      <c r="S58" s="2942"/>
      <c r="T58" s="2942"/>
      <c r="U58" s="2942"/>
      <c r="V58" s="2942"/>
      <c r="W58" s="2942"/>
      <c r="X58" s="2942"/>
      <c r="Y58" s="2942"/>
      <c r="Z58" s="2942"/>
      <c r="AA58" s="2942"/>
      <c r="AB58" s="2942"/>
      <c r="AC58" s="2942"/>
    </row>
    <row r="59" spans="1:29" s="460" customFormat="1" ht="15">
      <c r="A59" s="457" t="s">
        <v>2365</v>
      </c>
      <c r="B59" s="458"/>
      <c r="C59" s="1339" t="str">
        <f>YEAR(C7)&amp;"-"&amp;MONTH(C7)</f>
        <v>2022-1</v>
      </c>
      <c r="D59" s="1340">
        <f>EDATE(C59,-1)</f>
        <v>44531</v>
      </c>
      <c r="E59" s="1340">
        <f>EDATE(D59,-1)</f>
        <v>44501</v>
      </c>
      <c r="F59" s="1340">
        <f t="shared" ref="F59:O59" si="16">EDATE(E59,-1)</f>
        <v>44470</v>
      </c>
      <c r="G59" s="1340">
        <f t="shared" si="16"/>
        <v>44440</v>
      </c>
      <c r="H59" s="1340">
        <f t="shared" si="16"/>
        <v>44409</v>
      </c>
      <c r="I59" s="1340">
        <f t="shared" si="16"/>
        <v>44378</v>
      </c>
      <c r="J59" s="1340">
        <f t="shared" si="16"/>
        <v>44348</v>
      </c>
      <c r="K59" s="1340">
        <f t="shared" si="16"/>
        <v>44317</v>
      </c>
      <c r="L59" s="1340">
        <f t="shared" si="16"/>
        <v>44287</v>
      </c>
      <c r="M59" s="1340">
        <f t="shared" si="16"/>
        <v>44256</v>
      </c>
      <c r="N59" s="1340">
        <f t="shared" si="16"/>
        <v>44228</v>
      </c>
      <c r="O59" s="1340">
        <f t="shared" si="16"/>
        <v>44197</v>
      </c>
      <c r="P59" s="2976"/>
      <c r="Q59" s="2958"/>
      <c r="R59" s="2958"/>
      <c r="S59" s="2958"/>
      <c r="T59" s="2958"/>
      <c r="U59" s="2958"/>
      <c r="V59" s="2958"/>
      <c r="W59" s="2958"/>
      <c r="X59" s="2958"/>
      <c r="Y59" s="2958"/>
      <c r="Z59" s="2958"/>
      <c r="AA59" s="2958"/>
      <c r="AB59" s="2958"/>
      <c r="AC59" s="2958"/>
    </row>
    <row r="60" spans="1:29" s="108" customFormat="1" ht="15">
      <c r="A60" s="461"/>
      <c r="B60" s="462"/>
      <c r="C60" s="1338">
        <v>100</v>
      </c>
      <c r="D60" s="464"/>
      <c r="E60" s="464"/>
      <c r="F60" s="464"/>
      <c r="G60" s="464"/>
      <c r="H60" s="464"/>
      <c r="I60" s="464"/>
      <c r="J60" s="464"/>
      <c r="K60" s="464"/>
      <c r="L60" s="464"/>
      <c r="M60" s="465"/>
      <c r="N60" s="464"/>
      <c r="O60" s="465"/>
      <c r="P60" s="2977"/>
      <c r="Q60" s="2877"/>
      <c r="R60" s="2877"/>
      <c r="S60" s="2877"/>
      <c r="T60" s="2877"/>
      <c r="U60" s="2877"/>
      <c r="V60" s="2877"/>
      <c r="W60" s="2877"/>
      <c r="X60" s="2877"/>
      <c r="Y60" s="2877"/>
      <c r="Z60" s="2877"/>
      <c r="AA60" s="2877"/>
      <c r="AB60" s="2877"/>
      <c r="AC60" s="2877"/>
    </row>
    <row r="61" spans="1:29" s="108" customFormat="1" ht="15.75" thickBot="1">
      <c r="A61" s="467" t="s">
        <v>2402</v>
      </c>
      <c r="B61" s="468"/>
      <c r="C61" s="469"/>
      <c r="D61" s="470"/>
      <c r="E61" s="470"/>
      <c r="F61" s="470"/>
      <c r="G61" s="470"/>
      <c r="H61" s="470"/>
      <c r="I61" s="470"/>
      <c r="J61" s="470"/>
      <c r="K61" s="470"/>
      <c r="L61" s="470"/>
      <c r="M61" s="471"/>
      <c r="N61" s="470"/>
      <c r="O61" s="471"/>
      <c r="P61" s="2977"/>
      <c r="Q61" s="2956"/>
      <c r="R61" s="2877"/>
      <c r="S61" s="2877"/>
      <c r="T61" s="2877"/>
      <c r="U61" s="2877"/>
      <c r="V61" s="2877"/>
      <c r="W61" s="2877"/>
      <c r="X61" s="2877"/>
      <c r="Y61" s="2877"/>
      <c r="Z61" s="2877"/>
      <c r="AA61" s="2877"/>
      <c r="AB61" s="2877"/>
      <c r="AC61" s="2877"/>
    </row>
    <row r="62" spans="1:29" s="108" customFormat="1" ht="15">
      <c r="A62" s="473" t="s">
        <v>2367</v>
      </c>
      <c r="B62" s="462"/>
      <c r="C62" s="474" t="s">
        <v>2469</v>
      </c>
      <c r="D62" s="475"/>
      <c r="E62" s="475"/>
      <c r="F62" s="475"/>
      <c r="G62" s="475"/>
      <c r="H62" s="475"/>
      <c r="I62" s="475"/>
      <c r="J62" s="475"/>
      <c r="K62" s="475"/>
      <c r="L62" s="476"/>
      <c r="M62" s="477"/>
      <c r="N62" s="2969"/>
      <c r="O62" s="2969"/>
      <c r="P62" s="2978"/>
      <c r="Q62" s="2956"/>
      <c r="R62" s="2877"/>
      <c r="S62" s="2877"/>
      <c r="T62" s="2877"/>
      <c r="U62" s="2877"/>
      <c r="V62" s="2877"/>
      <c r="W62" s="2877"/>
      <c r="X62" s="2877"/>
      <c r="Y62" s="2877"/>
      <c r="Z62" s="2877"/>
      <c r="AA62" s="2877"/>
      <c r="AB62" s="2877"/>
      <c r="AC62" s="2877"/>
    </row>
    <row r="63" spans="1:29" s="108" customFormat="1" ht="15.75" thickBot="1">
      <c r="A63" s="473"/>
      <c r="B63" s="462"/>
      <c r="C63" s="463">
        <v>100</v>
      </c>
      <c r="D63" s="464"/>
      <c r="E63" s="464"/>
      <c r="F63" s="464"/>
      <c r="G63" s="464"/>
      <c r="H63" s="464"/>
      <c r="I63" s="464"/>
      <c r="J63" s="464"/>
      <c r="K63" s="464"/>
      <c r="L63" s="464"/>
      <c r="M63" s="466"/>
      <c r="N63" s="2969"/>
      <c r="O63" s="2969"/>
      <c r="P63" s="2977"/>
      <c r="Q63" s="2956"/>
      <c r="R63" s="2877"/>
      <c r="S63" s="2877"/>
      <c r="T63" s="2877"/>
      <c r="U63" s="2877"/>
      <c r="V63" s="2877"/>
      <c r="W63" s="2877"/>
      <c r="X63" s="2877"/>
      <c r="Y63" s="2877"/>
      <c r="Z63" s="2877"/>
      <c r="AA63" s="2877"/>
      <c r="AB63" s="2877"/>
      <c r="AC63" s="2877"/>
    </row>
    <row r="64" spans="1:29">
      <c r="A64" s="479" t="s">
        <v>2405</v>
      </c>
      <c r="B64" s="480" t="s">
        <v>2371</v>
      </c>
      <c r="C64" s="481">
        <f>C9</f>
        <v>0</v>
      </c>
      <c r="D64" s="482"/>
      <c r="E64" s="482"/>
      <c r="F64" s="482"/>
      <c r="G64" s="482"/>
      <c r="H64" s="482"/>
      <c r="I64" s="482"/>
      <c r="J64" s="482"/>
      <c r="K64" s="483"/>
      <c r="L64" s="484"/>
      <c r="M64" s="485"/>
      <c r="N64" s="2970"/>
      <c r="O64" s="2970"/>
      <c r="P64" s="2979"/>
      <c r="Q64" s="2956"/>
      <c r="R64" s="2942"/>
      <c r="S64" s="2942"/>
      <c r="T64" s="2942"/>
      <c r="U64" s="2942"/>
      <c r="V64" s="2942"/>
      <c r="W64" s="2942"/>
      <c r="X64" s="2942"/>
      <c r="Y64" s="2942"/>
      <c r="Z64" s="2942"/>
      <c r="AA64" s="2942"/>
      <c r="AB64" s="2942"/>
      <c r="AC64" s="2942"/>
    </row>
    <row r="65" spans="1:29" ht="15.75" thickBot="1">
      <c r="A65" s="486"/>
      <c r="B65" s="487"/>
      <c r="C65" s="488">
        <v>100</v>
      </c>
      <c r="D65" s="488"/>
      <c r="E65" s="488"/>
      <c r="F65" s="488"/>
      <c r="G65" s="488"/>
      <c r="H65" s="488"/>
      <c r="I65" s="488"/>
      <c r="J65" s="488"/>
      <c r="K65" s="488"/>
      <c r="L65" s="488"/>
      <c r="M65" s="489"/>
      <c r="N65" s="2971"/>
      <c r="O65" s="2971"/>
      <c r="P65" s="2979"/>
      <c r="Q65" s="2956"/>
      <c r="R65" s="2942"/>
      <c r="S65" s="2942"/>
      <c r="T65" s="2942"/>
      <c r="U65" s="2942"/>
      <c r="V65" s="2942"/>
      <c r="W65" s="2942"/>
      <c r="X65" s="2942"/>
      <c r="Y65" s="2942"/>
      <c r="Z65" s="2942"/>
      <c r="AA65" s="2942"/>
      <c r="AB65" s="2942"/>
      <c r="AC65" s="2942"/>
    </row>
    <row r="66" spans="1:29" ht="27.75" thickTop="1">
      <c r="A66" s="486"/>
      <c r="B66" s="490" t="s">
        <v>2374</v>
      </c>
      <c r="C66" s="491" t="s">
        <v>2406</v>
      </c>
      <c r="D66" s="491" t="s">
        <v>2407</v>
      </c>
      <c r="E66" s="491" t="s">
        <v>2408</v>
      </c>
      <c r="F66" s="491" t="s">
        <v>2409</v>
      </c>
      <c r="G66" s="491" t="s">
        <v>2410</v>
      </c>
      <c r="H66" s="491" t="s">
        <v>2411</v>
      </c>
      <c r="I66" s="491" t="s">
        <v>2412</v>
      </c>
      <c r="J66" s="491"/>
      <c r="K66" s="492"/>
      <c r="L66" s="493"/>
      <c r="M66" s="494"/>
      <c r="N66" s="2970"/>
      <c r="O66" s="2970"/>
      <c r="P66" s="2979"/>
      <c r="Q66" s="2956"/>
      <c r="R66" s="2942"/>
      <c r="S66" s="2942"/>
      <c r="T66" s="2942"/>
      <c r="U66" s="2942"/>
      <c r="V66" s="2942"/>
      <c r="W66" s="2942"/>
      <c r="X66" s="2942"/>
      <c r="Y66" s="2942"/>
      <c r="Z66" s="2942"/>
      <c r="AA66" s="2942"/>
      <c r="AB66" s="2942"/>
      <c r="AC66" s="2942"/>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971"/>
      <c r="O67" s="2971"/>
      <c r="P67" s="2979"/>
      <c r="Q67" s="2956"/>
      <c r="R67" s="2942"/>
      <c r="S67" s="2942"/>
      <c r="T67" s="2942"/>
      <c r="U67" s="2942"/>
      <c r="V67" s="2942"/>
      <c r="W67" s="2942"/>
      <c r="X67" s="2942"/>
      <c r="Y67" s="2942"/>
      <c r="Z67" s="2942"/>
      <c r="AA67" s="2942"/>
      <c r="AB67" s="2942"/>
      <c r="AC67" s="2942"/>
    </row>
    <row r="68" spans="1:29" ht="15.75" thickTop="1">
      <c r="A68" s="486"/>
      <c r="B68" s="498" t="s">
        <v>2375</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86"/>
      <c r="B69" s="500"/>
      <c r="C69" s="501"/>
      <c r="D69" s="501"/>
      <c r="E69" s="501"/>
      <c r="F69" s="501"/>
      <c r="G69" s="501"/>
      <c r="H69" s="501"/>
      <c r="I69" s="501"/>
      <c r="J69" s="501"/>
      <c r="K69" s="502"/>
      <c r="L69" s="503"/>
      <c r="M69" s="504"/>
      <c r="N69" s="2970"/>
      <c r="O69" s="2970"/>
      <c r="P69" s="2979"/>
      <c r="Q69" s="2956"/>
      <c r="R69" s="2942"/>
      <c r="S69" s="2942"/>
      <c r="T69" s="2942"/>
      <c r="U69" s="2942"/>
      <c r="V69" s="2942"/>
      <c r="W69" s="2942"/>
      <c r="X69" s="2942"/>
      <c r="Y69" s="2942"/>
      <c r="Z69" s="2942"/>
      <c r="AA69" s="2942"/>
      <c r="AB69" s="2942"/>
      <c r="AC69" s="2942"/>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971"/>
      <c r="O70" s="2971"/>
      <c r="P70" s="2979"/>
      <c r="Q70" s="2956"/>
      <c r="R70" s="2942"/>
      <c r="S70" s="2942"/>
      <c r="T70" s="2942"/>
      <c r="U70" s="2942"/>
      <c r="V70" s="2942"/>
      <c r="W70" s="2942"/>
      <c r="X70" s="2942"/>
      <c r="Y70" s="2942"/>
      <c r="Z70" s="2942"/>
      <c r="AA70" s="2942"/>
      <c r="AB70" s="2942"/>
      <c r="AC70" s="2942"/>
    </row>
    <row r="71" spans="1:29" s="425" customFormat="1" ht="15.75" thickTop="1">
      <c r="A71" s="505"/>
      <c r="B71" s="490">
        <f>B12</f>
        <v>111</v>
      </c>
      <c r="C71" s="506"/>
      <c r="D71" s="506"/>
      <c r="E71" s="506"/>
      <c r="F71" s="506"/>
      <c r="G71" s="506"/>
      <c r="H71" s="507"/>
      <c r="I71" s="507"/>
      <c r="J71" s="507"/>
      <c r="K71" s="507"/>
      <c r="L71" s="508"/>
      <c r="M71" s="509"/>
      <c r="N71" s="2972"/>
      <c r="O71" s="2972"/>
      <c r="P71" s="2980"/>
      <c r="Q71" s="2963"/>
      <c r="R71" s="2964"/>
      <c r="S71" s="2964"/>
      <c r="T71" s="2964"/>
      <c r="U71" s="2964"/>
      <c r="V71" s="2964"/>
      <c r="W71" s="2964"/>
      <c r="X71" s="2964"/>
      <c r="Y71" s="2964"/>
      <c r="Z71" s="2964"/>
      <c r="AA71" s="2964"/>
      <c r="AB71" s="2964"/>
      <c r="AC71" s="2964"/>
    </row>
    <row r="72" spans="1:29" s="425" customFormat="1" ht="15.75" thickBot="1">
      <c r="A72" s="505"/>
      <c r="B72" s="495"/>
      <c r="C72" s="512"/>
      <c r="D72" s="488"/>
      <c r="E72" s="488"/>
      <c r="F72" s="488"/>
      <c r="G72" s="488"/>
      <c r="H72" s="488"/>
      <c r="I72" s="488"/>
      <c r="J72" s="488"/>
      <c r="K72" s="488"/>
      <c r="L72" s="488"/>
      <c r="M72" s="489"/>
      <c r="N72" s="2971"/>
      <c r="O72" s="2971"/>
      <c r="P72" s="2980"/>
      <c r="Q72" s="2963"/>
      <c r="R72" s="2964"/>
      <c r="S72" s="2964"/>
      <c r="T72" s="2964"/>
      <c r="U72" s="2964"/>
      <c r="V72" s="2964"/>
      <c r="W72" s="2964"/>
      <c r="X72" s="2964"/>
      <c r="Y72" s="2964"/>
      <c r="Z72" s="2964"/>
      <c r="AA72" s="2964"/>
      <c r="AB72" s="2964"/>
      <c r="AC72" s="2964"/>
    </row>
    <row r="73" spans="1:29" s="425" customFormat="1" ht="15.75" thickTop="1">
      <c r="A73" s="505"/>
      <c r="B73" s="490">
        <f>B13</f>
        <v>111</v>
      </c>
      <c r="C73" s="506"/>
      <c r="D73" s="506"/>
      <c r="E73" s="506"/>
      <c r="F73" s="506"/>
      <c r="G73" s="506"/>
      <c r="H73" s="507"/>
      <c r="I73" s="507"/>
      <c r="J73" s="507"/>
      <c r="K73" s="507"/>
      <c r="L73" s="508"/>
      <c r="M73" s="509"/>
      <c r="N73" s="2972"/>
      <c r="O73" s="2972"/>
      <c r="P73" s="2981"/>
      <c r="Q73" s="2966"/>
      <c r="R73" s="2964"/>
      <c r="S73" s="2964"/>
      <c r="T73" s="2964"/>
      <c r="U73" s="2964"/>
      <c r="V73" s="2964"/>
      <c r="W73" s="2964"/>
      <c r="X73" s="2964"/>
      <c r="Y73" s="2964"/>
      <c r="Z73" s="2964"/>
      <c r="AA73" s="2964"/>
      <c r="AB73" s="2964"/>
      <c r="AC73" s="2964"/>
    </row>
    <row r="74" spans="1:29" s="425" customFormat="1" ht="15.75" thickBot="1">
      <c r="A74" s="505"/>
      <c r="B74" s="495"/>
      <c r="C74" s="512"/>
      <c r="D74" s="512"/>
      <c r="E74" s="512"/>
      <c r="F74" s="512"/>
      <c r="G74" s="512"/>
      <c r="H74" s="514"/>
      <c r="I74" s="514"/>
      <c r="J74" s="514"/>
      <c r="K74" s="514"/>
      <c r="L74" s="514"/>
      <c r="M74" s="515"/>
      <c r="N74" s="2972"/>
      <c r="O74" s="2972"/>
      <c r="P74" s="2980"/>
      <c r="Q74" s="2963"/>
      <c r="R74" s="2964"/>
      <c r="S74" s="2964"/>
      <c r="T74" s="2964"/>
      <c r="U74" s="2964"/>
      <c r="V74" s="2964"/>
      <c r="W74" s="2964"/>
      <c r="X74" s="2964"/>
      <c r="Y74" s="2964"/>
      <c r="Z74" s="2964"/>
      <c r="AA74" s="2964"/>
      <c r="AB74" s="2964"/>
      <c r="AC74" s="2964"/>
    </row>
    <row r="75" spans="1:29" s="425" customFormat="1" ht="15.75" thickTop="1">
      <c r="A75" s="505"/>
      <c r="B75" s="498">
        <f>B14</f>
        <v>111</v>
      </c>
      <c r="C75" s="475"/>
      <c r="D75" s="475"/>
      <c r="E75" s="475"/>
      <c r="F75" s="475"/>
      <c r="G75" s="475"/>
      <c r="H75" s="516"/>
      <c r="I75" s="516"/>
      <c r="J75" s="516"/>
      <c r="K75" s="516"/>
      <c r="L75" s="517"/>
      <c r="M75" s="518"/>
      <c r="N75" s="2972"/>
      <c r="O75" s="2972"/>
      <c r="P75" s="2982"/>
      <c r="Q75" s="2963"/>
      <c r="R75" s="2964"/>
      <c r="S75" s="2964"/>
      <c r="T75" s="2964"/>
      <c r="U75" s="2964"/>
      <c r="V75" s="2964"/>
      <c r="W75" s="2964"/>
      <c r="X75" s="2964"/>
      <c r="Y75" s="2964"/>
      <c r="Z75" s="2964"/>
      <c r="AA75" s="2964"/>
      <c r="AB75" s="2964"/>
      <c r="AC75" s="2964"/>
    </row>
    <row r="76" spans="1:29" s="425" customFormat="1" ht="15.75" thickBot="1">
      <c r="A76" s="520"/>
      <c r="B76" s="521"/>
      <c r="C76" s="522"/>
      <c r="D76" s="522"/>
      <c r="E76" s="522"/>
      <c r="F76" s="522"/>
      <c r="G76" s="522"/>
      <c r="H76" s="523"/>
      <c r="I76" s="523"/>
      <c r="J76" s="523"/>
      <c r="K76" s="523"/>
      <c r="L76" s="523"/>
      <c r="M76" s="524"/>
      <c r="N76" s="2972"/>
      <c r="O76" s="2972"/>
      <c r="P76" s="2980"/>
      <c r="Q76" s="2963"/>
      <c r="R76" s="2964"/>
      <c r="S76" s="2964"/>
      <c r="T76" s="2964"/>
      <c r="U76" s="2964"/>
      <c r="V76" s="2964"/>
      <c r="W76" s="2964"/>
      <c r="X76" s="2964"/>
      <c r="Y76" s="2964"/>
      <c r="Z76" s="2964"/>
      <c r="AA76" s="2964"/>
      <c r="AB76" s="2964"/>
      <c r="AC76" s="2964"/>
    </row>
    <row r="77" spans="1:29">
      <c r="A77" s="479" t="s">
        <v>2376</v>
      </c>
      <c r="B77" s="480" t="s">
        <v>2514</v>
      </c>
      <c r="C77" s="525" t="s">
        <v>2414</v>
      </c>
      <c r="D77" s="525" t="s">
        <v>2415</v>
      </c>
      <c r="E77" s="525" t="s">
        <v>2416</v>
      </c>
      <c r="F77" s="525" t="s">
        <v>2417</v>
      </c>
      <c r="G77" s="525" t="s">
        <v>2418</v>
      </c>
      <c r="H77" s="481"/>
      <c r="I77" s="481"/>
      <c r="J77" s="481"/>
      <c r="K77" s="526"/>
      <c r="L77" s="527"/>
      <c r="M77" s="528"/>
      <c r="N77" s="2970"/>
      <c r="O77" s="2970"/>
      <c r="P77" s="2983"/>
      <c r="Q77" s="2956"/>
      <c r="R77" s="2942"/>
      <c r="S77" s="2942"/>
      <c r="T77" s="2942"/>
      <c r="U77" s="2942"/>
      <c r="V77" s="2942"/>
      <c r="W77" s="2942"/>
      <c r="X77" s="2942"/>
      <c r="Y77" s="2942"/>
      <c r="Z77" s="2942"/>
      <c r="AA77" s="2942"/>
      <c r="AB77" s="2942"/>
      <c r="AC77" s="2942"/>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971"/>
      <c r="O78" s="2971"/>
      <c r="P78" s="2979"/>
      <c r="Q78" s="2956"/>
      <c r="R78" s="2942"/>
      <c r="S78" s="2942"/>
      <c r="T78" s="2942"/>
      <c r="U78" s="2942"/>
      <c r="V78" s="2942"/>
      <c r="W78" s="2942"/>
      <c r="X78" s="2942"/>
      <c r="Y78" s="2942"/>
      <c r="Z78" s="2942"/>
      <c r="AA78" s="2942"/>
      <c r="AB78" s="2942"/>
      <c r="AC78" s="2942"/>
    </row>
    <row r="79" spans="1:29" ht="15.75" thickTop="1">
      <c r="A79" s="486"/>
      <c r="B79" s="490" t="s">
        <v>2419</v>
      </c>
      <c r="C79" s="530" t="s">
        <v>2414</v>
      </c>
      <c r="D79" s="530" t="s">
        <v>2415</v>
      </c>
      <c r="E79" s="530" t="s">
        <v>2416</v>
      </c>
      <c r="F79" s="530" t="s">
        <v>2417</v>
      </c>
      <c r="G79" s="530" t="s">
        <v>2418</v>
      </c>
      <c r="H79" s="491"/>
      <c r="I79" s="491"/>
      <c r="J79" s="491"/>
      <c r="K79" s="492"/>
      <c r="L79" s="493"/>
      <c r="M79" s="494"/>
      <c r="N79" s="2970"/>
      <c r="O79" s="2970"/>
      <c r="P79" s="2979"/>
      <c r="Q79" s="2956"/>
      <c r="R79" s="2942"/>
      <c r="S79" s="2942"/>
      <c r="T79" s="2942"/>
      <c r="U79" s="2942"/>
      <c r="V79" s="2942"/>
      <c r="W79" s="2942"/>
      <c r="X79" s="2942"/>
      <c r="Y79" s="2942"/>
      <c r="Z79" s="2942"/>
      <c r="AA79" s="2942"/>
      <c r="AB79" s="2942"/>
      <c r="AC79" s="2942"/>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971"/>
      <c r="O80" s="2971"/>
      <c r="P80" s="2979"/>
      <c r="Q80" s="2956"/>
      <c r="R80" s="2942"/>
      <c r="S80" s="2942"/>
      <c r="T80" s="2942"/>
      <c r="U80" s="2942"/>
      <c r="V80" s="2942"/>
      <c r="W80" s="2942"/>
      <c r="X80" s="2942"/>
      <c r="Y80" s="2942"/>
      <c r="Z80" s="2942"/>
      <c r="AA80" s="2942"/>
      <c r="AB80" s="2942"/>
      <c r="AC80" s="2942"/>
    </row>
    <row r="81" spans="1:29" ht="15.75" thickTop="1">
      <c r="A81" s="486"/>
      <c r="B81" s="490" t="s">
        <v>2420</v>
      </c>
      <c r="C81" s="530" t="s">
        <v>2414</v>
      </c>
      <c r="D81" s="530" t="s">
        <v>2415</v>
      </c>
      <c r="E81" s="530" t="s">
        <v>2416</v>
      </c>
      <c r="F81" s="530" t="s">
        <v>2417</v>
      </c>
      <c r="G81" s="530" t="s">
        <v>2418</v>
      </c>
      <c r="H81" s="491"/>
      <c r="I81" s="491"/>
      <c r="J81" s="491"/>
      <c r="K81" s="492"/>
      <c r="L81" s="493"/>
      <c r="M81" s="494"/>
      <c r="N81" s="2970"/>
      <c r="O81" s="2970"/>
      <c r="P81" s="2979"/>
      <c r="Q81" s="2956"/>
      <c r="R81" s="2942"/>
      <c r="S81" s="2942"/>
      <c r="T81" s="2942"/>
      <c r="U81" s="2942"/>
      <c r="V81" s="2942"/>
      <c r="W81" s="2942"/>
      <c r="X81" s="2942"/>
      <c r="Y81" s="2942"/>
      <c r="Z81" s="2942"/>
      <c r="AA81" s="2942"/>
      <c r="AB81" s="2942"/>
      <c r="AC81" s="2942"/>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971"/>
      <c r="O82" s="2971"/>
      <c r="P82" s="2979"/>
      <c r="Q82" s="2956"/>
      <c r="R82" s="2942"/>
      <c r="S82" s="2942"/>
      <c r="T82" s="2942"/>
      <c r="U82" s="2942"/>
      <c r="V82" s="2942"/>
      <c r="W82" s="2942"/>
      <c r="X82" s="2942"/>
      <c r="Y82" s="2942"/>
      <c r="Z82" s="2942"/>
      <c r="AA82" s="2942"/>
      <c r="AB82" s="2942"/>
      <c r="AC82" s="2942"/>
    </row>
    <row r="83" spans="1:29" ht="15.75" thickTop="1">
      <c r="A83" s="486"/>
      <c r="B83" s="498" t="s">
        <v>2506</v>
      </c>
      <c r="C83" s="611" t="s">
        <v>2492</v>
      </c>
      <c r="D83" s="611" t="s">
        <v>2493</v>
      </c>
      <c r="E83" s="611" t="s">
        <v>2494</v>
      </c>
      <c r="F83" s="611" t="s">
        <v>2495</v>
      </c>
      <c r="G83" s="611" t="s">
        <v>2496</v>
      </c>
      <c r="H83" s="491"/>
      <c r="I83" s="491"/>
      <c r="J83" s="491"/>
      <c r="K83" s="491"/>
      <c r="L83" s="491"/>
      <c r="M83" s="1285"/>
      <c r="N83" s="2971"/>
      <c r="O83" s="2971"/>
      <c r="P83" s="2979"/>
      <c r="Q83" s="2956"/>
      <c r="R83" s="2942"/>
      <c r="S83" s="2942"/>
      <c r="T83" s="2942"/>
      <c r="U83" s="2942"/>
      <c r="V83" s="2942"/>
      <c r="W83" s="2942"/>
      <c r="X83" s="2942"/>
      <c r="Y83" s="2942"/>
      <c r="Z83" s="2942"/>
      <c r="AA83" s="2942"/>
      <c r="AB83" s="2942"/>
      <c r="AC83" s="2942"/>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971"/>
      <c r="O84" s="2971"/>
      <c r="P84" s="2979"/>
      <c r="Q84" s="2956"/>
      <c r="R84" s="2942"/>
      <c r="S84" s="2942"/>
      <c r="T84" s="2942"/>
      <c r="U84" s="2942"/>
      <c r="V84" s="2942"/>
      <c r="W84" s="2942"/>
      <c r="X84" s="2942"/>
      <c r="Y84" s="2942"/>
      <c r="Z84" s="2942"/>
      <c r="AA84" s="2942"/>
      <c r="AB84" s="2942"/>
      <c r="AC84" s="2942"/>
    </row>
    <row r="85" spans="1:29" ht="15.75" thickTop="1">
      <c r="A85" s="486"/>
      <c r="B85" s="490" t="s">
        <v>2515</v>
      </c>
      <c r="C85" s="530" t="s">
        <v>2414</v>
      </c>
      <c r="D85" s="530" t="s">
        <v>2415</v>
      </c>
      <c r="E85" s="530" t="s">
        <v>2416</v>
      </c>
      <c r="F85" s="530" t="s">
        <v>2417</v>
      </c>
      <c r="G85" s="530" t="s">
        <v>2418</v>
      </c>
      <c r="H85" s="491"/>
      <c r="I85" s="491"/>
      <c r="J85" s="491"/>
      <c r="K85" s="492"/>
      <c r="L85" s="493"/>
      <c r="M85" s="494"/>
      <c r="N85" s="2970"/>
      <c r="O85" s="2970"/>
      <c r="P85" s="2979"/>
      <c r="Q85" s="2956"/>
      <c r="R85" s="2942"/>
      <c r="S85" s="2942"/>
      <c r="T85" s="2942"/>
      <c r="U85" s="2942"/>
      <c r="V85" s="2942"/>
      <c r="W85" s="2942"/>
      <c r="X85" s="2942"/>
      <c r="Y85" s="2942"/>
      <c r="Z85" s="2942"/>
      <c r="AA85" s="2942"/>
      <c r="AB85" s="2942"/>
      <c r="AC85" s="2942"/>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971"/>
      <c r="O86" s="2971"/>
      <c r="P86" s="2979"/>
      <c r="Q86" s="2956"/>
      <c r="R86" s="2942"/>
      <c r="S86" s="2942"/>
      <c r="T86" s="2942"/>
      <c r="U86" s="2942"/>
      <c r="V86" s="2942"/>
      <c r="W86" s="2942"/>
      <c r="X86" s="2942"/>
      <c r="Y86" s="2942"/>
      <c r="Z86" s="2942"/>
      <c r="AA86" s="2942"/>
      <c r="AB86" s="2942"/>
      <c r="AC86" s="2942"/>
    </row>
    <row r="87" spans="1:29" s="108" customFormat="1" ht="27.75" thickTop="1">
      <c r="A87" s="531"/>
      <c r="B87" s="490" t="s">
        <v>2516</v>
      </c>
      <c r="C87" s="506"/>
      <c r="D87" s="506"/>
      <c r="E87" s="506"/>
      <c r="F87" s="506"/>
      <c r="G87" s="506"/>
      <c r="H87" s="506"/>
      <c r="I87" s="506"/>
      <c r="J87" s="506"/>
      <c r="K87" s="506"/>
      <c r="L87" s="532"/>
      <c r="M87" s="533"/>
      <c r="N87" s="2969"/>
      <c r="O87" s="2969"/>
      <c r="P87" s="2979"/>
      <c r="Q87" s="2956"/>
      <c r="R87" s="2877"/>
      <c r="S87" s="2877"/>
      <c r="T87" s="2877"/>
      <c r="U87" s="2877"/>
      <c r="V87" s="2877"/>
      <c r="W87" s="2877"/>
      <c r="X87" s="2877"/>
      <c r="Y87" s="2877"/>
      <c r="Z87" s="2877"/>
      <c r="AA87" s="2877"/>
      <c r="AB87" s="2877"/>
      <c r="AC87" s="2877"/>
    </row>
    <row r="88" spans="1:29" s="108"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971"/>
      <c r="O88" s="2971"/>
      <c r="P88" s="2979"/>
      <c r="Q88" s="2956"/>
      <c r="R88" s="2877"/>
      <c r="S88" s="2877"/>
      <c r="T88" s="2877"/>
      <c r="U88" s="2877"/>
      <c r="V88" s="2877"/>
      <c r="W88" s="2877"/>
      <c r="X88" s="2877"/>
      <c r="Y88" s="2877"/>
      <c r="Z88" s="2877"/>
      <c r="AA88" s="2877"/>
      <c r="AB88" s="2877"/>
      <c r="AC88" s="2877"/>
    </row>
    <row r="89" spans="1:29" s="108" customFormat="1" ht="15.75" thickTop="1">
      <c r="A89" s="531"/>
      <c r="B89" s="490" t="str">
        <f>B27</f>
        <v>楼层</v>
      </c>
      <c r="C89" s="506"/>
      <c r="D89" s="506"/>
      <c r="E89" s="506"/>
      <c r="F89" s="2105"/>
      <c r="G89" s="506"/>
      <c r="H89" s="506"/>
      <c r="I89" s="506"/>
      <c r="J89" s="506"/>
      <c r="K89" s="506"/>
      <c r="L89" s="506"/>
      <c r="M89" s="533"/>
      <c r="N89" s="2969"/>
      <c r="O89" s="2969"/>
      <c r="P89" s="2979"/>
      <c r="Q89" s="2956"/>
      <c r="R89" s="2877"/>
      <c r="S89" s="2877"/>
      <c r="T89" s="2877"/>
      <c r="U89" s="2877"/>
      <c r="V89" s="2877"/>
      <c r="W89" s="2877"/>
      <c r="X89" s="2877"/>
      <c r="Y89" s="2877"/>
      <c r="Z89" s="2877"/>
      <c r="AA89" s="2877"/>
      <c r="AB89" s="2877"/>
      <c r="AC89" s="2877"/>
    </row>
    <row r="90" spans="1:29" s="108"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971"/>
      <c r="O90" s="2971"/>
      <c r="P90" s="2979"/>
      <c r="Q90" s="2956"/>
      <c r="R90" s="2877"/>
      <c r="S90" s="2877"/>
      <c r="T90" s="2877"/>
      <c r="U90" s="2877"/>
      <c r="V90" s="2877"/>
      <c r="W90" s="2877"/>
      <c r="X90" s="2877"/>
      <c r="Y90" s="2877"/>
      <c r="Z90" s="2877"/>
      <c r="AA90" s="2877"/>
      <c r="AB90" s="2877"/>
      <c r="AC90" s="2877"/>
    </row>
    <row r="91" spans="1:29" s="425" customFormat="1" ht="15.75" thickTop="1">
      <c r="A91" s="505"/>
      <c r="B91" s="490" t="str">
        <f>B28</f>
        <v>朝向</v>
      </c>
      <c r="C91" s="506"/>
      <c r="D91" s="506"/>
      <c r="E91" s="506"/>
      <c r="F91" s="506"/>
      <c r="G91" s="506"/>
      <c r="H91" s="507"/>
      <c r="I91" s="507"/>
      <c r="J91" s="507"/>
      <c r="K91" s="507"/>
      <c r="L91" s="508"/>
      <c r="M91" s="509"/>
      <c r="N91" s="2972"/>
      <c r="O91" s="2972"/>
      <c r="P91" s="2980"/>
      <c r="Q91" s="2963"/>
      <c r="R91" s="2964"/>
      <c r="S91" s="2964"/>
      <c r="T91" s="2964"/>
      <c r="U91" s="2964"/>
      <c r="V91" s="2964"/>
      <c r="W91" s="2964"/>
      <c r="X91" s="2964"/>
      <c r="Y91" s="2964"/>
      <c r="Z91" s="2964"/>
      <c r="AA91" s="2964"/>
      <c r="AB91" s="2964"/>
      <c r="AC91" s="2964"/>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86"/>
      <c r="B93" s="490">
        <f>B29</f>
        <v>111</v>
      </c>
      <c r="C93" s="506"/>
      <c r="D93" s="506"/>
      <c r="E93" s="506"/>
      <c r="F93" s="506"/>
      <c r="G93" s="506"/>
      <c r="H93" s="506"/>
      <c r="I93" s="506"/>
      <c r="J93" s="506"/>
      <c r="K93" s="506"/>
      <c r="L93" s="532"/>
      <c r="M93" s="533"/>
      <c r="N93" s="2970"/>
      <c r="O93" s="2970"/>
      <c r="P93" s="2979"/>
      <c r="Q93" s="2956"/>
      <c r="R93" s="2942"/>
      <c r="S93" s="2942"/>
      <c r="T93" s="2942"/>
      <c r="U93" s="2942"/>
      <c r="V93" s="2942"/>
      <c r="W93" s="2942"/>
      <c r="X93" s="2942"/>
      <c r="Y93" s="2942"/>
      <c r="Z93" s="2942"/>
      <c r="AA93" s="2942"/>
      <c r="AB93" s="2942"/>
      <c r="AC93" s="2942"/>
    </row>
    <row r="94" spans="1:29" ht="15.75" thickBot="1">
      <c r="A94" s="486"/>
      <c r="B94" s="495"/>
      <c r="C94" s="512"/>
      <c r="D94" s="488"/>
      <c r="E94" s="488"/>
      <c r="F94" s="488"/>
      <c r="G94" s="488"/>
      <c r="H94" s="488"/>
      <c r="I94" s="488"/>
      <c r="J94" s="488"/>
      <c r="K94" s="488"/>
      <c r="L94" s="488"/>
      <c r="M94" s="489"/>
      <c r="N94" s="2971"/>
      <c r="O94" s="2971"/>
      <c r="P94" s="2979"/>
      <c r="Q94" s="2956"/>
      <c r="R94" s="2942"/>
      <c r="S94" s="2942"/>
      <c r="T94" s="2942"/>
      <c r="U94" s="2942"/>
      <c r="V94" s="2942"/>
      <c r="W94" s="2942"/>
      <c r="X94" s="2942"/>
      <c r="Y94" s="2942"/>
      <c r="Z94" s="2942"/>
      <c r="AA94" s="2942"/>
      <c r="AB94" s="2942"/>
      <c r="AC94" s="2942"/>
    </row>
    <row r="95" spans="1:29" ht="15.75" thickTop="1">
      <c r="A95" s="486"/>
      <c r="B95" s="490">
        <f>B30</f>
        <v>111</v>
      </c>
      <c r="C95" s="506"/>
      <c r="D95" s="506"/>
      <c r="E95" s="506"/>
      <c r="F95" s="506"/>
      <c r="G95" s="535"/>
      <c r="H95" s="535"/>
      <c r="I95" s="535"/>
      <c r="J95" s="535"/>
      <c r="K95" s="536"/>
      <c r="L95" s="537"/>
      <c r="M95" s="538"/>
      <c r="N95" s="2970"/>
      <c r="O95" s="2970"/>
      <c r="P95" s="2979"/>
      <c r="Q95" s="2956"/>
      <c r="R95" s="2942"/>
      <c r="S95" s="2942"/>
      <c r="T95" s="2942"/>
      <c r="U95" s="2942"/>
      <c r="V95" s="2942"/>
      <c r="W95" s="2942"/>
      <c r="X95" s="2942"/>
      <c r="Y95" s="2942"/>
      <c r="Z95" s="2942"/>
      <c r="AA95" s="2942"/>
      <c r="AB95" s="2942"/>
      <c r="AC95" s="2942"/>
    </row>
    <row r="96" spans="1:29" ht="15.75" thickBot="1">
      <c r="A96" s="486"/>
      <c r="B96" s="495"/>
      <c r="C96" s="512"/>
      <c r="D96" s="512"/>
      <c r="E96" s="512"/>
      <c r="F96" s="512"/>
      <c r="G96" s="488"/>
      <c r="H96" s="488"/>
      <c r="I96" s="488"/>
      <c r="J96" s="488"/>
      <c r="K96" s="488"/>
      <c r="L96" s="488"/>
      <c r="M96" s="489"/>
      <c r="N96" s="2971"/>
      <c r="O96" s="2971"/>
      <c r="P96" s="2979"/>
      <c r="Q96" s="2956"/>
      <c r="R96" s="2942"/>
      <c r="S96" s="2942"/>
      <c r="T96" s="2942"/>
      <c r="U96" s="2942"/>
      <c r="V96" s="2942"/>
      <c r="W96" s="2942"/>
      <c r="X96" s="2942"/>
      <c r="Y96" s="2942"/>
      <c r="Z96" s="2942"/>
      <c r="AA96" s="2942"/>
      <c r="AB96" s="2942"/>
      <c r="AC96" s="2942"/>
    </row>
    <row r="97" spans="1:29" ht="15.75" thickTop="1">
      <c r="A97" s="486"/>
      <c r="B97" s="490">
        <f>B31</f>
        <v>111</v>
      </c>
      <c r="C97" s="506"/>
      <c r="D97" s="506"/>
      <c r="E97" s="506"/>
      <c r="F97" s="506"/>
      <c r="G97" s="535"/>
      <c r="H97" s="535"/>
      <c r="I97" s="535"/>
      <c r="J97" s="535"/>
      <c r="K97" s="536"/>
      <c r="L97" s="537"/>
      <c r="M97" s="538"/>
      <c r="N97" s="2970"/>
      <c r="O97" s="2970"/>
      <c r="P97" s="2979"/>
      <c r="Q97" s="2956"/>
      <c r="R97" s="2942"/>
      <c r="S97" s="2942"/>
      <c r="T97" s="2942"/>
      <c r="U97" s="2942"/>
      <c r="V97" s="2942"/>
      <c r="W97" s="2942"/>
      <c r="X97" s="2942"/>
      <c r="Y97" s="2942"/>
      <c r="Z97" s="2942"/>
      <c r="AA97" s="2942"/>
      <c r="AB97" s="2942"/>
      <c r="AC97" s="2942"/>
    </row>
    <row r="98" spans="1:29" ht="15.75" thickBot="1">
      <c r="A98" s="486"/>
      <c r="B98" s="495"/>
      <c r="C98" s="512"/>
      <c r="D98" s="488"/>
      <c r="E98" s="488"/>
      <c r="F98" s="488"/>
      <c r="G98" s="488"/>
      <c r="H98" s="488"/>
      <c r="I98" s="488"/>
      <c r="J98" s="488"/>
      <c r="K98" s="488"/>
      <c r="L98" s="488"/>
      <c r="M98" s="489"/>
      <c r="N98" s="2971"/>
      <c r="O98" s="2971"/>
      <c r="P98" s="2979"/>
      <c r="Q98" s="2956"/>
      <c r="R98" s="2942"/>
      <c r="S98" s="2942"/>
      <c r="T98" s="2942"/>
      <c r="U98" s="2942"/>
      <c r="V98" s="2942"/>
      <c r="W98" s="2942"/>
      <c r="X98" s="2942"/>
      <c r="Y98" s="2942"/>
      <c r="Z98" s="2942"/>
      <c r="AA98" s="2942"/>
      <c r="AB98" s="2942"/>
      <c r="AC98" s="2942"/>
    </row>
    <row r="99" spans="1:29" ht="15.75" thickTop="1">
      <c r="A99" s="486"/>
      <c r="B99" s="498">
        <f>B32</f>
        <v>111</v>
      </c>
      <c r="C99" s="475"/>
      <c r="D99" s="475"/>
      <c r="E99" s="475"/>
      <c r="F99" s="475"/>
      <c r="G99" s="539"/>
      <c r="H99" s="539"/>
      <c r="I99" s="539"/>
      <c r="J99" s="539"/>
      <c r="K99" s="540"/>
      <c r="L99" s="541"/>
      <c r="M99" s="542"/>
      <c r="N99" s="2970"/>
      <c r="O99" s="2970"/>
      <c r="P99" s="2979"/>
      <c r="Q99" s="2956"/>
      <c r="R99" s="2942"/>
      <c r="S99" s="2942"/>
      <c r="T99" s="2942"/>
      <c r="U99" s="2942"/>
      <c r="V99" s="2942"/>
      <c r="W99" s="2942"/>
      <c r="X99" s="2942"/>
      <c r="Y99" s="2942"/>
      <c r="Z99" s="2942"/>
      <c r="AA99" s="2942"/>
      <c r="AB99" s="2942"/>
      <c r="AC99" s="2942"/>
    </row>
    <row r="100" spans="1:29" ht="15.75" thickBot="1">
      <c r="A100" s="2106"/>
      <c r="B100" s="521"/>
      <c r="C100" s="522"/>
      <c r="D100" s="522"/>
      <c r="E100" s="522"/>
      <c r="F100" s="522"/>
      <c r="G100" s="543"/>
      <c r="H100" s="543"/>
      <c r="I100" s="543"/>
      <c r="J100" s="543"/>
      <c r="K100" s="543"/>
      <c r="L100" s="543"/>
      <c r="M100" s="544"/>
      <c r="N100" s="2971"/>
      <c r="O100" s="2971"/>
      <c r="P100" s="2979"/>
      <c r="Q100" s="2956"/>
      <c r="R100" s="2942"/>
      <c r="S100" s="2942"/>
      <c r="T100" s="2942"/>
      <c r="U100" s="2942"/>
      <c r="V100" s="2942"/>
      <c r="W100" s="2942"/>
      <c r="X100" s="2942"/>
      <c r="Y100" s="2942"/>
      <c r="Z100" s="2942"/>
      <c r="AA100" s="2942"/>
      <c r="AB100" s="2942"/>
      <c r="AC100" s="2942"/>
    </row>
    <row r="101" spans="1:29">
      <c r="A101" s="479" t="s">
        <v>2380</v>
      </c>
      <c r="B101" s="480" t="s">
        <v>2429</v>
      </c>
      <c r="C101" s="482"/>
      <c r="D101" s="482"/>
      <c r="E101" s="482"/>
      <c r="F101" s="482"/>
      <c r="G101" s="482"/>
      <c r="H101" s="482"/>
      <c r="I101" s="482"/>
      <c r="J101" s="482"/>
      <c r="K101" s="483"/>
      <c r="L101" s="484"/>
      <c r="M101" s="485"/>
      <c r="N101" s="2970"/>
      <c r="O101" s="2970"/>
      <c r="P101" s="2979"/>
      <c r="Q101" s="2956"/>
      <c r="R101" s="2942"/>
      <c r="S101" s="2942"/>
      <c r="T101" s="2942"/>
      <c r="U101" s="2942"/>
      <c r="V101" s="2942"/>
      <c r="W101" s="2942"/>
      <c r="X101" s="2942"/>
      <c r="Y101" s="2942"/>
      <c r="Z101" s="2942"/>
      <c r="AA101" s="2942"/>
      <c r="AB101" s="2942"/>
      <c r="AC101" s="2942"/>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86"/>
      <c r="B103" s="490" t="s">
        <v>2430</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25" customFormat="1">
      <c r="A104" s="545"/>
      <c r="B104" s="546"/>
      <c r="C104" s="547"/>
      <c r="D104" s="547"/>
      <c r="E104" s="547"/>
      <c r="F104" s="547"/>
      <c r="G104" s="547"/>
      <c r="H104" s="547"/>
      <c r="I104" s="547"/>
      <c r="J104" s="548"/>
      <c r="K104" s="548"/>
      <c r="L104" s="549"/>
      <c r="M104" s="550"/>
      <c r="N104" s="2972"/>
      <c r="O104" s="2972"/>
      <c r="P104" s="2980"/>
      <c r="Q104" s="2963"/>
      <c r="R104" s="2964"/>
      <c r="S104" s="2964"/>
      <c r="T104" s="2964"/>
      <c r="U104" s="2964"/>
      <c r="V104" s="2964"/>
      <c r="W104" s="2964"/>
      <c r="X104" s="2964"/>
      <c r="Y104" s="2964"/>
      <c r="Z104" s="2964"/>
      <c r="AA104" s="2964"/>
      <c r="AB104" s="2964"/>
      <c r="AC104" s="2964"/>
    </row>
    <row r="105" spans="1:29" s="425" customFormat="1" ht="15.75" thickBot="1">
      <c r="A105" s="505"/>
      <c r="B105" s="495"/>
      <c r="C105" s="512"/>
      <c r="D105" s="488"/>
      <c r="E105" s="488"/>
      <c r="F105" s="488"/>
      <c r="G105" s="488"/>
      <c r="H105" s="488"/>
      <c r="I105" s="488"/>
      <c r="J105" s="488"/>
      <c r="K105" s="488"/>
      <c r="L105" s="488"/>
      <c r="M105" s="489"/>
      <c r="N105" s="2971"/>
      <c r="O105" s="2971"/>
      <c r="P105" s="2980"/>
      <c r="Q105" s="2963"/>
      <c r="R105" s="2964"/>
      <c r="S105" s="2964"/>
      <c r="T105" s="2964"/>
      <c r="U105" s="2964"/>
      <c r="V105" s="2964"/>
      <c r="W105" s="2964"/>
      <c r="X105" s="2964"/>
      <c r="Y105" s="2964"/>
      <c r="Z105" s="2964"/>
      <c r="AA105" s="2964"/>
      <c r="AB105" s="2964"/>
      <c r="AC105" s="2964"/>
    </row>
    <row r="106" spans="1:29" ht="15" thickTop="1">
      <c r="A106" s="551"/>
      <c r="B106" s="490" t="s">
        <v>2431</v>
      </c>
      <c r="C106" s="506"/>
      <c r="D106" s="506"/>
      <c r="E106" s="535"/>
      <c r="F106" s="535"/>
      <c r="G106" s="535"/>
      <c r="H106" s="535"/>
      <c r="I106" s="535"/>
      <c r="J106" s="535"/>
      <c r="K106" s="536"/>
      <c r="L106" s="537"/>
      <c r="M106" s="538"/>
      <c r="N106" s="2970"/>
      <c r="O106" s="2970"/>
      <c r="P106" s="2979"/>
      <c r="Q106" s="2956"/>
      <c r="R106" s="2942"/>
      <c r="S106" s="2942"/>
      <c r="T106" s="2942"/>
      <c r="U106" s="2942"/>
      <c r="V106" s="2942"/>
      <c r="W106" s="2942"/>
      <c r="X106" s="2942"/>
      <c r="Y106" s="2942"/>
      <c r="Z106" s="2942"/>
      <c r="AA106" s="2942"/>
      <c r="AB106" s="2942"/>
      <c r="AC106" s="2942"/>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1"/>
      <c r="B108" s="490" t="s">
        <v>2433</v>
      </c>
      <c r="C108" s="506"/>
      <c r="D108" s="506"/>
      <c r="E108" s="506"/>
      <c r="F108" s="535"/>
      <c r="G108" s="535"/>
      <c r="H108" s="535"/>
      <c r="I108" s="535"/>
      <c r="J108" s="535"/>
      <c r="K108" s="536"/>
      <c r="L108" s="537"/>
      <c r="M108" s="538"/>
      <c r="N108" s="2970"/>
      <c r="O108" s="2970"/>
      <c r="P108" s="2979"/>
      <c r="Q108" s="2956"/>
      <c r="R108" s="2942"/>
      <c r="S108" s="2942"/>
      <c r="T108" s="2942"/>
      <c r="U108" s="2942"/>
      <c r="V108" s="2942"/>
      <c r="W108" s="2942"/>
      <c r="X108" s="2942"/>
      <c r="Y108" s="2942"/>
      <c r="Z108" s="2942"/>
      <c r="AA108" s="2942"/>
      <c r="AB108" s="2942"/>
      <c r="AC108" s="2942"/>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1"/>
      <c r="B110" s="490" t="s">
        <v>1875</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970"/>
      <c r="O110" s="2970"/>
      <c r="P110" s="2979"/>
      <c r="Q110" s="2956"/>
      <c r="R110" s="2942"/>
      <c r="S110" s="2942"/>
      <c r="T110" s="2942"/>
      <c r="U110" s="2942"/>
      <c r="V110" s="2942"/>
      <c r="W110" s="2942"/>
      <c r="X110" s="2942"/>
      <c r="Y110" s="2942"/>
      <c r="Z110" s="2942"/>
      <c r="AA110" s="2942"/>
      <c r="AB110" s="2942"/>
      <c r="AC110" s="2942"/>
    </row>
    <row r="111" spans="1:29">
      <c r="A111" s="551"/>
      <c r="B111" s="498"/>
      <c r="C111" s="555">
        <v>0.5</v>
      </c>
      <c r="D111" s="555">
        <v>0.6</v>
      </c>
      <c r="E111" s="555">
        <v>0.7</v>
      </c>
      <c r="F111" s="555">
        <v>0.8</v>
      </c>
      <c r="G111" s="555">
        <v>0.9</v>
      </c>
      <c r="H111" s="555">
        <v>1.0001</v>
      </c>
      <c r="I111" s="574"/>
      <c r="J111" s="574"/>
      <c r="K111" s="575"/>
      <c r="L111" s="576"/>
      <c r="M111" s="577"/>
      <c r="N111" s="2970"/>
      <c r="O111" s="2970"/>
      <c r="P111" s="2979"/>
      <c r="Q111" s="2956"/>
      <c r="R111" s="2942"/>
      <c r="S111" s="2942"/>
      <c r="T111" s="2942"/>
      <c r="U111" s="2942"/>
      <c r="V111" s="2942"/>
      <c r="W111" s="2942"/>
      <c r="X111" s="2942"/>
      <c r="Y111" s="2942"/>
      <c r="Z111" s="2942"/>
      <c r="AA111" s="2942"/>
      <c r="AB111" s="2942"/>
      <c r="AC111" s="2942"/>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971"/>
      <c r="O112" s="2971"/>
      <c r="P112" s="2979"/>
      <c r="Q112" s="2956"/>
      <c r="R112" s="2942"/>
      <c r="S112" s="2942"/>
      <c r="T112" s="2942"/>
      <c r="U112" s="2942"/>
      <c r="V112" s="2942"/>
      <c r="W112" s="2942"/>
      <c r="X112" s="2942"/>
      <c r="Y112" s="2942"/>
      <c r="Z112" s="2942"/>
      <c r="AA112" s="2942"/>
      <c r="AB112" s="2942"/>
      <c r="AC112" s="2942"/>
    </row>
    <row r="113" spans="1:29" s="425" customFormat="1" ht="15" thickTop="1">
      <c r="A113" s="545"/>
      <c r="B113" s="490" t="s">
        <v>2517</v>
      </c>
      <c r="C113" s="506"/>
      <c r="D113" s="506"/>
      <c r="E113" s="506"/>
      <c r="F113" s="506"/>
      <c r="G113" s="506"/>
      <c r="H113" s="535"/>
      <c r="I113" s="535"/>
      <c r="J113" s="535"/>
      <c r="K113" s="536"/>
      <c r="L113" s="537"/>
      <c r="M113" s="538"/>
      <c r="N113" s="2972"/>
      <c r="O113" s="2972"/>
      <c r="P113" s="2980"/>
      <c r="Q113" s="2963"/>
      <c r="R113" s="2964"/>
      <c r="S113" s="2964"/>
      <c r="T113" s="2964"/>
      <c r="U113" s="2964"/>
      <c r="V113" s="2964"/>
      <c r="W113" s="2964"/>
      <c r="X113" s="2964"/>
      <c r="Y113" s="2964"/>
      <c r="Z113" s="2964"/>
      <c r="AA113" s="2964"/>
      <c r="AB113" s="2964"/>
      <c r="AC113" s="2964"/>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1"/>
      <c r="B115" s="490" t="s">
        <v>2434</v>
      </c>
      <c r="C115" s="506"/>
      <c r="D115" s="506"/>
      <c r="E115" s="535"/>
      <c r="F115" s="535"/>
      <c r="G115" s="535"/>
      <c r="H115" s="535"/>
      <c r="I115" s="535"/>
      <c r="J115" s="535"/>
      <c r="K115" s="536"/>
      <c r="L115" s="537"/>
      <c r="M115" s="538"/>
      <c r="N115" s="2970"/>
      <c r="O115" s="2970"/>
      <c r="P115" s="2979"/>
      <c r="Q115" s="2956"/>
      <c r="R115" s="2942"/>
      <c r="S115" s="2942"/>
      <c r="T115" s="2942"/>
      <c r="U115" s="2942"/>
      <c r="V115" s="2942"/>
      <c r="W115" s="2942"/>
      <c r="X115" s="2942"/>
      <c r="Y115" s="2942"/>
      <c r="Z115" s="2942"/>
      <c r="AA115" s="2942"/>
      <c r="AB115" s="2942"/>
      <c r="AC115" s="2942"/>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1"/>
      <c r="B117" s="490" t="s">
        <v>2435</v>
      </c>
      <c r="C117" s="506"/>
      <c r="D117" s="506"/>
      <c r="E117" s="506"/>
      <c r="F117" s="506"/>
      <c r="G117" s="506"/>
      <c r="H117" s="535"/>
      <c r="I117" s="535"/>
      <c r="J117" s="535"/>
      <c r="K117" s="536"/>
      <c r="L117" s="537"/>
      <c r="M117" s="538"/>
      <c r="N117" s="2970"/>
      <c r="O117" s="2970"/>
      <c r="P117" s="2979"/>
      <c r="Q117" s="2956"/>
      <c r="R117" s="2942"/>
      <c r="S117" s="2942"/>
      <c r="T117" s="2942"/>
      <c r="U117" s="2942"/>
      <c r="V117" s="2942"/>
      <c r="W117" s="2942"/>
      <c r="X117" s="2942"/>
      <c r="Y117" s="2942"/>
      <c r="Z117" s="2942"/>
      <c r="AA117" s="2942"/>
      <c r="AB117" s="2942"/>
      <c r="AC117" s="2942"/>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971"/>
      <c r="O118" s="2971"/>
      <c r="P118" s="2979"/>
      <c r="Q118" s="2956"/>
      <c r="R118" s="2942"/>
      <c r="S118" s="2942"/>
      <c r="T118" s="2942"/>
      <c r="U118" s="2942"/>
      <c r="V118" s="2942"/>
      <c r="W118" s="2942"/>
      <c r="X118" s="2942"/>
      <c r="Y118" s="2942"/>
      <c r="Z118" s="2942"/>
      <c r="AA118" s="2942"/>
      <c r="AB118" s="2942"/>
      <c r="AC118" s="2942"/>
    </row>
    <row r="119" spans="1:29" ht="15" thickTop="1">
      <c r="A119" s="551"/>
      <c r="B119" s="587" t="s">
        <v>2518</v>
      </c>
      <c r="C119" s="535"/>
      <c r="D119" s="535"/>
      <c r="E119" s="535"/>
      <c r="F119" s="535"/>
      <c r="G119" s="535"/>
      <c r="H119" s="535"/>
      <c r="I119" s="535"/>
      <c r="J119" s="535"/>
      <c r="K119" s="535"/>
      <c r="L119" s="2146"/>
      <c r="M119" s="2147"/>
      <c r="N119" s="2971"/>
      <c r="O119" s="2971"/>
      <c r="P119" s="2984"/>
      <c r="Q119" s="2985"/>
      <c r="R119" s="2942"/>
      <c r="S119" s="2942"/>
      <c r="T119" s="2942"/>
      <c r="U119" s="2942"/>
      <c r="V119" s="2942"/>
      <c r="W119" s="2942"/>
      <c r="X119" s="2942"/>
      <c r="Y119" s="2942"/>
      <c r="Z119" s="2942"/>
      <c r="AA119" s="2942"/>
      <c r="AB119" s="2942"/>
      <c r="AC119" s="2942"/>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971"/>
      <c r="O120" s="2971"/>
      <c r="P120" s="2979"/>
      <c r="Q120" s="2956"/>
      <c r="R120" s="2942"/>
      <c r="S120" s="2942"/>
      <c r="T120" s="2942"/>
      <c r="U120" s="2942"/>
      <c r="V120" s="2942"/>
      <c r="W120" s="2942"/>
      <c r="X120" s="2942"/>
      <c r="Y120" s="2942"/>
      <c r="Z120" s="2942"/>
      <c r="AA120" s="2942"/>
      <c r="AB120" s="2942"/>
      <c r="AC120" s="2942"/>
    </row>
    <row r="121" spans="1:29" s="425" customFormat="1" ht="15" thickTop="1">
      <c r="A121" s="545"/>
      <c r="B121" s="490" t="s">
        <v>2501</v>
      </c>
      <c r="C121" s="506"/>
      <c r="D121" s="506"/>
      <c r="E121" s="506"/>
      <c r="F121" s="535"/>
      <c r="G121" s="507"/>
      <c r="H121" s="507"/>
      <c r="I121" s="507"/>
      <c r="J121" s="507"/>
      <c r="K121" s="507"/>
      <c r="L121" s="508"/>
      <c r="M121" s="509"/>
      <c r="N121" s="2972"/>
      <c r="O121" s="2972"/>
      <c r="P121" s="2980"/>
      <c r="Q121" s="2963"/>
      <c r="R121" s="2964"/>
      <c r="S121" s="2964"/>
      <c r="T121" s="2964"/>
      <c r="U121" s="2964"/>
      <c r="V121" s="2964"/>
      <c r="W121" s="2964"/>
      <c r="X121" s="2964"/>
      <c r="Y121" s="2964"/>
      <c r="Z121" s="2964"/>
      <c r="AA121" s="2964"/>
      <c r="AB121" s="2964"/>
      <c r="AC121" s="2964"/>
    </row>
    <row r="122" spans="1:29" s="425" customFormat="1" ht="15.75" thickBot="1">
      <c r="A122" s="505"/>
      <c r="B122" s="487"/>
      <c r="C122" s="512"/>
      <c r="D122" s="512"/>
      <c r="E122" s="512"/>
      <c r="F122" s="512"/>
      <c r="G122" s="512"/>
      <c r="H122" s="512"/>
      <c r="I122" s="512"/>
      <c r="J122" s="512"/>
      <c r="K122" s="512"/>
      <c r="L122" s="512"/>
      <c r="M122" s="512"/>
      <c r="N122" s="2972"/>
      <c r="O122" s="2972"/>
      <c r="P122" s="2980"/>
      <c r="Q122" s="2963"/>
      <c r="R122" s="2964"/>
      <c r="S122" s="2964"/>
      <c r="T122" s="2964"/>
      <c r="U122" s="2964"/>
      <c r="V122" s="2964"/>
      <c r="W122" s="2964"/>
      <c r="X122" s="2964"/>
      <c r="Y122" s="2964"/>
      <c r="Z122" s="2964"/>
      <c r="AA122" s="2964"/>
      <c r="AB122" s="2964"/>
      <c r="AC122" s="2964"/>
    </row>
    <row r="123" spans="1:29" ht="15" thickTop="1">
      <c r="A123" s="551"/>
      <c r="B123" s="490" t="s">
        <v>2437</v>
      </c>
      <c r="C123" s="506"/>
      <c r="D123" s="506"/>
      <c r="E123" s="506"/>
      <c r="F123" s="535"/>
      <c r="G123" s="535"/>
      <c r="H123" s="535"/>
      <c r="I123" s="535"/>
      <c r="J123" s="535"/>
      <c r="K123" s="536"/>
      <c r="L123" s="537"/>
      <c r="M123" s="538"/>
      <c r="N123" s="2970"/>
      <c r="O123" s="2970"/>
      <c r="P123" s="2979"/>
      <c r="Q123" s="2956"/>
      <c r="R123" s="2942"/>
      <c r="S123" s="2942"/>
      <c r="T123" s="2942"/>
      <c r="U123" s="2942"/>
      <c r="V123" s="2942"/>
      <c r="W123" s="2942"/>
      <c r="X123" s="2942"/>
      <c r="Y123" s="2942"/>
      <c r="Z123" s="2942"/>
      <c r="AA123" s="2942"/>
      <c r="AB123" s="2942"/>
      <c r="AC123" s="2942"/>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1"/>
      <c r="B125" s="490" t="s">
        <v>2438</v>
      </c>
      <c r="C125" s="530" t="s">
        <v>2414</v>
      </c>
      <c r="D125" s="530" t="s">
        <v>2415</v>
      </c>
      <c r="E125" s="530" t="s">
        <v>2416</v>
      </c>
      <c r="F125" s="530" t="s">
        <v>2417</v>
      </c>
      <c r="G125" s="530" t="s">
        <v>2418</v>
      </c>
      <c r="H125" s="491"/>
      <c r="I125" s="491"/>
      <c r="J125" s="491"/>
      <c r="K125" s="492"/>
      <c r="L125" s="493"/>
      <c r="M125" s="494"/>
      <c r="N125" s="2970"/>
      <c r="O125" s="2970"/>
      <c r="P125" s="2980"/>
      <c r="Q125" s="2956"/>
      <c r="R125" s="2942"/>
      <c r="S125" s="2942"/>
      <c r="T125" s="2942"/>
      <c r="U125" s="2942"/>
      <c r="V125" s="2942"/>
      <c r="W125" s="2942"/>
      <c r="X125" s="2942"/>
      <c r="Y125" s="2942"/>
      <c r="Z125" s="2942"/>
      <c r="AA125" s="2942"/>
      <c r="AB125" s="2942"/>
      <c r="AC125" s="2942"/>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971"/>
      <c r="O126" s="2971"/>
      <c r="P126" s="2979"/>
      <c r="Q126" s="2956"/>
      <c r="R126" s="2942"/>
      <c r="S126" s="2942"/>
      <c r="T126" s="2942"/>
      <c r="U126" s="2942"/>
      <c r="V126" s="2942"/>
      <c r="W126" s="2942"/>
      <c r="X126" s="2942"/>
      <c r="Y126" s="2942"/>
      <c r="Z126" s="2942"/>
      <c r="AA126" s="2942"/>
      <c r="AB126" s="2942"/>
      <c r="AC126" s="2942"/>
    </row>
    <row r="127" spans="1:29" s="425" customFormat="1" ht="15" thickTop="1">
      <c r="A127" s="545"/>
      <c r="B127" s="490">
        <f>B45</f>
        <v>111</v>
      </c>
      <c r="C127" s="506"/>
      <c r="D127" s="506"/>
      <c r="E127" s="506"/>
      <c r="F127" s="506"/>
      <c r="G127" s="506"/>
      <c r="H127" s="507"/>
      <c r="I127" s="507"/>
      <c r="J127" s="507"/>
      <c r="K127" s="507"/>
      <c r="L127" s="508"/>
      <c r="M127" s="509"/>
      <c r="N127" s="2972"/>
      <c r="O127" s="2972"/>
      <c r="P127" s="2980"/>
      <c r="Q127" s="2963"/>
      <c r="R127" s="2964"/>
      <c r="S127" s="2964"/>
      <c r="T127" s="2964"/>
      <c r="U127" s="2964"/>
      <c r="V127" s="2964"/>
      <c r="W127" s="2964"/>
      <c r="X127" s="2964"/>
      <c r="Y127" s="2964"/>
      <c r="Z127" s="2964"/>
      <c r="AA127" s="2964"/>
      <c r="AB127" s="2964"/>
      <c r="AC127" s="2964"/>
    </row>
    <row r="128" spans="1:29" s="425" customFormat="1" ht="15.75" thickBot="1">
      <c r="A128" s="505"/>
      <c r="B128" s="495"/>
      <c r="C128" s="512"/>
      <c r="D128" s="488"/>
      <c r="E128" s="488"/>
      <c r="F128" s="488"/>
      <c r="G128" s="512"/>
      <c r="H128" s="514"/>
      <c r="I128" s="514"/>
      <c r="J128" s="514"/>
      <c r="K128" s="514"/>
      <c r="L128" s="514"/>
      <c r="M128" s="515"/>
      <c r="N128" s="2972"/>
      <c r="O128" s="2972"/>
      <c r="P128" s="2980"/>
      <c r="Q128" s="2963"/>
      <c r="R128" s="2964"/>
      <c r="S128" s="2964"/>
      <c r="T128" s="2964"/>
      <c r="U128" s="2964"/>
      <c r="V128" s="2964"/>
      <c r="W128" s="2964"/>
      <c r="X128" s="2964"/>
      <c r="Y128" s="2964"/>
      <c r="Z128" s="2964"/>
      <c r="AA128" s="2964"/>
      <c r="AB128" s="2964"/>
      <c r="AC128" s="2964"/>
    </row>
    <row r="129" spans="1:29" ht="15" thickTop="1">
      <c r="A129" s="551"/>
      <c r="B129" s="490">
        <f>B46</f>
        <v>111</v>
      </c>
      <c r="C129" s="506"/>
      <c r="D129" s="506"/>
      <c r="E129" s="506"/>
      <c r="F129" s="506"/>
      <c r="G129" s="535"/>
      <c r="H129" s="535"/>
      <c r="I129" s="535"/>
      <c r="J129" s="535"/>
      <c r="K129" s="536"/>
      <c r="L129" s="537"/>
      <c r="M129" s="538"/>
      <c r="N129" s="2970"/>
      <c r="O129" s="2970"/>
      <c r="P129" s="2979"/>
      <c r="Q129" s="2956"/>
      <c r="R129" s="2942"/>
      <c r="S129" s="2942"/>
      <c r="T129" s="2942"/>
      <c r="U129" s="2942"/>
      <c r="V129" s="2942"/>
      <c r="W129" s="2942"/>
      <c r="X129" s="2942"/>
      <c r="Y129" s="2942"/>
      <c r="Z129" s="2942"/>
      <c r="AA129" s="2942"/>
      <c r="AB129" s="2942"/>
      <c r="AC129" s="2942"/>
    </row>
    <row r="130" spans="1:29" ht="15.75" thickBot="1">
      <c r="A130" s="486"/>
      <c r="B130" s="495"/>
      <c r="C130" s="512"/>
      <c r="D130" s="512"/>
      <c r="E130" s="512"/>
      <c r="F130" s="512"/>
      <c r="G130" s="488"/>
      <c r="H130" s="488"/>
      <c r="I130" s="488"/>
      <c r="J130" s="488"/>
      <c r="K130" s="488"/>
      <c r="L130" s="488"/>
      <c r="M130" s="489"/>
      <c r="N130" s="2971"/>
      <c r="O130" s="2971"/>
      <c r="P130" s="2979"/>
      <c r="Q130" s="2956"/>
      <c r="R130" s="2942"/>
      <c r="S130" s="2942"/>
      <c r="T130" s="2942"/>
      <c r="U130" s="2942"/>
      <c r="V130" s="2942"/>
      <c r="W130" s="2942"/>
      <c r="X130" s="2942"/>
      <c r="Y130" s="2942"/>
      <c r="Z130" s="2942"/>
      <c r="AA130" s="2942"/>
      <c r="AB130" s="2942"/>
      <c r="AC130" s="2942"/>
    </row>
    <row r="131" spans="1:29" ht="15" thickTop="1">
      <c r="A131" s="551"/>
      <c r="B131" s="498">
        <f>B47</f>
        <v>111</v>
      </c>
      <c r="C131" s="475"/>
      <c r="D131" s="475"/>
      <c r="E131" s="475"/>
      <c r="F131" s="475"/>
      <c r="G131" s="539"/>
      <c r="H131" s="539"/>
      <c r="I131" s="539"/>
      <c r="J131" s="539"/>
      <c r="K131" s="475"/>
      <c r="L131" s="476"/>
      <c r="M131" s="542"/>
      <c r="N131" s="2970"/>
      <c r="O131" s="2970"/>
      <c r="P131" s="2979"/>
      <c r="Q131" s="2956"/>
      <c r="R131" s="2942"/>
      <c r="S131" s="2942"/>
      <c r="T131" s="2942"/>
      <c r="U131" s="2942"/>
      <c r="V131" s="2942"/>
      <c r="W131" s="2942"/>
      <c r="X131" s="2942"/>
      <c r="Y131" s="2942"/>
      <c r="Z131" s="2942"/>
      <c r="AA131" s="2942"/>
      <c r="AB131" s="2942"/>
      <c r="AC131" s="2942"/>
    </row>
    <row r="132" spans="1:29" ht="15.75" thickBot="1">
      <c r="A132" s="2106"/>
      <c r="B132" s="521"/>
      <c r="C132" s="522"/>
      <c r="D132" s="522"/>
      <c r="E132" s="522"/>
      <c r="F132" s="522"/>
      <c r="G132" s="543"/>
      <c r="H132" s="543"/>
      <c r="I132" s="543"/>
      <c r="J132" s="543"/>
      <c r="K132" s="543"/>
      <c r="L132" s="543"/>
      <c r="M132" s="544"/>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20" stopIfTrue="1" operator="containsText" text="超过">
      <formula>NOT(ISERROR(SEARCH("超过",F53)))</formula>
    </cfRule>
  </conditionalFormatting>
  <conditionalFormatting sqref="H55">
    <cfRule type="containsText" dxfId="151" priority="19" stopIfTrue="1" operator="containsText" text="超过">
      <formula>NOT(ISERROR(SEARCH("超过",H55)))</formula>
    </cfRule>
  </conditionalFormatting>
  <conditionalFormatting sqref="F55">
    <cfRule type="containsText" dxfId="150" priority="18" stopIfTrue="1" operator="containsText" text="超过">
      <formula>NOT(ISERROR(SEARCH("超过",F55)))</formula>
    </cfRule>
  </conditionalFormatting>
  <conditionalFormatting sqref="F54 H54">
    <cfRule type="containsText" dxfId="149" priority="17" stopIfTrue="1" operator="containsText" text="超过">
      <formula>NOT(ISERROR(SEARCH("超过",F54)))</formula>
    </cfRule>
  </conditionalFormatting>
  <conditionalFormatting sqref="E53">
    <cfRule type="expression" dxfId="148" priority="16" stopIfTrue="1">
      <formula>$F$53="超过30%"</formula>
    </cfRule>
  </conditionalFormatting>
  <conditionalFormatting sqref="E54">
    <cfRule type="expression" dxfId="147" priority="15" stopIfTrue="1">
      <formula>$F$54="超过20%"</formula>
    </cfRule>
  </conditionalFormatting>
  <conditionalFormatting sqref="E55">
    <cfRule type="expression" dxfId="146" priority="14" stopIfTrue="1">
      <formula>$F$55="超过30%"</formula>
    </cfRule>
  </conditionalFormatting>
  <conditionalFormatting sqref="G55">
    <cfRule type="expression" dxfId="145" priority="13" stopIfTrue="1">
      <formula>$H$55="超过30%"</formula>
    </cfRule>
  </conditionalFormatting>
  <conditionalFormatting sqref="G53">
    <cfRule type="expression" dxfId="144" priority="12" stopIfTrue="1">
      <formula>$H$53="超过30%"</formula>
    </cfRule>
  </conditionalFormatting>
  <conditionalFormatting sqref="G54">
    <cfRule type="expression" dxfId="143" priority="11" stopIfTrue="1">
      <formula>$H$54="超过20%"</formula>
    </cfRule>
  </conditionalFormatting>
  <conditionalFormatting sqref="J53">
    <cfRule type="containsText" dxfId="142" priority="10" stopIfTrue="1" operator="containsText" text="超过">
      <formula>NOT(ISERROR(SEARCH("超过",J53)))</formula>
    </cfRule>
  </conditionalFormatting>
  <conditionalFormatting sqref="J55">
    <cfRule type="containsText" dxfId="141" priority="9" stopIfTrue="1" operator="containsText" text="超过">
      <formula>NOT(ISERROR(SEARCH("超过",J55)))</formula>
    </cfRule>
  </conditionalFormatting>
  <conditionalFormatting sqref="J54">
    <cfRule type="containsText" dxfId="140" priority="8" stopIfTrue="1" operator="containsText" text="超过">
      <formula>NOT(ISERROR(SEARCH("超过",J54)))</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7:F47 H7:H47 J7:J47">
    <cfRule type="cellIs" dxfId="133"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E21" sqref="E21"/>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135" t="s">
        <v>2519</v>
      </c>
      <c r="C1" s="1385" t="s">
        <v>2347</v>
      </c>
      <c r="D1" s="1386"/>
      <c r="E1" s="1395"/>
      <c r="F1" s="2057"/>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t="e">
        <f ca="1">IF(C2="——",ROUND(C43*D3/10000,0),ROUND(C43*D3/10000,0)-D2)</f>
        <v>#DIV/0!</v>
      </c>
      <c r="C2" s="2059"/>
      <c r="D2" s="1032" t="e">
        <f ca="1">SUMIF(INDIRECT("'"&amp;F2&amp;"'"&amp;"!A:A"),"承租人权益价值",INDIRECT("'"&amp;F2&amp;"'"&amp;"!c:c"))</f>
        <v>#REF!</v>
      </c>
      <c r="E2" s="2060" t="s">
        <v>2148</v>
      </c>
      <c r="F2" s="2061"/>
      <c r="G2" s="1033"/>
      <c r="H2" s="1033"/>
      <c r="I2" s="1033"/>
      <c r="J2" s="1033"/>
      <c r="K2" s="1033"/>
      <c r="L2" s="1036"/>
      <c r="M2" s="1037"/>
      <c r="N2" s="1037"/>
      <c r="O2" s="1037"/>
      <c r="P2" s="703"/>
      <c r="Q2" s="703"/>
      <c r="R2" s="703"/>
      <c r="S2" s="703"/>
      <c r="T2" s="703"/>
      <c r="U2" s="703"/>
      <c r="V2" s="703"/>
      <c r="W2" s="703"/>
      <c r="X2" s="703"/>
      <c r="Y2" s="703"/>
      <c r="Z2" s="703"/>
      <c r="AA2" s="703"/>
      <c r="AB2" s="703"/>
      <c r="AC2" s="717"/>
    </row>
    <row r="3" spans="1:29" s="353" customFormat="1" ht="28.5" customHeight="1" thickBot="1">
      <c r="A3" s="204" t="s">
        <v>2149</v>
      </c>
      <c r="B3" s="561" t="e">
        <f ca="1">IF(C2="——",C43,ROUND(B2*10000/D3,0))</f>
        <v>#DIV/0!</v>
      </c>
      <c r="C3" s="355" t="s">
        <v>2461</v>
      </c>
      <c r="D3" s="354">
        <f>IF(D1="",'数据-汇总表'!E3,SUMIF('数据-汇总表'!$C19:$C33,D1,'数据-汇总表'!$E19:$E33))</f>
        <v>86417.1</v>
      </c>
      <c r="E3" s="1033"/>
      <c r="F3" s="1034"/>
      <c r="G3" s="1033"/>
      <c r="H3" s="1033"/>
      <c r="I3" s="1033"/>
      <c r="J3" s="1033"/>
      <c r="K3" s="1035"/>
      <c r="L3" s="1036"/>
      <c r="M3" s="1037"/>
      <c r="N3" s="1037"/>
      <c r="O3" s="1037"/>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1038"/>
      <c r="M4" s="1039"/>
      <c r="N4" s="1039"/>
      <c r="O4" s="1039"/>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1038"/>
      <c r="M5" s="1039"/>
      <c r="N5" s="1039"/>
      <c r="O5" s="1039"/>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1038"/>
      <c r="M6" s="1039"/>
      <c r="N6" s="1039"/>
      <c r="O6" s="1039"/>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c r="F7" s="368">
        <f>SUMIF(52:52,YEAR(E7)&amp;"-"&amp;MONTH(E7),53:53)</f>
        <v>0</v>
      </c>
      <c r="G7" s="367"/>
      <c r="H7" s="366">
        <f>SUMIF(52:52,YEAR(G7)&amp;"-"&amp;MONTH(G7),53:53)</f>
        <v>0</v>
      </c>
      <c r="I7" s="367"/>
      <c r="J7" s="366">
        <f>SUMIF(52:52,YEAR(I7)&amp;"-"&amp;MONTH(I7),53:53)</f>
        <v>0</v>
      </c>
      <c r="K7" s="563"/>
      <c r="L7" s="1040"/>
      <c r="M7" s="1041"/>
      <c r="N7" s="1041"/>
      <c r="O7" s="1041"/>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2368</v>
      </c>
      <c r="D8" s="366">
        <v>100</v>
      </c>
      <c r="E8" s="369"/>
      <c r="F8" s="368">
        <f>SUMIF(55:55,E8,56:56)-SUMIF(55:55,C8,56:56)+100</f>
        <v>0</v>
      </c>
      <c r="G8" s="369"/>
      <c r="H8" s="366">
        <f>SUMIF(55:55,G8,56:56)-SUMIF(55:55,C8,56:56)+100</f>
        <v>0</v>
      </c>
      <c r="I8" s="369"/>
      <c r="J8" s="366">
        <f>SUMIF(55:55,I8,56:56)-SUMIF(55:55,C8,56:56)+100</f>
        <v>0</v>
      </c>
      <c r="K8" s="563"/>
      <c r="L8" s="1040"/>
      <c r="M8" s="1041"/>
      <c r="N8" s="1041"/>
      <c r="O8" s="1041"/>
      <c r="P8" s="3584" t="s">
        <v>2369</v>
      </c>
      <c r="Q8" s="3585"/>
      <c r="R8" s="705" t="s">
        <v>17</v>
      </c>
      <c r="S8" s="706">
        <f t="shared" si="0"/>
        <v>0</v>
      </c>
      <c r="T8" s="705" t="s">
        <v>17</v>
      </c>
      <c r="U8" s="706">
        <f t="shared" si="1"/>
        <v>0</v>
      </c>
      <c r="V8" s="705" t="s">
        <v>17</v>
      </c>
      <c r="W8" s="706">
        <f t="shared" si="2"/>
        <v>0</v>
      </c>
      <c r="X8" s="707"/>
      <c r="Y8" s="3584" t="s">
        <v>2369</v>
      </c>
      <c r="Z8" s="3585"/>
      <c r="AA8" s="708" t="e">
        <f t="shared" ref="AA8:AA40" si="3">D8/F8</f>
        <v>#DIV/0!</v>
      </c>
      <c r="AB8" s="708" t="e">
        <f t="shared" ref="AB8:AB40" si="4">D8/H8</f>
        <v>#DIV/0!</v>
      </c>
      <c r="AC8" s="708" t="e">
        <f t="shared" ref="AC8:AC40" si="5">D8/J8</f>
        <v>#DIV/0!</v>
      </c>
    </row>
    <row r="9" spans="1:29" s="108" customFormat="1">
      <c r="A9" s="370" t="s">
        <v>2370</v>
      </c>
      <c r="B9" s="63" t="s">
        <v>2371</v>
      </c>
      <c r="C9" s="371"/>
      <c r="D9" s="126">
        <v>100</v>
      </c>
      <c r="E9" s="374"/>
      <c r="F9" s="126">
        <f>SUMIF(57:57,E9,58:58)-SUMIF(57:57,C9,58:58)+100</f>
        <v>100</v>
      </c>
      <c r="G9" s="372"/>
      <c r="H9" s="126">
        <f>SUMIF(57:57,G9,58:58)-SUMIF(57:57,C9,58:58)+100</f>
        <v>100</v>
      </c>
      <c r="I9" s="372"/>
      <c r="J9" s="126">
        <f>SUMIF(57:57,I9,58:58)-SUMIF(57:57,C9,58:58)+100</f>
        <v>100</v>
      </c>
      <c r="K9" s="563"/>
      <c r="L9" s="1040"/>
      <c r="M9" s="1041"/>
      <c r="N9" s="1041"/>
      <c r="O9" s="1042"/>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c r="D10" s="127">
        <v>100</v>
      </c>
      <c r="E10" s="377"/>
      <c r="F10" s="127">
        <f>SUMIF(59:59,E10,60:60)-SUMIF(59:59,C10,60:60)+100</f>
        <v>100</v>
      </c>
      <c r="G10" s="378"/>
      <c r="H10" s="127">
        <f>SUMIF(59:59,G10,60:60)-SUMIF(59:59,C10,60:60)+100</f>
        <v>100</v>
      </c>
      <c r="I10" s="377"/>
      <c r="J10" s="127">
        <f>SUMIF(59:59,I10,60:60)-SUMIF(59:59,C10,60:60)+100</f>
        <v>100</v>
      </c>
      <c r="K10" s="564"/>
      <c r="L10" s="1043"/>
      <c r="M10" s="1044"/>
      <c r="N10" s="1044"/>
      <c r="O10" s="1045"/>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c r="D11" s="127">
        <v>100</v>
      </c>
      <c r="E11" s="383"/>
      <c r="F11" s="127" t="e">
        <f>LOOKUP(E11,62:62,63:63)-LOOKUP(C11,62:62,63:63)+100</f>
        <v>#N/A</v>
      </c>
      <c r="G11" s="384"/>
      <c r="H11" s="127" t="e">
        <f>LOOKUP(G11,62:62,63:63)-LOOKUP(C11,62:62,63:63)+100</f>
        <v>#N/A</v>
      </c>
      <c r="I11" s="383"/>
      <c r="J11" s="127" t="e">
        <f>LOOKUP(I11,62:62,63:63)-LOOKUP(C11,62:62,63:63)+100</f>
        <v>#N/A</v>
      </c>
      <c r="K11" s="564"/>
      <c r="L11" s="1046"/>
      <c r="M11" s="1039"/>
      <c r="N11" s="1039"/>
      <c r="O11" s="1047"/>
      <c r="P11" s="3598"/>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388"/>
      <c r="F12" s="127">
        <f>SUMIF(64:64,E12,65:65)-SUMIF(64:64,C12,65:65)+100</f>
        <v>100</v>
      </c>
      <c r="G12" s="2148"/>
      <c r="H12" s="127">
        <f>SUMIF(64:64,G12,65:65)-SUMIF(64:64,C12,65:65)+100</f>
        <v>100</v>
      </c>
      <c r="I12" s="423"/>
      <c r="J12" s="127">
        <f>SUMIF(64:64,I12,65:65)-SUMIF(64:64,C12,65:65)+100</f>
        <v>100</v>
      </c>
      <c r="K12" s="565"/>
      <c r="L12" s="1040"/>
      <c r="M12" s="1041"/>
      <c r="N12" s="1041"/>
      <c r="O12" s="1042"/>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388"/>
      <c r="F13" s="127">
        <f>SUMIF(66:66,E13,67:67)-SUMIF(66:66,C13,67:67)+100</f>
        <v>100</v>
      </c>
      <c r="G13" s="2148"/>
      <c r="H13" s="389">
        <f>SUMIF(66:66,G13,67:67)-SUMIF(66:66,C13,67:67)+100</f>
        <v>100</v>
      </c>
      <c r="I13" s="423"/>
      <c r="J13" s="389">
        <f>SUMIF(66:66,I13,67:67)-SUMIF(66:66,C13,67:67)+100</f>
        <v>100</v>
      </c>
      <c r="K13" s="565"/>
      <c r="L13" s="1048"/>
      <c r="M13" s="1039"/>
      <c r="N13" s="1039"/>
      <c r="O13" s="1047"/>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91"/>
      <c r="F14" s="392">
        <f>SUMIF(68:68,E14,69:69)-SUMIF(68:68,C14,69:69)+100</f>
        <v>100</v>
      </c>
      <c r="G14" s="2148"/>
      <c r="H14" s="392">
        <f>SUMIF(68:68,G14,69:69)-SUMIF(68:68,C14,69:69)+100</f>
        <v>100</v>
      </c>
      <c r="I14" s="423"/>
      <c r="J14" s="392">
        <f>SUMIF(68:68,I14,69:69)-SUMIF(68:68,C14,69:69)+100</f>
        <v>100</v>
      </c>
      <c r="K14" s="565"/>
      <c r="L14" s="1048"/>
      <c r="M14" s="1039"/>
      <c r="N14" s="1039"/>
      <c r="O14" s="1047"/>
      <c r="P14" s="3598"/>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57">
      <c r="A15" s="394" t="s">
        <v>2376</v>
      </c>
      <c r="B15" s="61" t="s">
        <v>2520</v>
      </c>
      <c r="C15" s="2149"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1048"/>
      <c r="M15" s="1039"/>
      <c r="N15" s="1039"/>
      <c r="O15" s="1047"/>
      <c r="P15" s="3613" t="s">
        <v>2377</v>
      </c>
      <c r="Q15" s="1529" t="str">
        <f t="shared" si="6"/>
        <v>产业集聚程度</v>
      </c>
      <c r="R15" s="709" t="s">
        <v>17</v>
      </c>
      <c r="S15" s="710">
        <f t="shared" si="0"/>
        <v>100</v>
      </c>
      <c r="T15" s="709" t="s">
        <v>17</v>
      </c>
      <c r="U15" s="710">
        <f t="shared" si="1"/>
        <v>100</v>
      </c>
      <c r="V15" s="709" t="s">
        <v>17</v>
      </c>
      <c r="W15" s="710">
        <f t="shared" si="2"/>
        <v>100</v>
      </c>
      <c r="X15" s="1532"/>
      <c r="Y15" s="3613" t="s">
        <v>2377</v>
      </c>
      <c r="Z15" s="1533" t="str">
        <f t="shared" si="7"/>
        <v>产业集聚程度</v>
      </c>
      <c r="AA15" s="1530">
        <f t="shared" si="3"/>
        <v>1</v>
      </c>
      <c r="AB15" s="1530">
        <f t="shared" si="4"/>
        <v>1</v>
      </c>
      <c r="AC15" s="1530">
        <f t="shared" si="5"/>
        <v>1</v>
      </c>
    </row>
    <row r="16" spans="1:29" ht="15">
      <c r="A16" s="382"/>
      <c r="B16" s="400"/>
      <c r="C16" s="401"/>
      <c r="D16" s="402"/>
      <c r="E16" s="401"/>
      <c r="F16" s="403"/>
      <c r="G16" s="401"/>
      <c r="H16" s="404"/>
      <c r="I16" s="401"/>
      <c r="J16" s="402"/>
      <c r="K16" s="567"/>
      <c r="L16" s="1048"/>
      <c r="M16" s="1039"/>
      <c r="N16" s="1039"/>
      <c r="O16" s="1047"/>
      <c r="P16" s="3614"/>
      <c r="Q16" s="1529"/>
      <c r="R16" s="709"/>
      <c r="S16" s="710"/>
      <c r="T16" s="709"/>
      <c r="U16" s="710"/>
      <c r="V16" s="709"/>
      <c r="W16" s="710"/>
      <c r="X16" s="1532"/>
      <c r="Y16" s="3614"/>
      <c r="Z16" s="1533"/>
      <c r="AA16" s="1530">
        <v>1</v>
      </c>
      <c r="AB16" s="1530">
        <v>1</v>
      </c>
      <c r="AC16" s="1530">
        <v>1</v>
      </c>
    </row>
    <row r="17" spans="1:29" ht="85.5">
      <c r="A17" s="382"/>
      <c r="B17" s="405" t="s">
        <v>1944</v>
      </c>
      <c r="C17" s="2078"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1048"/>
      <c r="M17" s="1039"/>
      <c r="N17" s="1039"/>
      <c r="O17" s="1047"/>
      <c r="P17" s="3614"/>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410"/>
      <c r="C18" s="2079"/>
      <c r="D18" s="404"/>
      <c r="E18" s="2081"/>
      <c r="F18" s="407"/>
      <c r="G18" s="2080"/>
      <c r="H18" s="402"/>
      <c r="I18" s="2081"/>
      <c r="J18" s="402"/>
      <c r="K18" s="567"/>
      <c r="L18" s="1048"/>
      <c r="M18" s="1039"/>
      <c r="N18" s="1039"/>
      <c r="O18" s="1047"/>
      <c r="P18" s="3614"/>
      <c r="Q18" s="1529"/>
      <c r="R18" s="709"/>
      <c r="S18" s="710"/>
      <c r="T18" s="709"/>
      <c r="U18" s="710"/>
      <c r="V18" s="709"/>
      <c r="W18" s="710"/>
      <c r="X18" s="1532"/>
      <c r="Y18" s="3614"/>
      <c r="Z18" s="1533"/>
      <c r="AA18" s="1530">
        <v>1</v>
      </c>
      <c r="AB18" s="1530">
        <v>1</v>
      </c>
      <c r="AC18" s="1530">
        <v>1</v>
      </c>
    </row>
    <row r="19" spans="1:29" ht="42.75">
      <c r="A19" s="382"/>
      <c r="B19" s="405" t="s">
        <v>2505</v>
      </c>
      <c r="C19" s="2078"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1048"/>
      <c r="M19" s="1039"/>
      <c r="N19" s="1039"/>
      <c r="O19" s="1047"/>
      <c r="P19" s="3614"/>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1530">
        <f t="shared" si="5"/>
        <v>1</v>
      </c>
    </row>
    <row r="20" spans="1:29" ht="15">
      <c r="A20" s="382"/>
      <c r="B20" s="410"/>
      <c r="C20" s="401"/>
      <c r="D20" s="402"/>
      <c r="E20" s="2076"/>
      <c r="F20" s="403"/>
      <c r="G20" s="2075"/>
      <c r="H20" s="402"/>
      <c r="I20" s="2076"/>
      <c r="J20" s="402"/>
      <c r="K20" s="567"/>
      <c r="L20" s="1048"/>
      <c r="M20" s="1039"/>
      <c r="N20" s="1039"/>
      <c r="O20" s="1047"/>
      <c r="P20" s="3614"/>
      <c r="Q20" s="1529"/>
      <c r="R20" s="709"/>
      <c r="S20" s="710"/>
      <c r="T20" s="709"/>
      <c r="U20" s="710"/>
      <c r="V20" s="709"/>
      <c r="W20" s="710"/>
      <c r="X20" s="1532"/>
      <c r="Y20" s="3614"/>
      <c r="Z20" s="1533"/>
      <c r="AA20" s="1530">
        <v>1</v>
      </c>
      <c r="AB20" s="1530">
        <v>1</v>
      </c>
      <c r="AC20" s="1530">
        <v>1</v>
      </c>
    </row>
    <row r="21" spans="1:29" ht="28.5">
      <c r="A21" s="382"/>
      <c r="B21" s="1287" t="s">
        <v>2506</v>
      </c>
      <c r="C21" s="2078"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1048"/>
      <c r="M21" s="1039"/>
      <c r="N21" s="1039"/>
      <c r="O21" s="1047"/>
      <c r="P21" s="3614"/>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c r="D22" s="402"/>
      <c r="E22" s="401"/>
      <c r="F22" s="403"/>
      <c r="G22" s="401"/>
      <c r="H22" s="402"/>
      <c r="I22" s="401"/>
      <c r="J22" s="402"/>
      <c r="K22" s="1286"/>
      <c r="L22" s="1048"/>
      <c r="M22" s="1039"/>
      <c r="N22" s="1039"/>
      <c r="O22" s="1047"/>
      <c r="P22" s="3614"/>
      <c r="Q22" s="1529"/>
      <c r="R22" s="709"/>
      <c r="S22" s="710"/>
      <c r="T22" s="709"/>
      <c r="U22" s="710"/>
      <c r="V22" s="709"/>
      <c r="W22" s="710"/>
      <c r="X22" s="1532"/>
      <c r="Y22" s="3614"/>
      <c r="Z22" s="1533"/>
      <c r="AA22" s="1530">
        <v>1</v>
      </c>
      <c r="AB22" s="1530">
        <v>1</v>
      </c>
      <c r="AC22" s="1530">
        <v>1</v>
      </c>
    </row>
    <row r="23" spans="1:29" ht="71.25">
      <c r="A23" s="382"/>
      <c r="B23" s="405" t="s">
        <v>2507</v>
      </c>
      <c r="C23" s="2078"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1048"/>
      <c r="M23" s="1039"/>
      <c r="N23" s="1039"/>
      <c r="O23" s="1047"/>
      <c r="P23" s="3614"/>
      <c r="Q23" s="1529" t="str">
        <f>B23</f>
        <v>环境质量</v>
      </c>
      <c r="R23" s="709" t="s">
        <v>17</v>
      </c>
      <c r="S23" s="710">
        <f>F23</f>
        <v>100</v>
      </c>
      <c r="T23" s="709" t="s">
        <v>17</v>
      </c>
      <c r="U23" s="710">
        <f>H23</f>
        <v>100</v>
      </c>
      <c r="V23" s="709" t="s">
        <v>17</v>
      </c>
      <c r="W23" s="710">
        <f>J23</f>
        <v>100</v>
      </c>
      <c r="X23" s="1532"/>
      <c r="Y23" s="3614"/>
      <c r="Z23" s="1533" t="str">
        <f>Q23</f>
        <v>环境质量</v>
      </c>
      <c r="AA23" s="1530">
        <f t="shared" si="3"/>
        <v>1</v>
      </c>
      <c r="AB23" s="1530">
        <f t="shared" si="4"/>
        <v>1</v>
      </c>
      <c r="AC23" s="1530">
        <f t="shared" si="5"/>
        <v>1</v>
      </c>
    </row>
    <row r="24" spans="1:29" ht="15">
      <c r="A24" s="382"/>
      <c r="B24" s="1287"/>
      <c r="C24" s="401"/>
      <c r="D24" s="402"/>
      <c r="E24" s="2076"/>
      <c r="F24" s="403"/>
      <c r="G24" s="2075"/>
      <c r="H24" s="402"/>
      <c r="I24" s="2076"/>
      <c r="J24" s="402"/>
      <c r="K24" s="567"/>
      <c r="L24" s="1048"/>
      <c r="M24" s="1039"/>
      <c r="N24" s="1039"/>
      <c r="O24" s="1047"/>
      <c r="P24" s="3614"/>
      <c r="Q24" s="1529"/>
      <c r="R24" s="709"/>
      <c r="S24" s="710"/>
      <c r="T24" s="709"/>
      <c r="U24" s="710"/>
      <c r="V24" s="709"/>
      <c r="W24" s="710"/>
      <c r="X24" s="1532"/>
      <c r="Y24" s="3614"/>
      <c r="Z24" s="1533"/>
      <c r="AA24" s="1530">
        <v>1</v>
      </c>
      <c r="AB24" s="1530">
        <v>1</v>
      </c>
      <c r="AC24" s="1530">
        <v>1</v>
      </c>
    </row>
    <row r="25" spans="1:29" ht="15">
      <c r="A25" s="359"/>
      <c r="B25" s="1289">
        <v>111</v>
      </c>
      <c r="C25" s="388">
        <v>111</v>
      </c>
      <c r="D25" s="389">
        <v>100</v>
      </c>
      <c r="E25" s="388"/>
      <c r="F25" s="415">
        <f>SUMIF(80:80,E25,81:81)-SUMIF(80:80,C25,81:81)+100</f>
        <v>100</v>
      </c>
      <c r="G25" s="388"/>
      <c r="H25" s="389">
        <f>SUMIF(80:80,G25,81:81)-SUMIF(80:80,C25,81:81)+100</f>
        <v>100</v>
      </c>
      <c r="I25" s="388"/>
      <c r="J25" s="389">
        <f>SUMIF(80:80,I25,81:81)-SUMIF(80:80,C25,81:81)+100</f>
        <v>100</v>
      </c>
      <c r="K25" s="565"/>
      <c r="L25" s="1048"/>
      <c r="M25" s="1039"/>
      <c r="N25" s="1039"/>
      <c r="O25" s="1047"/>
      <c r="P25" s="3614"/>
      <c r="Q25" s="1529">
        <f>B25</f>
        <v>111</v>
      </c>
      <c r="R25" s="709" t="s">
        <v>17</v>
      </c>
      <c r="S25" s="710">
        <f>F25</f>
        <v>100</v>
      </c>
      <c r="T25" s="709" t="s">
        <v>17</v>
      </c>
      <c r="U25" s="710">
        <f>H25</f>
        <v>100</v>
      </c>
      <c r="V25" s="709" t="s">
        <v>17</v>
      </c>
      <c r="W25" s="710">
        <f>J25</f>
        <v>100</v>
      </c>
      <c r="X25" s="1532"/>
      <c r="Y25" s="3614"/>
      <c r="Z25" s="1533">
        <f>Q25</f>
        <v>111</v>
      </c>
      <c r="AA25" s="1530">
        <f t="shared" si="3"/>
        <v>1</v>
      </c>
      <c r="AB25" s="1530">
        <f t="shared" si="4"/>
        <v>1</v>
      </c>
      <c r="AC25" s="1530">
        <f t="shared" si="5"/>
        <v>1</v>
      </c>
    </row>
    <row r="26" spans="1:29" ht="15">
      <c r="A26" s="382"/>
      <c r="B26" s="1289">
        <v>111</v>
      </c>
      <c r="C26" s="388">
        <v>111</v>
      </c>
      <c r="D26" s="389">
        <v>100</v>
      </c>
      <c r="E26" s="388"/>
      <c r="F26" s="415">
        <f>SUMIF(82:82,E26,83:83)-SUMIF(82:82,C26,83:83)+100</f>
        <v>100</v>
      </c>
      <c r="G26" s="388"/>
      <c r="H26" s="389">
        <f>SUMIF(82:82,G26,83:83)-SUMIF(82:82,C26,83:83)+100</f>
        <v>100</v>
      </c>
      <c r="I26" s="388"/>
      <c r="J26" s="389">
        <f>SUMIF(82:82,I26,83:83)-SUMIF(82:82,C26,83:83)+100</f>
        <v>100</v>
      </c>
      <c r="K26" s="565"/>
      <c r="L26" s="1048"/>
      <c r="M26" s="1039"/>
      <c r="N26" s="1039"/>
      <c r="O26" s="1047"/>
      <c r="P26" s="3614"/>
      <c r="Q26" s="1529">
        <f t="shared" ref="Q26:Q40" si="11">B26</f>
        <v>111</v>
      </c>
      <c r="R26" s="709" t="s">
        <v>17</v>
      </c>
      <c r="S26" s="710">
        <f>F26</f>
        <v>100</v>
      </c>
      <c r="T26" s="709" t="s">
        <v>17</v>
      </c>
      <c r="U26" s="710">
        <f>H26</f>
        <v>100</v>
      </c>
      <c r="V26" s="709" t="s">
        <v>17</v>
      </c>
      <c r="W26" s="710">
        <f>J26</f>
        <v>100</v>
      </c>
      <c r="X26" s="1532"/>
      <c r="Y26" s="3614"/>
      <c r="Z26" s="1533">
        <f>Q26</f>
        <v>111</v>
      </c>
      <c r="AA26" s="1530">
        <f t="shared" si="3"/>
        <v>1</v>
      </c>
      <c r="AB26" s="1530">
        <f t="shared" si="4"/>
        <v>1</v>
      </c>
      <c r="AC26" s="1530">
        <f t="shared" si="5"/>
        <v>1</v>
      </c>
    </row>
    <row r="27" spans="1:29" s="108" customFormat="1" ht="15">
      <c r="A27" s="385"/>
      <c r="B27" s="1289">
        <v>111</v>
      </c>
      <c r="C27" s="388">
        <v>111</v>
      </c>
      <c r="D27" s="416">
        <v>100</v>
      </c>
      <c r="E27" s="388"/>
      <c r="F27" s="418">
        <f>SUMIF(84:84,E27,85:85)-SUMIF(84:84,C27,85:85)+100</f>
        <v>100</v>
      </c>
      <c r="G27" s="388"/>
      <c r="H27" s="416">
        <f>SUMIF(84:84,G27,85:85)-SUMIF(84:84,C27,85:85)+100</f>
        <v>100</v>
      </c>
      <c r="I27" s="388"/>
      <c r="J27" s="416">
        <f>SUMIF(84:84,I27,85:85)-SUMIF(84:84,C27,85:85)+100</f>
        <v>100</v>
      </c>
      <c r="K27" s="565"/>
      <c r="L27" s="1040"/>
      <c r="M27" s="1041"/>
      <c r="N27" s="1041"/>
      <c r="O27" s="1042"/>
      <c r="P27" s="3614"/>
      <c r="Q27" s="1520">
        <f t="shared" si="11"/>
        <v>111</v>
      </c>
      <c r="R27" s="705" t="s">
        <v>17</v>
      </c>
      <c r="S27" s="706">
        <f>F27</f>
        <v>100</v>
      </c>
      <c r="T27" s="705" t="s">
        <v>17</v>
      </c>
      <c r="U27" s="706">
        <f>H27</f>
        <v>100</v>
      </c>
      <c r="V27" s="705" t="s">
        <v>17</v>
      </c>
      <c r="W27" s="706">
        <f>J27</f>
        <v>100</v>
      </c>
      <c r="X27" s="707"/>
      <c r="Y27" s="3614"/>
      <c r="Z27" s="53">
        <f>Q27</f>
        <v>111</v>
      </c>
      <c r="AA27" s="1530">
        <f>D27/F27</f>
        <v>1</v>
      </c>
      <c r="AB27" s="1530">
        <f>D27/H27</f>
        <v>1</v>
      </c>
      <c r="AC27" s="1530">
        <f>D27/J27</f>
        <v>1</v>
      </c>
    </row>
    <row r="28" spans="1:29" ht="15.75" thickBot="1">
      <c r="A28" s="390"/>
      <c r="B28" s="1289">
        <v>111</v>
      </c>
      <c r="C28" s="391">
        <v>111</v>
      </c>
      <c r="D28" s="392">
        <v>100</v>
      </c>
      <c r="E28" s="388"/>
      <c r="F28" s="393">
        <f>SUMIF(86:86,E28,87:87)-SUMIF(86:86,C28,87:87)+100</f>
        <v>100</v>
      </c>
      <c r="G28" s="423"/>
      <c r="H28" s="392">
        <f>SUMIF(86:86,G28,87:87)-SUMIF(86:86,C28,87:87)+100</f>
        <v>100</v>
      </c>
      <c r="I28" s="423"/>
      <c r="J28" s="392">
        <f>SUMIF(86:86,I28,87:87)-SUMIF(86:86,C28,87:87)+100</f>
        <v>100</v>
      </c>
      <c r="K28" s="565"/>
      <c r="L28" s="1048"/>
      <c r="M28" s="1039"/>
      <c r="N28" s="1039"/>
      <c r="O28" s="1047"/>
      <c r="P28" s="3614"/>
      <c r="Q28" s="1529">
        <f t="shared" si="11"/>
        <v>111</v>
      </c>
      <c r="R28" s="709" t="s">
        <v>17</v>
      </c>
      <c r="S28" s="710">
        <f t="shared" ref="S28:S40" si="12">F28</f>
        <v>100</v>
      </c>
      <c r="T28" s="709" t="s">
        <v>17</v>
      </c>
      <c r="U28" s="710">
        <f t="shared" ref="U28:U40" si="13">H28</f>
        <v>100</v>
      </c>
      <c r="V28" s="709" t="s">
        <v>17</v>
      </c>
      <c r="W28" s="710">
        <f t="shared" ref="W28:W40" si="14">J28</f>
        <v>100</v>
      </c>
      <c r="X28" s="1532"/>
      <c r="Y28" s="3614"/>
      <c r="Z28" s="1533">
        <f t="shared" ref="Z28:Z40" si="15">Q28</f>
        <v>111</v>
      </c>
      <c r="AA28" s="1530">
        <f t="shared" si="3"/>
        <v>1</v>
      </c>
      <c r="AB28" s="1530">
        <f t="shared" si="4"/>
        <v>1</v>
      </c>
      <c r="AC28" s="1530">
        <f t="shared" si="5"/>
        <v>1</v>
      </c>
    </row>
    <row r="29" spans="1:29" ht="28.5">
      <c r="A29" s="420" t="s">
        <v>2380</v>
      </c>
      <c r="B29" s="63" t="s">
        <v>2510</v>
      </c>
      <c r="C29" s="2145"/>
      <c r="D29" s="421">
        <v>100</v>
      </c>
      <c r="E29" s="2145"/>
      <c r="F29" s="415">
        <f>SUMIF(88:88,E29,89:89)-SUMIF(88:88,C29,89:89)+100</f>
        <v>100</v>
      </c>
      <c r="G29" s="2145"/>
      <c r="H29" s="389">
        <f>SUMIF(88:88,G29,89:89)-SUMIF(88:88,C29,89:89)+100</f>
        <v>100</v>
      </c>
      <c r="I29" s="2145"/>
      <c r="J29" s="421">
        <f>SUMIF(88:88,I29,89:89)-SUMIF(88:88,C29,89:89)+100</f>
        <v>100</v>
      </c>
      <c r="K29" s="564"/>
      <c r="L29" s="1048"/>
      <c r="M29" s="1039"/>
      <c r="N29" s="1039"/>
      <c r="O29" s="1047"/>
      <c r="P29" s="3615" t="s">
        <v>2382</v>
      </c>
      <c r="Q29" s="1529" t="str">
        <f t="shared" si="11"/>
        <v>建筑类型</v>
      </c>
      <c r="R29" s="709" t="s">
        <v>17</v>
      </c>
      <c r="S29" s="710">
        <f t="shared" si="12"/>
        <v>100</v>
      </c>
      <c r="T29" s="709" t="s">
        <v>17</v>
      </c>
      <c r="U29" s="710">
        <f t="shared" si="13"/>
        <v>100</v>
      </c>
      <c r="V29" s="709" t="s">
        <v>17</v>
      </c>
      <c r="W29" s="710">
        <f t="shared" si="14"/>
        <v>100</v>
      </c>
      <c r="X29" s="1532"/>
      <c r="Y29" s="3616" t="s">
        <v>2382</v>
      </c>
      <c r="Z29" s="1533" t="str">
        <f t="shared" si="15"/>
        <v>建筑类型</v>
      </c>
      <c r="AA29" s="1530">
        <f t="shared" si="3"/>
        <v>1</v>
      </c>
      <c r="AB29" s="1530">
        <f t="shared" si="4"/>
        <v>1</v>
      </c>
      <c r="AC29" s="1530">
        <f t="shared" si="5"/>
        <v>1</v>
      </c>
    </row>
    <row r="30" spans="1:29" s="425" customFormat="1" ht="15">
      <c r="A30" s="422"/>
      <c r="B30" s="376" t="s">
        <v>2383</v>
      </c>
      <c r="C30" s="423"/>
      <c r="D30" s="127">
        <v>100</v>
      </c>
      <c r="E30" s="384"/>
      <c r="F30" s="379" t="e">
        <f>LOOKUP(E30,91:91,92:92)-LOOKUP(C30,91:91,92:92)+100</f>
        <v>#N/A</v>
      </c>
      <c r="G30" s="383"/>
      <c r="H30" s="127" t="e">
        <f>LOOKUP(G30,91:91,92:92)-LOOKUP(C30,91:91,92:92)+100</f>
        <v>#N/A</v>
      </c>
      <c r="I30" s="383"/>
      <c r="J30" s="127" t="e">
        <f>LOOKUP(I30,91:91,92:92)-LOOKUP(C30,91:91,92:92)+100</f>
        <v>#N/A</v>
      </c>
      <c r="K30" s="565"/>
      <c r="L30" s="1046"/>
      <c r="M30" s="1049"/>
      <c r="N30" s="1049"/>
      <c r="O30" s="1050"/>
      <c r="P30" s="3616"/>
      <c r="Q30" s="711" t="str">
        <f t="shared" si="11"/>
        <v>项目建筑规模</v>
      </c>
      <c r="R30" s="712" t="s">
        <v>17</v>
      </c>
      <c r="S30" s="713" t="e">
        <f t="shared" si="12"/>
        <v>#N/A</v>
      </c>
      <c r="T30" s="712" t="s">
        <v>17</v>
      </c>
      <c r="U30" s="713" t="e">
        <f t="shared" si="13"/>
        <v>#N/A</v>
      </c>
      <c r="V30" s="712" t="s">
        <v>17</v>
      </c>
      <c r="W30" s="713" t="e">
        <f t="shared" si="14"/>
        <v>#N/A</v>
      </c>
      <c r="X30" s="714"/>
      <c r="Y30" s="3616"/>
      <c r="Z30" s="715" t="str">
        <f t="shared" si="15"/>
        <v>项目建筑规模</v>
      </c>
      <c r="AA30" s="1530" t="e">
        <f t="shared" si="3"/>
        <v>#N/A</v>
      </c>
      <c r="AB30" s="1530" t="e">
        <f t="shared" si="4"/>
        <v>#N/A</v>
      </c>
      <c r="AC30" s="1530" t="e">
        <f t="shared" si="5"/>
        <v>#N/A</v>
      </c>
    </row>
    <row r="31" spans="1:29" ht="15">
      <c r="A31" s="426"/>
      <c r="B31" s="376" t="s">
        <v>2384</v>
      </c>
      <c r="C31" s="414"/>
      <c r="D31" s="389">
        <v>100</v>
      </c>
      <c r="E31" s="414"/>
      <c r="F31" s="415">
        <f>SUMIF(93:93,E31,94:94)-SUMIF(93:93,C31,94:94)+100</f>
        <v>100</v>
      </c>
      <c r="G31" s="414"/>
      <c r="H31" s="389">
        <f>SUMIF(93:93,G31,94:94)-SUMIF(93:93,C31,94:94)+100</f>
        <v>100</v>
      </c>
      <c r="I31" s="414"/>
      <c r="J31" s="389">
        <f>SUMIF(93:93,I31,94:94)-SUMIF(93:93,C31,94:94)+100</f>
        <v>100</v>
      </c>
      <c r="K31" s="564"/>
      <c r="L31" s="1048"/>
      <c r="M31" s="1039"/>
      <c r="N31" s="1039"/>
      <c r="O31" s="1047"/>
      <c r="P31" s="3616"/>
      <c r="Q31" s="1529" t="str">
        <f t="shared" si="11"/>
        <v>建筑结构</v>
      </c>
      <c r="R31" s="709" t="s">
        <v>17</v>
      </c>
      <c r="S31" s="710">
        <f t="shared" si="12"/>
        <v>100</v>
      </c>
      <c r="T31" s="709" t="s">
        <v>17</v>
      </c>
      <c r="U31" s="710">
        <f t="shared" si="13"/>
        <v>100</v>
      </c>
      <c r="V31" s="709" t="s">
        <v>17</v>
      </c>
      <c r="W31" s="710">
        <f t="shared" si="14"/>
        <v>100</v>
      </c>
      <c r="X31" s="1532"/>
      <c r="Y31" s="3616"/>
      <c r="Z31" s="1533" t="str">
        <f t="shared" si="15"/>
        <v>建筑结构</v>
      </c>
      <c r="AA31" s="1530">
        <f t="shared" si="3"/>
        <v>1</v>
      </c>
      <c r="AB31" s="1530">
        <f t="shared" si="4"/>
        <v>1</v>
      </c>
      <c r="AC31" s="1530">
        <f t="shared" si="5"/>
        <v>1</v>
      </c>
    </row>
    <row r="32" spans="1:29" ht="15">
      <c r="A32" s="426"/>
      <c r="B32" s="376" t="s">
        <v>2478</v>
      </c>
      <c r="C32" s="414"/>
      <c r="D32" s="389">
        <v>100</v>
      </c>
      <c r="E32" s="414"/>
      <c r="F32" s="415">
        <f>SUMIF(95:95,E32,96:96)-SUMIF(95:95,C32,96:96)+100</f>
        <v>100</v>
      </c>
      <c r="G32" s="414"/>
      <c r="H32" s="389">
        <f>SUMIF(95:95,G32,96:96)-SUMIF(95:95,C32,96:96)+100</f>
        <v>100</v>
      </c>
      <c r="I32" s="414"/>
      <c r="J32" s="389">
        <f>SUMIF(95:95,I32,96:96)-SUMIF(95:95,C32,96:96)+100</f>
        <v>100</v>
      </c>
      <c r="K32" s="564"/>
      <c r="L32" s="1048"/>
      <c r="M32" s="1039"/>
      <c r="N32" s="1039"/>
      <c r="O32" s="1047"/>
      <c r="P32" s="3616"/>
      <c r="Q32" s="1529" t="str">
        <f t="shared" si="11"/>
        <v>公共部分装修</v>
      </c>
      <c r="R32" s="709" t="s">
        <v>17</v>
      </c>
      <c r="S32" s="710">
        <f t="shared" si="12"/>
        <v>100</v>
      </c>
      <c r="T32" s="709" t="s">
        <v>17</v>
      </c>
      <c r="U32" s="710">
        <f t="shared" si="13"/>
        <v>100</v>
      </c>
      <c r="V32" s="709" t="s">
        <v>17</v>
      </c>
      <c r="W32" s="710">
        <f t="shared" si="14"/>
        <v>100</v>
      </c>
      <c r="X32" s="1532"/>
      <c r="Y32" s="3616"/>
      <c r="Z32" s="1533" t="str">
        <f t="shared" si="15"/>
        <v>公共部分装修</v>
      </c>
      <c r="AA32" s="1530">
        <f t="shared" si="3"/>
        <v>1</v>
      </c>
      <c r="AB32" s="1530">
        <f t="shared" si="4"/>
        <v>1</v>
      </c>
      <c r="AC32" s="1530">
        <f t="shared" si="5"/>
        <v>1</v>
      </c>
    </row>
    <row r="33" spans="1:29" ht="15">
      <c r="A33" s="426"/>
      <c r="B33" s="376" t="s">
        <v>2479</v>
      </c>
      <c r="C33" s="423"/>
      <c r="D33" s="389">
        <v>100</v>
      </c>
      <c r="E33" s="428"/>
      <c r="F33" s="415" t="e">
        <f>LOOKUP(E33,98:98,99:99)-LOOKUP(C33,98:98,99:99)+100</f>
        <v>#N/A</v>
      </c>
      <c r="G33" s="428"/>
      <c r="H33" s="415" t="e">
        <f>LOOKUP(G33,98:98,99:99)-LOOKUP(C33,98:98,99:99)+100</f>
        <v>#N/A</v>
      </c>
      <c r="I33" s="428"/>
      <c r="J33" s="389" t="e">
        <f>LOOKUP(I33,98:98,99:99)-LOOKUP(C33,98:98,99:99)+100</f>
        <v>#N/A</v>
      </c>
      <c r="K33" s="564"/>
      <c r="L33" s="1048"/>
      <c r="M33" s="1039"/>
      <c r="N33" s="1039"/>
      <c r="O33" s="1047"/>
      <c r="P33" s="3616"/>
      <c r="Q33" s="1529" t="str">
        <f t="shared" si="11"/>
        <v>成新度</v>
      </c>
      <c r="R33" s="709" t="s">
        <v>17</v>
      </c>
      <c r="S33" s="710" t="e">
        <f t="shared" si="12"/>
        <v>#N/A</v>
      </c>
      <c r="T33" s="709" t="s">
        <v>17</v>
      </c>
      <c r="U33" s="710" t="e">
        <f t="shared" si="13"/>
        <v>#N/A</v>
      </c>
      <c r="V33" s="709" t="s">
        <v>17</v>
      </c>
      <c r="W33" s="710" t="e">
        <f t="shared" si="14"/>
        <v>#N/A</v>
      </c>
      <c r="X33" s="1532"/>
      <c r="Y33" s="3616"/>
      <c r="Z33" s="1533" t="str">
        <f t="shared" si="15"/>
        <v>成新度</v>
      </c>
      <c r="AA33" s="1530" t="e">
        <f t="shared" si="3"/>
        <v>#N/A</v>
      </c>
      <c r="AB33" s="1530" t="e">
        <f t="shared" si="4"/>
        <v>#N/A</v>
      </c>
      <c r="AC33" s="1530" t="e">
        <f t="shared" si="5"/>
        <v>#N/A</v>
      </c>
    </row>
    <row r="34" spans="1:29" s="108" customFormat="1" ht="15">
      <c r="A34" s="427"/>
      <c r="B34" s="376" t="s">
        <v>2512</v>
      </c>
      <c r="C34" s="414"/>
      <c r="D34" s="127">
        <v>100</v>
      </c>
      <c r="E34" s="414"/>
      <c r="F34" s="415">
        <f>SUMIF(100:100,E34,101:101)-SUMIF(100:100,C34,101:101)+100</f>
        <v>100</v>
      </c>
      <c r="G34" s="414"/>
      <c r="H34" s="389">
        <f>SUMIF(100:100,G34,101:101)-SUMIF(100:100,C34,101:101)+100</f>
        <v>100</v>
      </c>
      <c r="I34" s="414"/>
      <c r="J34" s="389">
        <f>SUMIF(100:100,I34,101:101)-SUMIF(100:100,C34,101:101)+100</f>
        <v>100</v>
      </c>
      <c r="K34" s="564"/>
      <c r="L34" s="1040"/>
      <c r="M34" s="1041"/>
      <c r="N34" s="1041"/>
      <c r="O34" s="1042"/>
      <c r="P34" s="3616"/>
      <c r="Q34" s="1520" t="str">
        <f t="shared" si="11"/>
        <v>物业管理</v>
      </c>
      <c r="R34" s="705" t="s">
        <v>17</v>
      </c>
      <c r="S34" s="706">
        <f t="shared" si="12"/>
        <v>100</v>
      </c>
      <c r="T34" s="705" t="s">
        <v>17</v>
      </c>
      <c r="U34" s="706">
        <f t="shared" si="13"/>
        <v>100</v>
      </c>
      <c r="V34" s="705" t="s">
        <v>17</v>
      </c>
      <c r="W34" s="706">
        <f t="shared" si="14"/>
        <v>100</v>
      </c>
      <c r="X34" s="707"/>
      <c r="Y34" s="3616"/>
      <c r="Z34" s="53" t="str">
        <f t="shared" si="15"/>
        <v>物业管理</v>
      </c>
      <c r="AA34" s="708">
        <f t="shared" si="3"/>
        <v>1</v>
      </c>
      <c r="AB34" s="708">
        <f t="shared" si="4"/>
        <v>1</v>
      </c>
      <c r="AC34" s="708">
        <f t="shared" si="5"/>
        <v>1</v>
      </c>
    </row>
    <row r="35" spans="1:29" ht="15">
      <c r="A35" s="426"/>
      <c r="B35" s="376" t="s">
        <v>2480</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1048"/>
      <c r="M35" s="1039"/>
      <c r="N35" s="1039"/>
      <c r="O35" s="1047"/>
      <c r="P35" s="3616" t="s">
        <v>2382</v>
      </c>
      <c r="Q35" s="1529" t="str">
        <f t="shared" si="11"/>
        <v>市政基础设施</v>
      </c>
      <c r="R35" s="709" t="s">
        <v>17</v>
      </c>
      <c r="S35" s="710">
        <f t="shared" si="12"/>
        <v>100</v>
      </c>
      <c r="T35" s="709" t="s">
        <v>17</v>
      </c>
      <c r="U35" s="710">
        <f t="shared" si="13"/>
        <v>100</v>
      </c>
      <c r="V35" s="709" t="s">
        <v>17</v>
      </c>
      <c r="W35" s="710">
        <f t="shared" si="14"/>
        <v>100</v>
      </c>
      <c r="X35" s="1532"/>
      <c r="Y35" s="3616" t="s">
        <v>2382</v>
      </c>
      <c r="Z35" s="1533" t="str">
        <f t="shared" si="15"/>
        <v>市政基础设施</v>
      </c>
      <c r="AA35" s="1530">
        <f t="shared" si="3"/>
        <v>1</v>
      </c>
      <c r="AB35" s="1530">
        <f t="shared" si="4"/>
        <v>1</v>
      </c>
      <c r="AC35" s="1530">
        <f t="shared" si="5"/>
        <v>1</v>
      </c>
    </row>
    <row r="36" spans="1:29" ht="15">
      <c r="A36" s="426"/>
      <c r="B36" s="376" t="s">
        <v>2485</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1048"/>
      <c r="M36" s="1039"/>
      <c r="N36" s="1039"/>
      <c r="O36" s="1047"/>
      <c r="P36" s="3616"/>
      <c r="Q36" s="1529" t="str">
        <f t="shared" si="11"/>
        <v>内部装修</v>
      </c>
      <c r="R36" s="709" t="s">
        <v>17</v>
      </c>
      <c r="S36" s="710">
        <f t="shared" si="12"/>
        <v>100</v>
      </c>
      <c r="T36" s="709" t="s">
        <v>17</v>
      </c>
      <c r="U36" s="710">
        <f t="shared" si="13"/>
        <v>100</v>
      </c>
      <c r="V36" s="709" t="s">
        <v>17</v>
      </c>
      <c r="W36" s="710">
        <f t="shared" si="14"/>
        <v>100</v>
      </c>
      <c r="X36" s="1532"/>
      <c r="Y36" s="3616"/>
      <c r="Z36" s="1533" t="str">
        <f t="shared" si="15"/>
        <v>内部装修</v>
      </c>
      <c r="AA36" s="1530">
        <f t="shared" si="3"/>
        <v>1</v>
      </c>
      <c r="AB36" s="1530">
        <f t="shared" si="4"/>
        <v>1</v>
      </c>
      <c r="AC36" s="1530">
        <f t="shared" si="5"/>
        <v>1</v>
      </c>
    </row>
    <row r="37" spans="1:29" ht="15">
      <c r="A37" s="426"/>
      <c r="B37" s="376" t="s">
        <v>2521</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1048"/>
      <c r="M37" s="1039"/>
      <c r="N37" s="1039"/>
      <c r="O37" s="1047"/>
      <c r="P37" s="3616"/>
      <c r="Q37" s="1529" t="str">
        <f t="shared" si="11"/>
        <v>内部装修状况</v>
      </c>
      <c r="R37" s="709" t="s">
        <v>17</v>
      </c>
      <c r="S37" s="710">
        <f t="shared" si="12"/>
        <v>100</v>
      </c>
      <c r="T37" s="709" t="s">
        <v>17</v>
      </c>
      <c r="U37" s="710">
        <f t="shared" si="13"/>
        <v>100</v>
      </c>
      <c r="V37" s="709" t="s">
        <v>17</v>
      </c>
      <c r="W37" s="710">
        <f t="shared" si="14"/>
        <v>100</v>
      </c>
      <c r="X37" s="1532"/>
      <c r="Y37" s="3616"/>
      <c r="Z37" s="1533" t="str">
        <f t="shared" si="15"/>
        <v>内部装修状况</v>
      </c>
      <c r="AA37" s="1530">
        <f t="shared" si="3"/>
        <v>1</v>
      </c>
      <c r="AB37" s="1530">
        <f t="shared" si="4"/>
        <v>1</v>
      </c>
      <c r="AC37" s="1530">
        <f t="shared" si="5"/>
        <v>1</v>
      </c>
    </row>
    <row r="38" spans="1:29" s="425" customFormat="1" ht="15">
      <c r="A38" s="422"/>
      <c r="B38" s="1289">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1046"/>
      <c r="M38" s="1049"/>
      <c r="N38" s="1049"/>
      <c r="O38" s="1050"/>
      <c r="P38" s="3616"/>
      <c r="Q38" s="711">
        <f t="shared" si="11"/>
        <v>111</v>
      </c>
      <c r="R38" s="712" t="s">
        <v>17</v>
      </c>
      <c r="S38" s="713">
        <f t="shared" si="12"/>
        <v>100</v>
      </c>
      <c r="T38" s="712" t="s">
        <v>17</v>
      </c>
      <c r="U38" s="713">
        <f t="shared" si="13"/>
        <v>100</v>
      </c>
      <c r="V38" s="712" t="s">
        <v>17</v>
      </c>
      <c r="W38" s="713">
        <f t="shared" si="14"/>
        <v>100</v>
      </c>
      <c r="X38" s="714"/>
      <c r="Y38" s="3616"/>
      <c r="Z38" s="715">
        <f t="shared" si="15"/>
        <v>111</v>
      </c>
      <c r="AA38" s="1530">
        <f t="shared" si="3"/>
        <v>1</v>
      </c>
      <c r="AB38" s="1530">
        <f t="shared" si="4"/>
        <v>1</v>
      </c>
      <c r="AC38" s="1530">
        <f t="shared" si="5"/>
        <v>1</v>
      </c>
    </row>
    <row r="39" spans="1:29" ht="15">
      <c r="A39" s="426"/>
      <c r="B39" s="1289">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1048"/>
      <c r="M39" s="1039"/>
      <c r="N39" s="1039"/>
      <c r="O39" s="1047"/>
      <c r="P39" s="3616"/>
      <c r="Q39" s="1529">
        <f t="shared" si="11"/>
        <v>111</v>
      </c>
      <c r="R39" s="709" t="s">
        <v>17</v>
      </c>
      <c r="S39" s="710">
        <f t="shared" si="12"/>
        <v>100</v>
      </c>
      <c r="T39" s="709" t="s">
        <v>17</v>
      </c>
      <c r="U39" s="710">
        <f t="shared" si="13"/>
        <v>100</v>
      </c>
      <c r="V39" s="709" t="s">
        <v>17</v>
      </c>
      <c r="W39" s="710">
        <f t="shared" si="14"/>
        <v>100</v>
      </c>
      <c r="X39" s="1532"/>
      <c r="Y39" s="3616"/>
      <c r="Z39" s="1533">
        <f t="shared" si="15"/>
        <v>111</v>
      </c>
      <c r="AA39" s="1530">
        <f t="shared" si="3"/>
        <v>1</v>
      </c>
      <c r="AB39" s="1530">
        <f t="shared" si="4"/>
        <v>1</v>
      </c>
      <c r="AC39" s="1530">
        <f t="shared" si="5"/>
        <v>1</v>
      </c>
    </row>
    <row r="40" spans="1:29" ht="15.75" thickBot="1">
      <c r="A40" s="432"/>
      <c r="B40" s="2073">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1048"/>
      <c r="M40" s="1039"/>
      <c r="N40" s="1039"/>
      <c r="O40" s="1047"/>
      <c r="P40" s="3637"/>
      <c r="Q40" s="1529">
        <f t="shared" si="11"/>
        <v>111</v>
      </c>
      <c r="R40" s="709" t="s">
        <v>17</v>
      </c>
      <c r="S40" s="710">
        <f t="shared" si="12"/>
        <v>100</v>
      </c>
      <c r="T40" s="709" t="s">
        <v>17</v>
      </c>
      <c r="U40" s="710">
        <f t="shared" si="13"/>
        <v>100</v>
      </c>
      <c r="V40" s="709" t="s">
        <v>17</v>
      </c>
      <c r="W40" s="710">
        <f t="shared" si="14"/>
        <v>100</v>
      </c>
      <c r="X40" s="1532"/>
      <c r="Y40" s="3637"/>
      <c r="Z40" s="1533">
        <f t="shared" si="15"/>
        <v>111</v>
      </c>
      <c r="AA40" s="1530">
        <f t="shared" si="3"/>
        <v>1</v>
      </c>
      <c r="AB40" s="1530">
        <f t="shared" si="4"/>
        <v>1</v>
      </c>
      <c r="AC40" s="1530">
        <f t="shared" si="5"/>
        <v>1</v>
      </c>
    </row>
    <row r="41" spans="1:29" ht="15">
      <c r="A41" s="433" t="s">
        <v>2394</v>
      </c>
      <c r="B41" s="434"/>
      <c r="C41" s="1310" t="s">
        <v>1</v>
      </c>
      <c r="D41" s="1311"/>
      <c r="E41" s="1312"/>
      <c r="F41" s="1313"/>
      <c r="G41" s="1314"/>
      <c r="H41" s="1315"/>
      <c r="I41" s="1312"/>
      <c r="J41" s="1315"/>
      <c r="K41" s="718"/>
      <c r="L41" s="1051"/>
      <c r="M41" s="1052"/>
      <c r="N41" s="1039"/>
      <c r="O41" s="1052"/>
      <c r="P41" s="3598" t="str">
        <f>A41</f>
        <v>成交单价（元/平方米）</v>
      </c>
      <c r="Q41" s="3598"/>
      <c r="R41" s="3633">
        <f>E41</f>
        <v>0</v>
      </c>
      <c r="S41" s="3633"/>
      <c r="T41" s="3633">
        <f>G41</f>
        <v>0</v>
      </c>
      <c r="U41" s="3633"/>
      <c r="V41" s="3633">
        <f>I41</f>
        <v>0</v>
      </c>
      <c r="W41" s="3633"/>
      <c r="X41" s="694"/>
      <c r="Y41" s="716"/>
      <c r="Z41" s="694"/>
      <c r="AA41" s="694"/>
      <c r="AB41" s="694"/>
      <c r="AC41" s="694"/>
    </row>
    <row r="42" spans="1:29" ht="15.75" thickBot="1">
      <c r="A42" s="440" t="s">
        <v>2486</v>
      </c>
      <c r="B42" s="441"/>
      <c r="C42" s="1316" t="e">
        <f>R43</f>
        <v>#DIV/0!</v>
      </c>
      <c r="D42" s="2530" t="s">
        <v>2877</v>
      </c>
      <c r="E42" s="1317" t="e">
        <f>R42</f>
        <v>#DIV/0!</v>
      </c>
      <c r="F42" s="2531"/>
      <c r="G42" s="1316" t="e">
        <f>T42</f>
        <v>#DIV/0!</v>
      </c>
      <c r="H42" s="2531"/>
      <c r="I42" s="1317" t="e">
        <f>V42</f>
        <v>#DIV/0!</v>
      </c>
      <c r="J42" s="2531"/>
      <c r="K42" s="2533">
        <f>F42+H42+J42</f>
        <v>0</v>
      </c>
      <c r="L42" s="1051"/>
      <c r="M42" s="1052"/>
      <c r="N42" s="1039"/>
      <c r="O42" s="1052"/>
      <c r="P42" s="3598" t="str">
        <f>A42</f>
        <v>比较价值（元/平方米）</v>
      </c>
      <c r="Q42" s="3598"/>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694"/>
      <c r="Y42" s="694"/>
      <c r="Z42" s="694"/>
      <c r="AA42" s="694"/>
      <c r="AB42" s="694"/>
      <c r="AC42" s="694"/>
    </row>
    <row r="43" spans="1:29" ht="15.75" thickBot="1">
      <c r="A43" s="444" t="s">
        <v>2487</v>
      </c>
      <c r="B43" s="445"/>
      <c r="C43" s="1319" t="e">
        <f>R43</f>
        <v>#DIV/0!</v>
      </c>
      <c r="D43" s="1319"/>
      <c r="E43" s="1319"/>
      <c r="F43" s="1319"/>
      <c r="G43" s="1319"/>
      <c r="H43" s="1319"/>
      <c r="I43" s="1319"/>
      <c r="J43" s="1319"/>
      <c r="K43" s="719"/>
      <c r="L43" s="1051"/>
      <c r="M43" s="1052"/>
      <c r="N43" s="1052"/>
      <c r="O43" s="1052"/>
      <c r="P43" s="3618" t="str">
        <f>A43</f>
        <v>估价对象XX用房的比较价值（楼面单价，元/平方米）</v>
      </c>
      <c r="Q43" s="3619"/>
      <c r="R43" s="3632" t="e">
        <f>IF(F1="售价",ROUND(IF(D42="简单平均",AVERAGE(R42:V42),R42*F42+T42*H42+V42*J42),0),ROUND(IF(D42="简单平均",AVERAGE(R42:V42),R42*F42+T42*H42+V42*J42),1))</f>
        <v>#DIV/0!</v>
      </c>
      <c r="S43" s="3632"/>
      <c r="T43" s="3632"/>
      <c r="U43" s="3632"/>
      <c r="V43" s="3632"/>
      <c r="W43" s="3632"/>
      <c r="X43" s="694"/>
      <c r="Y43" s="694"/>
      <c r="Z43" s="694"/>
      <c r="AA43" s="694"/>
      <c r="AB43" s="694"/>
      <c r="AC43" s="694"/>
    </row>
    <row r="44" spans="1:29">
      <c r="A44" s="2942"/>
      <c r="B44" s="2942"/>
      <c r="C44" s="2942"/>
      <c r="D44" s="2942"/>
      <c r="E44" s="2942"/>
      <c r="F44" s="2942"/>
      <c r="G44" s="2946"/>
      <c r="H44" s="2942"/>
      <c r="I44" s="2942"/>
      <c r="J44" s="2942"/>
      <c r="K44" s="2947"/>
      <c r="L44" s="1014"/>
      <c r="M44" s="1052"/>
      <c r="N44" s="1052"/>
      <c r="O44" s="1052"/>
    </row>
    <row r="45" spans="1:29">
      <c r="A45" s="2942"/>
      <c r="B45" s="2942"/>
      <c r="C45" s="2942"/>
      <c r="D45" s="2942"/>
      <c r="E45" s="2942"/>
      <c r="F45" s="2942"/>
      <c r="G45" s="2942"/>
      <c r="H45" s="2942"/>
      <c r="I45" s="2942"/>
      <c r="J45" s="2942"/>
      <c r="K45" s="2947"/>
      <c r="L45" s="1014"/>
      <c r="M45" s="1052"/>
      <c r="N45" s="1052"/>
      <c r="O45" s="1052"/>
    </row>
    <row r="46" spans="1:29" ht="13.5" customHeight="1">
      <c r="A46" s="2942"/>
      <c r="B46" s="2942"/>
      <c r="C46" s="449" t="s">
        <v>2488</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47"/>
      <c r="L46" s="1014"/>
      <c r="M46" s="1052"/>
      <c r="N46" s="1052"/>
      <c r="O46" s="1052"/>
    </row>
    <row r="47" spans="1:29" ht="13.5" customHeight="1">
      <c r="A47" s="2942"/>
      <c r="B47" s="2942"/>
      <c r="C47" s="449" t="s">
        <v>2489</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47"/>
      <c r="L47" s="1014"/>
      <c r="M47" s="1052"/>
      <c r="N47" s="1052"/>
      <c r="O47" s="1052"/>
    </row>
    <row r="48" spans="1:29" s="454" customFormat="1" ht="13.5" customHeight="1">
      <c r="A48" s="2945"/>
      <c r="B48" s="2945"/>
      <c r="C48" s="449" t="s">
        <v>2490</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50"/>
      <c r="L48" s="1055"/>
      <c r="M48" s="1053"/>
      <c r="N48" s="1053"/>
      <c r="O48" s="1053"/>
    </row>
    <row r="49" spans="1:17" s="454" customFormat="1">
      <c r="A49" s="2945"/>
      <c r="B49" s="2948"/>
      <c r="C49" s="2949"/>
      <c r="D49" s="2945"/>
      <c r="E49" s="2945"/>
      <c r="F49" s="2945"/>
      <c r="G49" s="2945"/>
      <c r="H49" s="2945"/>
      <c r="I49" s="2945"/>
      <c r="J49" s="2945"/>
      <c r="K49" s="2950"/>
      <c r="L49" s="1055"/>
      <c r="M49" s="1053"/>
      <c r="N49" s="1053"/>
      <c r="O49" s="1053"/>
    </row>
    <row r="50" spans="1:17">
      <c r="A50" s="2942"/>
      <c r="B50" s="2948"/>
      <c r="C50" s="2949"/>
      <c r="D50" s="2942"/>
      <c r="E50" s="2942"/>
      <c r="F50" s="2942"/>
      <c r="G50" s="2942"/>
      <c r="H50" s="2942"/>
      <c r="I50" s="2942"/>
      <c r="J50" s="2942"/>
      <c r="K50" s="2947"/>
      <c r="L50" s="1014"/>
      <c r="M50" s="1052"/>
      <c r="N50" s="1052"/>
      <c r="O50" s="1052"/>
    </row>
    <row r="51" spans="1:17" ht="21.75" thickBot="1">
      <c r="A51" s="698" t="s">
        <v>2491</v>
      </c>
      <c r="B51" s="694"/>
      <c r="C51" s="699"/>
      <c r="D51" s="699"/>
      <c r="E51" s="699"/>
      <c r="F51" s="700"/>
      <c r="G51" s="700"/>
      <c r="H51" s="699"/>
      <c r="I51" s="699"/>
      <c r="J51" s="699"/>
      <c r="K51" s="1066"/>
      <c r="L51" s="1067"/>
      <c r="M51" s="1065"/>
      <c r="N51" s="1065"/>
      <c r="O51" s="1065"/>
      <c r="P51" s="455"/>
      <c r="Q51" s="456"/>
    </row>
    <row r="52" spans="1:17" s="460" customFormat="1" ht="15">
      <c r="A52" s="457" t="s">
        <v>2365</v>
      </c>
      <c r="B52" s="458"/>
      <c r="C52" s="1339" t="str">
        <f>YEAR(C7)&amp;"-"&amp;MONTH(C7)</f>
        <v>2022-1</v>
      </c>
      <c r="D52" s="1340">
        <f>EDATE(C52,-1)</f>
        <v>44531</v>
      </c>
      <c r="E52" s="1340">
        <f t="shared" ref="E52:O52" si="16">EDATE(D52,-1)</f>
        <v>44501</v>
      </c>
      <c r="F52" s="1340">
        <f t="shared" si="16"/>
        <v>44470</v>
      </c>
      <c r="G52" s="1340">
        <f t="shared" si="16"/>
        <v>44440</v>
      </c>
      <c r="H52" s="1340">
        <f t="shared" si="16"/>
        <v>44409</v>
      </c>
      <c r="I52" s="1340">
        <f t="shared" si="16"/>
        <v>44378</v>
      </c>
      <c r="J52" s="1340">
        <f t="shared" si="16"/>
        <v>44348</v>
      </c>
      <c r="K52" s="1340">
        <f t="shared" si="16"/>
        <v>44317</v>
      </c>
      <c r="L52" s="1340">
        <f t="shared" si="16"/>
        <v>44287</v>
      </c>
      <c r="M52" s="1340">
        <f t="shared" si="16"/>
        <v>44256</v>
      </c>
      <c r="N52" s="1340">
        <f t="shared" si="16"/>
        <v>44228</v>
      </c>
      <c r="O52" s="1340">
        <f t="shared" si="16"/>
        <v>44197</v>
      </c>
      <c r="P52" s="459"/>
    </row>
    <row r="53" spans="1:17" s="108" customFormat="1" ht="15">
      <c r="A53" s="461"/>
      <c r="B53" s="462"/>
      <c r="C53" s="1338">
        <v>100</v>
      </c>
      <c r="D53" s="464"/>
      <c r="E53" s="464"/>
      <c r="F53" s="464"/>
      <c r="G53" s="464"/>
      <c r="H53" s="464"/>
      <c r="I53" s="464"/>
      <c r="J53" s="464"/>
      <c r="K53" s="464"/>
      <c r="L53" s="464"/>
      <c r="M53" s="465"/>
      <c r="N53" s="464"/>
      <c r="O53" s="466"/>
      <c r="P53" s="456"/>
    </row>
    <row r="54" spans="1:17" s="108" customFormat="1" ht="15.75" thickBot="1">
      <c r="A54" s="467" t="s">
        <v>2402</v>
      </c>
      <c r="B54" s="468"/>
      <c r="C54" s="469"/>
      <c r="D54" s="470"/>
      <c r="E54" s="470"/>
      <c r="F54" s="470"/>
      <c r="G54" s="470"/>
      <c r="H54" s="470"/>
      <c r="I54" s="470"/>
      <c r="J54" s="470"/>
      <c r="K54" s="470"/>
      <c r="L54" s="470"/>
      <c r="M54" s="471"/>
      <c r="N54" s="2987"/>
      <c r="O54" s="2988"/>
      <c r="P54" s="456"/>
      <c r="Q54" s="456"/>
    </row>
    <row r="55" spans="1:17" s="108" customFormat="1" ht="15">
      <c r="A55" s="473" t="s">
        <v>2367</v>
      </c>
      <c r="B55" s="462"/>
      <c r="C55" s="474" t="s">
        <v>2469</v>
      </c>
      <c r="D55" s="475"/>
      <c r="E55" s="475"/>
      <c r="F55" s="475"/>
      <c r="G55" s="475"/>
      <c r="H55" s="475"/>
      <c r="I55" s="475"/>
      <c r="J55" s="475"/>
      <c r="K55" s="475"/>
      <c r="L55" s="476"/>
      <c r="M55" s="477"/>
      <c r="N55" s="1057"/>
      <c r="O55" s="1057"/>
      <c r="P55" s="478"/>
      <c r="Q55" s="456"/>
    </row>
    <row r="56" spans="1:17" s="108" customFormat="1" ht="15.75" thickBot="1">
      <c r="A56" s="473"/>
      <c r="B56" s="462"/>
      <c r="C56" s="590">
        <v>100</v>
      </c>
      <c r="D56" s="464"/>
      <c r="E56" s="464"/>
      <c r="F56" s="464"/>
      <c r="G56" s="464"/>
      <c r="H56" s="464"/>
      <c r="I56" s="464"/>
      <c r="J56" s="464"/>
      <c r="K56" s="464"/>
      <c r="L56" s="464"/>
      <c r="M56" s="466"/>
      <c r="N56" s="1057"/>
      <c r="O56" s="1057"/>
      <c r="P56" s="456"/>
      <c r="Q56" s="456"/>
    </row>
    <row r="57" spans="1:17">
      <c r="A57" s="479" t="s">
        <v>2405</v>
      </c>
      <c r="B57" s="480" t="s">
        <v>2371</v>
      </c>
      <c r="C57" s="481">
        <f>C9</f>
        <v>0</v>
      </c>
      <c r="D57" s="482"/>
      <c r="E57" s="482"/>
      <c r="F57" s="482"/>
      <c r="G57" s="482"/>
      <c r="H57" s="482"/>
      <c r="I57" s="482"/>
      <c r="J57" s="482"/>
      <c r="K57" s="483"/>
      <c r="L57" s="484"/>
      <c r="M57" s="485"/>
      <c r="N57" s="1058"/>
      <c r="O57" s="1058"/>
      <c r="P57" s="44"/>
      <c r="Q57" s="456"/>
    </row>
    <row r="58" spans="1:17" ht="15.75" thickBot="1">
      <c r="A58" s="486"/>
      <c r="B58" s="487"/>
      <c r="C58" s="488">
        <v>100</v>
      </c>
      <c r="D58" s="488"/>
      <c r="E58" s="488"/>
      <c r="F58" s="488"/>
      <c r="G58" s="488"/>
      <c r="H58" s="488"/>
      <c r="I58" s="488"/>
      <c r="J58" s="488"/>
      <c r="K58" s="488"/>
      <c r="L58" s="488"/>
      <c r="M58" s="489"/>
      <c r="N58" s="1059"/>
      <c r="O58" s="1059"/>
      <c r="P58" s="44"/>
      <c r="Q58" s="456"/>
    </row>
    <row r="59" spans="1:17" ht="27.75" thickTop="1">
      <c r="A59" s="486"/>
      <c r="B59" s="490" t="s">
        <v>2374</v>
      </c>
      <c r="C59" s="491" t="s">
        <v>2406</v>
      </c>
      <c r="D59" s="491" t="s">
        <v>2407</v>
      </c>
      <c r="E59" s="491" t="s">
        <v>2408</v>
      </c>
      <c r="F59" s="491" t="s">
        <v>2409</v>
      </c>
      <c r="G59" s="491" t="s">
        <v>2410</v>
      </c>
      <c r="H59" s="491" t="s">
        <v>2411</v>
      </c>
      <c r="I59" s="491" t="s">
        <v>2412</v>
      </c>
      <c r="J59" s="491"/>
      <c r="K59" s="492"/>
      <c r="L59" s="493"/>
      <c r="M59" s="494"/>
      <c r="N59" s="1058"/>
      <c r="O59" s="1058"/>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1059"/>
      <c r="O60" s="1059"/>
      <c r="P60" s="44"/>
      <c r="Q60" s="456"/>
    </row>
    <row r="61" spans="1:17" ht="15.75" thickTop="1">
      <c r="A61" s="486"/>
      <c r="B61" s="498" t="s">
        <v>2375</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1059"/>
      <c r="O61" s="1059"/>
      <c r="P61" s="44"/>
      <c r="Q61" s="456"/>
    </row>
    <row r="62" spans="1:17" ht="15">
      <c r="A62" s="486"/>
      <c r="B62" s="500"/>
      <c r="C62" s="501"/>
      <c r="D62" s="501"/>
      <c r="E62" s="501"/>
      <c r="F62" s="501"/>
      <c r="G62" s="501"/>
      <c r="H62" s="501"/>
      <c r="I62" s="501"/>
      <c r="J62" s="501"/>
      <c r="K62" s="502"/>
      <c r="L62" s="503"/>
      <c r="M62" s="504"/>
      <c r="N62" s="1058"/>
      <c r="O62" s="1058"/>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1059"/>
      <c r="O63" s="1059"/>
      <c r="P63" s="44"/>
      <c r="Q63" s="456"/>
    </row>
    <row r="64" spans="1:17" s="425" customFormat="1" ht="15.75" thickTop="1">
      <c r="A64" s="505"/>
      <c r="B64" s="490">
        <f>B12</f>
        <v>111</v>
      </c>
      <c r="C64" s="506"/>
      <c r="D64" s="506"/>
      <c r="E64" s="506"/>
      <c r="F64" s="506"/>
      <c r="G64" s="506"/>
      <c r="H64" s="507"/>
      <c r="I64" s="507"/>
      <c r="J64" s="507"/>
      <c r="K64" s="507"/>
      <c r="L64" s="508"/>
      <c r="M64" s="509"/>
      <c r="N64" s="1060"/>
      <c r="O64" s="1060"/>
      <c r="P64" s="510"/>
      <c r="Q64" s="511"/>
    </row>
    <row r="65" spans="1:17" s="425" customFormat="1" ht="15.75" thickBot="1">
      <c r="A65" s="505"/>
      <c r="B65" s="495"/>
      <c r="C65" s="512"/>
      <c r="D65" s="488"/>
      <c r="E65" s="488"/>
      <c r="F65" s="488"/>
      <c r="G65" s="488"/>
      <c r="H65" s="488"/>
      <c r="I65" s="488"/>
      <c r="J65" s="488"/>
      <c r="K65" s="488"/>
      <c r="L65" s="488"/>
      <c r="M65" s="489"/>
      <c r="N65" s="1059"/>
      <c r="O65" s="1059"/>
      <c r="P65" s="510"/>
      <c r="Q65" s="511"/>
    </row>
    <row r="66" spans="1:17" s="425" customFormat="1" ht="15.75" thickTop="1">
      <c r="A66" s="505"/>
      <c r="B66" s="490">
        <f>B13</f>
        <v>111</v>
      </c>
      <c r="C66" s="506"/>
      <c r="D66" s="506"/>
      <c r="E66" s="506"/>
      <c r="F66" s="506"/>
      <c r="G66" s="506"/>
      <c r="H66" s="507"/>
      <c r="I66" s="507"/>
      <c r="J66" s="507"/>
      <c r="K66" s="507"/>
      <c r="L66" s="508"/>
      <c r="M66" s="509"/>
      <c r="N66" s="1060"/>
      <c r="O66" s="1060"/>
      <c r="P66" s="424"/>
      <c r="Q66" s="513"/>
    </row>
    <row r="67" spans="1:17" s="425" customFormat="1" ht="15.75" thickBot="1">
      <c r="A67" s="505"/>
      <c r="B67" s="495"/>
      <c r="C67" s="512"/>
      <c r="D67" s="488"/>
      <c r="E67" s="488"/>
      <c r="F67" s="488"/>
      <c r="G67" s="512"/>
      <c r="H67" s="514"/>
      <c r="I67" s="514"/>
      <c r="J67" s="514"/>
      <c r="K67" s="514"/>
      <c r="L67" s="514"/>
      <c r="M67" s="515"/>
      <c r="N67" s="1060"/>
      <c r="O67" s="1060"/>
      <c r="P67" s="510"/>
      <c r="Q67" s="511"/>
    </row>
    <row r="68" spans="1:17" s="425" customFormat="1" ht="15.75" thickTop="1">
      <c r="A68" s="505"/>
      <c r="B68" s="498">
        <f>B14</f>
        <v>111</v>
      </c>
      <c r="C68" s="475"/>
      <c r="D68" s="475"/>
      <c r="E68" s="475"/>
      <c r="F68" s="475"/>
      <c r="G68" s="475"/>
      <c r="H68" s="516"/>
      <c r="I68" s="516"/>
      <c r="J68" s="516"/>
      <c r="K68" s="516"/>
      <c r="L68" s="517"/>
      <c r="M68" s="518"/>
      <c r="N68" s="1060"/>
      <c r="O68" s="1060"/>
      <c r="P68" s="519"/>
      <c r="Q68" s="511"/>
    </row>
    <row r="69" spans="1:17" s="425" customFormat="1" ht="15.75" thickBot="1">
      <c r="A69" s="520"/>
      <c r="B69" s="521"/>
      <c r="C69" s="522"/>
      <c r="D69" s="522"/>
      <c r="E69" s="522"/>
      <c r="F69" s="522"/>
      <c r="G69" s="522"/>
      <c r="H69" s="523"/>
      <c r="I69" s="523"/>
      <c r="J69" s="523"/>
      <c r="K69" s="523"/>
      <c r="L69" s="523"/>
      <c r="M69" s="524"/>
      <c r="N69" s="1060"/>
      <c r="O69" s="1060"/>
      <c r="P69" s="510"/>
      <c r="Q69" s="511"/>
    </row>
    <row r="70" spans="1:17">
      <c r="A70" s="479" t="s">
        <v>2376</v>
      </c>
      <c r="B70" s="480" t="s">
        <v>2522</v>
      </c>
      <c r="C70" s="525" t="s">
        <v>2414</v>
      </c>
      <c r="D70" s="525" t="s">
        <v>2415</v>
      </c>
      <c r="E70" s="525" t="s">
        <v>2416</v>
      </c>
      <c r="F70" s="525" t="s">
        <v>2417</v>
      </c>
      <c r="G70" s="525" t="s">
        <v>2418</v>
      </c>
      <c r="H70" s="481"/>
      <c r="I70" s="481"/>
      <c r="J70" s="481"/>
      <c r="K70" s="526"/>
      <c r="L70" s="527"/>
      <c r="M70" s="528"/>
      <c r="N70" s="1058"/>
      <c r="O70" s="1058"/>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1059"/>
      <c r="O71" s="1059"/>
      <c r="P71" s="44"/>
      <c r="Q71" s="456"/>
    </row>
    <row r="72" spans="1:17" ht="15.75" thickTop="1">
      <c r="A72" s="486"/>
      <c r="B72" s="490" t="s">
        <v>2419</v>
      </c>
      <c r="C72" s="530" t="s">
        <v>2414</v>
      </c>
      <c r="D72" s="530" t="s">
        <v>2415</v>
      </c>
      <c r="E72" s="530" t="s">
        <v>2416</v>
      </c>
      <c r="F72" s="530" t="s">
        <v>2417</v>
      </c>
      <c r="G72" s="530" t="s">
        <v>2418</v>
      </c>
      <c r="H72" s="491"/>
      <c r="I72" s="491"/>
      <c r="J72" s="491"/>
      <c r="K72" s="492"/>
      <c r="L72" s="493"/>
      <c r="M72" s="494"/>
      <c r="N72" s="1058"/>
      <c r="O72" s="1058"/>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1059"/>
      <c r="O73" s="1059"/>
      <c r="P73" s="44"/>
      <c r="Q73" s="456"/>
    </row>
    <row r="74" spans="1:17" ht="15.75" thickTop="1">
      <c r="A74" s="486"/>
      <c r="B74" s="490" t="s">
        <v>2420</v>
      </c>
      <c r="C74" s="530" t="s">
        <v>2414</v>
      </c>
      <c r="D74" s="530" t="s">
        <v>2415</v>
      </c>
      <c r="E74" s="530" t="s">
        <v>2416</v>
      </c>
      <c r="F74" s="530" t="s">
        <v>2417</v>
      </c>
      <c r="G74" s="530" t="s">
        <v>2418</v>
      </c>
      <c r="H74" s="491"/>
      <c r="I74" s="491"/>
      <c r="J74" s="491"/>
      <c r="K74" s="492"/>
      <c r="L74" s="493"/>
      <c r="M74" s="494"/>
      <c r="N74" s="1058"/>
      <c r="O74" s="1058"/>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1059"/>
      <c r="O75" s="1059"/>
      <c r="P75" s="44"/>
      <c r="Q75" s="456"/>
    </row>
    <row r="76" spans="1:17" ht="15.75" thickTop="1">
      <c r="A76" s="486"/>
      <c r="B76" s="498" t="s">
        <v>2506</v>
      </c>
      <c r="C76" s="611" t="s">
        <v>2492</v>
      </c>
      <c r="D76" s="611" t="s">
        <v>2493</v>
      </c>
      <c r="E76" s="611" t="s">
        <v>2494</v>
      </c>
      <c r="F76" s="611" t="s">
        <v>2495</v>
      </c>
      <c r="G76" s="611" t="s">
        <v>2496</v>
      </c>
      <c r="H76" s="491"/>
      <c r="I76" s="491"/>
      <c r="J76" s="491"/>
      <c r="K76" s="491"/>
      <c r="L76" s="491"/>
      <c r="M76" s="1285"/>
      <c r="N76" s="1059"/>
      <c r="O76" s="1059"/>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1059"/>
      <c r="O77" s="1059"/>
      <c r="P77" s="44"/>
      <c r="Q77" s="456"/>
    </row>
    <row r="78" spans="1:17" ht="15.75" thickTop="1">
      <c r="A78" s="486"/>
      <c r="B78" s="490" t="s">
        <v>2515</v>
      </c>
      <c r="C78" s="530" t="s">
        <v>2414</v>
      </c>
      <c r="D78" s="530" t="s">
        <v>2415</v>
      </c>
      <c r="E78" s="530" t="s">
        <v>2416</v>
      </c>
      <c r="F78" s="530" t="s">
        <v>2417</v>
      </c>
      <c r="G78" s="530" t="s">
        <v>2418</v>
      </c>
      <c r="H78" s="491"/>
      <c r="I78" s="491"/>
      <c r="J78" s="491"/>
      <c r="K78" s="492"/>
      <c r="L78" s="493"/>
      <c r="M78" s="494"/>
      <c r="N78" s="1058"/>
      <c r="O78" s="1058"/>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1059"/>
      <c r="O79" s="1059"/>
      <c r="P79" s="44"/>
      <c r="Q79" s="456"/>
    </row>
    <row r="80" spans="1:17" s="108" customFormat="1" ht="15.75" thickTop="1">
      <c r="A80" s="531"/>
      <c r="B80" s="490">
        <f>B25</f>
        <v>111</v>
      </c>
      <c r="C80" s="506"/>
      <c r="D80" s="506"/>
      <c r="E80" s="506"/>
      <c r="F80" s="506"/>
      <c r="G80" s="506"/>
      <c r="H80" s="506"/>
      <c r="I80" s="506"/>
      <c r="J80" s="506"/>
      <c r="K80" s="506"/>
      <c r="L80" s="532"/>
      <c r="M80" s="533"/>
      <c r="N80" s="1057"/>
      <c r="O80" s="1057"/>
      <c r="P80" s="44"/>
      <c r="Q80" s="456"/>
    </row>
    <row r="81" spans="1:17" s="108" customFormat="1" ht="15.75" thickBot="1">
      <c r="A81" s="531"/>
      <c r="B81" s="495"/>
      <c r="C81" s="512"/>
      <c r="D81" s="488"/>
      <c r="E81" s="488"/>
      <c r="F81" s="488"/>
      <c r="G81" s="488"/>
      <c r="H81" s="488"/>
      <c r="I81" s="488"/>
      <c r="J81" s="488"/>
      <c r="K81" s="488"/>
      <c r="L81" s="488"/>
      <c r="M81" s="489"/>
      <c r="N81" s="1059"/>
      <c r="O81" s="1059"/>
      <c r="P81" s="44"/>
      <c r="Q81" s="456"/>
    </row>
    <row r="82" spans="1:17" s="108" customFormat="1" ht="15.75" thickTop="1">
      <c r="A82" s="531"/>
      <c r="B82" s="490">
        <f>B26</f>
        <v>111</v>
      </c>
      <c r="C82" s="506"/>
      <c r="D82" s="506"/>
      <c r="E82" s="506"/>
      <c r="F82" s="506"/>
      <c r="G82" s="506"/>
      <c r="H82" s="506"/>
      <c r="I82" s="506"/>
      <c r="J82" s="506"/>
      <c r="K82" s="506"/>
      <c r="L82" s="532"/>
      <c r="M82" s="533"/>
      <c r="N82" s="1057"/>
      <c r="O82" s="1057"/>
      <c r="P82" s="44"/>
      <c r="Q82" s="456"/>
    </row>
    <row r="83" spans="1:17" s="108" customFormat="1" ht="15.75" thickBot="1">
      <c r="A83" s="531"/>
      <c r="B83" s="495"/>
      <c r="C83" s="512"/>
      <c r="D83" s="488"/>
      <c r="E83" s="488"/>
      <c r="F83" s="488"/>
      <c r="G83" s="488"/>
      <c r="H83" s="488"/>
      <c r="I83" s="488"/>
      <c r="J83" s="488"/>
      <c r="K83" s="488"/>
      <c r="L83" s="488"/>
      <c r="M83" s="489"/>
      <c r="N83" s="1059"/>
      <c r="O83" s="1059"/>
      <c r="P83" s="44"/>
      <c r="Q83" s="456"/>
    </row>
    <row r="84" spans="1:17" s="425" customFormat="1" ht="15.75" thickTop="1">
      <c r="A84" s="505"/>
      <c r="B84" s="490">
        <f>B27</f>
        <v>111</v>
      </c>
      <c r="C84" s="506"/>
      <c r="D84" s="506"/>
      <c r="E84" s="506"/>
      <c r="F84" s="506"/>
      <c r="G84" s="506"/>
      <c r="H84" s="506"/>
      <c r="I84" s="506"/>
      <c r="J84" s="506"/>
      <c r="K84" s="506"/>
      <c r="L84" s="532"/>
      <c r="M84" s="533"/>
      <c r="N84" s="1060"/>
      <c r="O84" s="1060"/>
      <c r="P84" s="510"/>
      <c r="Q84" s="511"/>
    </row>
    <row r="85" spans="1:17" s="425" customFormat="1" ht="15.75" thickBot="1">
      <c r="A85" s="505"/>
      <c r="B85" s="495"/>
      <c r="C85" s="512"/>
      <c r="D85" s="488"/>
      <c r="E85" s="488"/>
      <c r="F85" s="488"/>
      <c r="G85" s="488"/>
      <c r="H85" s="488"/>
      <c r="I85" s="488"/>
      <c r="J85" s="488"/>
      <c r="K85" s="488"/>
      <c r="L85" s="488"/>
      <c r="M85" s="489"/>
      <c r="N85" s="1060"/>
      <c r="O85" s="1060"/>
      <c r="P85" s="510"/>
      <c r="Q85" s="511"/>
    </row>
    <row r="86" spans="1:17" ht="15.75" thickTop="1">
      <c r="A86" s="486"/>
      <c r="B86" s="498">
        <f>B28</f>
        <v>111</v>
      </c>
      <c r="C86" s="475"/>
      <c r="D86" s="475"/>
      <c r="E86" s="475"/>
      <c r="F86" s="475"/>
      <c r="G86" s="539"/>
      <c r="H86" s="539"/>
      <c r="I86" s="539"/>
      <c r="J86" s="539"/>
      <c r="K86" s="540"/>
      <c r="L86" s="541"/>
      <c r="M86" s="542"/>
      <c r="N86" s="1058"/>
      <c r="O86" s="1058"/>
      <c r="P86" s="44"/>
      <c r="Q86" s="456"/>
    </row>
    <row r="87" spans="1:17" ht="15.75" thickBot="1">
      <c r="A87" s="2106"/>
      <c r="B87" s="521"/>
      <c r="C87" s="522"/>
      <c r="D87" s="522"/>
      <c r="E87" s="522"/>
      <c r="F87" s="522"/>
      <c r="G87" s="543"/>
      <c r="H87" s="543"/>
      <c r="I87" s="543"/>
      <c r="J87" s="543"/>
      <c r="K87" s="543"/>
      <c r="L87" s="543"/>
      <c r="M87" s="544"/>
      <c r="N87" s="1059"/>
      <c r="O87" s="1059"/>
      <c r="P87" s="44"/>
      <c r="Q87" s="456"/>
    </row>
    <row r="88" spans="1:17">
      <c r="A88" s="479" t="s">
        <v>2380</v>
      </c>
      <c r="B88" s="480" t="s">
        <v>2429</v>
      </c>
      <c r="C88" s="482"/>
      <c r="D88" s="482"/>
      <c r="E88" s="482"/>
      <c r="F88" s="482"/>
      <c r="G88" s="482"/>
      <c r="H88" s="482"/>
      <c r="I88" s="482"/>
      <c r="J88" s="482"/>
      <c r="K88" s="483"/>
      <c r="L88" s="484"/>
      <c r="M88" s="485"/>
      <c r="N88" s="1058"/>
      <c r="O88" s="1058"/>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1059"/>
      <c r="O89" s="1059"/>
      <c r="P89" s="44"/>
      <c r="Q89" s="456"/>
    </row>
    <row r="90" spans="1:17" ht="15.75" thickTop="1">
      <c r="A90" s="486"/>
      <c r="B90" s="490" t="s">
        <v>2430</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1057"/>
      <c r="O90" s="1057"/>
      <c r="P90" s="44"/>
      <c r="Q90" s="456"/>
    </row>
    <row r="91" spans="1:17" s="425" customFormat="1">
      <c r="A91" s="545"/>
      <c r="B91" s="546"/>
      <c r="C91" s="547"/>
      <c r="D91" s="547"/>
      <c r="E91" s="547"/>
      <c r="F91" s="547"/>
      <c r="G91" s="547"/>
      <c r="H91" s="547"/>
      <c r="I91" s="547"/>
      <c r="J91" s="548"/>
      <c r="K91" s="548"/>
      <c r="L91" s="549"/>
      <c r="M91" s="550"/>
      <c r="N91" s="1060"/>
      <c r="O91" s="1060"/>
      <c r="P91" s="510"/>
      <c r="Q91" s="511"/>
    </row>
    <row r="92" spans="1:17" s="425" customFormat="1" ht="15.75" thickBot="1">
      <c r="A92" s="505"/>
      <c r="B92" s="495"/>
      <c r="C92" s="512"/>
      <c r="D92" s="488"/>
      <c r="E92" s="488"/>
      <c r="F92" s="488"/>
      <c r="G92" s="488"/>
      <c r="H92" s="488"/>
      <c r="I92" s="488"/>
      <c r="J92" s="488"/>
      <c r="K92" s="488"/>
      <c r="L92" s="488"/>
      <c r="M92" s="489"/>
      <c r="N92" s="1059"/>
      <c r="O92" s="1059"/>
      <c r="P92" s="510"/>
      <c r="Q92" s="511"/>
    </row>
    <row r="93" spans="1:17" ht="15" thickTop="1">
      <c r="A93" s="551"/>
      <c r="B93" s="490" t="s">
        <v>2431</v>
      </c>
      <c r="C93" s="506"/>
      <c r="D93" s="506"/>
      <c r="E93" s="535"/>
      <c r="F93" s="535"/>
      <c r="G93" s="535"/>
      <c r="H93" s="535"/>
      <c r="I93" s="535"/>
      <c r="J93" s="535"/>
      <c r="K93" s="536"/>
      <c r="L93" s="537"/>
      <c r="M93" s="538"/>
      <c r="N93" s="1058"/>
      <c r="O93" s="1058"/>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1059"/>
      <c r="O94" s="1059"/>
      <c r="P94" s="44"/>
      <c r="Q94" s="456"/>
    </row>
    <row r="95" spans="1:17" ht="15" thickTop="1">
      <c r="A95" s="551"/>
      <c r="B95" s="490" t="s">
        <v>2433</v>
      </c>
      <c r="C95" s="506"/>
      <c r="D95" s="506"/>
      <c r="E95" s="506"/>
      <c r="F95" s="535"/>
      <c r="G95" s="535"/>
      <c r="H95" s="535"/>
      <c r="I95" s="535"/>
      <c r="J95" s="535"/>
      <c r="K95" s="536"/>
      <c r="L95" s="537"/>
      <c r="M95" s="538"/>
      <c r="N95" s="1058"/>
      <c r="O95" s="1058"/>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1059"/>
      <c r="O96" s="1059"/>
      <c r="P96" s="44"/>
      <c r="Q96" s="456"/>
    </row>
    <row r="97" spans="1:17" ht="15" thickTop="1">
      <c r="A97" s="551"/>
      <c r="B97" s="490" t="s">
        <v>1875</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1058"/>
      <c r="O97" s="1058"/>
      <c r="P97" s="44"/>
      <c r="Q97" s="456"/>
    </row>
    <row r="98" spans="1:17">
      <c r="A98" s="551"/>
      <c r="B98" s="498"/>
      <c r="C98" s="555">
        <v>0.5</v>
      </c>
      <c r="D98" s="555">
        <v>0.6</v>
      </c>
      <c r="E98" s="555">
        <v>0.7</v>
      </c>
      <c r="F98" s="555">
        <v>0.8</v>
      </c>
      <c r="G98" s="555">
        <v>0.9</v>
      </c>
      <c r="H98" s="555">
        <v>1.0001</v>
      </c>
      <c r="I98" s="574"/>
      <c r="J98" s="574"/>
      <c r="K98" s="575"/>
      <c r="L98" s="576"/>
      <c r="M98" s="577"/>
      <c r="N98" s="1058"/>
      <c r="O98" s="1058"/>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1059"/>
      <c r="O99" s="1059"/>
      <c r="P99" s="44"/>
      <c r="Q99" s="456"/>
    </row>
    <row r="100" spans="1:17" s="425" customFormat="1" ht="15" thickTop="1">
      <c r="A100" s="545"/>
      <c r="B100" s="490" t="s">
        <v>2434</v>
      </c>
      <c r="C100" s="506"/>
      <c r="D100" s="506"/>
      <c r="E100" s="506"/>
      <c r="F100" s="506"/>
      <c r="G100" s="506"/>
      <c r="H100" s="535"/>
      <c r="I100" s="535"/>
      <c r="J100" s="535"/>
      <c r="K100" s="536"/>
      <c r="L100" s="537"/>
      <c r="M100" s="538"/>
      <c r="N100" s="1060"/>
      <c r="O100" s="1060"/>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1060"/>
      <c r="O101" s="1060"/>
      <c r="P101" s="510"/>
      <c r="Q101" s="511"/>
    </row>
    <row r="102" spans="1:17" ht="15" thickTop="1">
      <c r="A102" s="551"/>
      <c r="B102" s="490" t="s">
        <v>2435</v>
      </c>
      <c r="C102" s="506"/>
      <c r="D102" s="506"/>
      <c r="E102" s="506"/>
      <c r="F102" s="506"/>
      <c r="G102" s="506"/>
      <c r="H102" s="535"/>
      <c r="I102" s="535"/>
      <c r="J102" s="535"/>
      <c r="K102" s="536"/>
      <c r="L102" s="537"/>
      <c r="M102" s="538"/>
      <c r="N102" s="1058"/>
      <c r="O102" s="1058"/>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1059"/>
      <c r="O103" s="1059"/>
      <c r="P103" s="44"/>
      <c r="Q103" s="456"/>
    </row>
    <row r="104" spans="1:17" ht="15" thickTop="1">
      <c r="A104" s="551"/>
      <c r="B104" s="490" t="s">
        <v>2437</v>
      </c>
      <c r="C104" s="506"/>
      <c r="D104" s="506"/>
      <c r="E104" s="506"/>
      <c r="F104" s="506"/>
      <c r="G104" s="506"/>
      <c r="H104" s="535"/>
      <c r="I104" s="535"/>
      <c r="J104" s="535"/>
      <c r="K104" s="536"/>
      <c r="L104" s="537"/>
      <c r="M104" s="538"/>
      <c r="N104" s="1058"/>
      <c r="O104" s="1058"/>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1059"/>
      <c r="O105" s="1059"/>
      <c r="P105" s="44"/>
      <c r="Q105" s="456"/>
    </row>
    <row r="106" spans="1:17" ht="15" thickTop="1">
      <c r="A106" s="551"/>
      <c r="B106" s="587" t="s">
        <v>2523</v>
      </c>
      <c r="C106" s="530" t="s">
        <v>2414</v>
      </c>
      <c r="D106" s="530" t="s">
        <v>2415</v>
      </c>
      <c r="E106" s="530" t="s">
        <v>2416</v>
      </c>
      <c r="F106" s="530" t="s">
        <v>2417</v>
      </c>
      <c r="G106" s="530" t="s">
        <v>2418</v>
      </c>
      <c r="H106" s="491"/>
      <c r="I106" s="491"/>
      <c r="J106" s="491"/>
      <c r="K106" s="492"/>
      <c r="L106" s="493"/>
      <c r="M106" s="494"/>
      <c r="N106" s="1059"/>
      <c r="O106" s="1059"/>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1059"/>
      <c r="O107" s="1059"/>
      <c r="P107" s="44"/>
      <c r="Q107" s="456"/>
    </row>
    <row r="108" spans="1:17" s="425" customFormat="1" ht="15" thickTop="1">
      <c r="A108" s="545"/>
      <c r="B108" s="490">
        <f>B38</f>
        <v>111</v>
      </c>
      <c r="C108" s="506"/>
      <c r="D108" s="506"/>
      <c r="E108" s="506"/>
      <c r="F108" s="506"/>
      <c r="G108" s="506"/>
      <c r="H108" s="507"/>
      <c r="I108" s="507"/>
      <c r="J108" s="507"/>
      <c r="K108" s="507"/>
      <c r="L108" s="508"/>
      <c r="M108" s="509"/>
      <c r="N108" s="1060"/>
      <c r="O108" s="1060"/>
      <c r="P108" s="510"/>
      <c r="Q108" s="511"/>
    </row>
    <row r="109" spans="1:17" s="425" customFormat="1" ht="15.75" thickBot="1">
      <c r="A109" s="505"/>
      <c r="B109" s="487"/>
      <c r="C109" s="512"/>
      <c r="D109" s="488"/>
      <c r="E109" s="488"/>
      <c r="F109" s="488"/>
      <c r="G109" s="512"/>
      <c r="H109" s="514"/>
      <c r="I109" s="514"/>
      <c r="J109" s="514"/>
      <c r="K109" s="514"/>
      <c r="L109" s="514"/>
      <c r="M109" s="515"/>
      <c r="N109" s="1060"/>
      <c r="O109" s="1060"/>
      <c r="P109" s="510"/>
      <c r="Q109" s="511"/>
    </row>
    <row r="110" spans="1:17" ht="15" thickTop="1">
      <c r="A110" s="551"/>
      <c r="B110" s="490">
        <f>B39</f>
        <v>111</v>
      </c>
      <c r="C110" s="506"/>
      <c r="D110" s="506"/>
      <c r="E110" s="506"/>
      <c r="F110" s="506"/>
      <c r="G110" s="506"/>
      <c r="H110" s="507"/>
      <c r="I110" s="507"/>
      <c r="J110" s="507"/>
      <c r="K110" s="507"/>
      <c r="L110" s="508"/>
      <c r="M110" s="509"/>
      <c r="N110" s="1058"/>
      <c r="O110" s="1058"/>
      <c r="P110" s="44"/>
      <c r="Q110" s="456"/>
    </row>
    <row r="111" spans="1:17" ht="15.75" thickBot="1">
      <c r="A111" s="486"/>
      <c r="B111" s="495"/>
      <c r="C111" s="512"/>
      <c r="D111" s="488"/>
      <c r="E111" s="488"/>
      <c r="F111" s="488"/>
      <c r="G111" s="512"/>
      <c r="H111" s="514"/>
      <c r="I111" s="514"/>
      <c r="J111" s="514"/>
      <c r="K111" s="514"/>
      <c r="L111" s="514"/>
      <c r="M111" s="515"/>
      <c r="N111" s="1059"/>
      <c r="O111" s="1059"/>
      <c r="P111" s="44"/>
      <c r="Q111" s="456"/>
    </row>
    <row r="112" spans="1:17" ht="15" thickTop="1">
      <c r="A112" s="551"/>
      <c r="B112" s="498">
        <f>B40</f>
        <v>111</v>
      </c>
      <c r="C112" s="475"/>
      <c r="D112" s="475"/>
      <c r="E112" s="475"/>
      <c r="F112" s="475"/>
      <c r="G112" s="539"/>
      <c r="H112" s="539"/>
      <c r="I112" s="539"/>
      <c r="J112" s="539"/>
      <c r="K112" s="475"/>
      <c r="L112" s="476"/>
      <c r="M112" s="542"/>
      <c r="N112" s="1058"/>
      <c r="O112" s="1058"/>
      <c r="P112" s="44"/>
      <c r="Q112" s="456"/>
    </row>
    <row r="113" spans="1:17" ht="15.75" thickBot="1">
      <c r="A113" s="2106"/>
      <c r="B113" s="521"/>
      <c r="C113" s="522"/>
      <c r="D113" s="522"/>
      <c r="E113" s="522"/>
      <c r="F113" s="522"/>
      <c r="G113" s="543"/>
      <c r="H113" s="543"/>
      <c r="I113" s="543"/>
      <c r="J113" s="543"/>
      <c r="K113" s="543"/>
      <c r="L113" s="543"/>
      <c r="M113" s="544"/>
      <c r="N113" s="1059"/>
      <c r="O113" s="1059"/>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32" priority="20" stopIfTrue="1" operator="containsText" text="超过">
      <formula>NOT(ISERROR(SEARCH("超过",F46)))</formula>
    </cfRule>
  </conditionalFormatting>
  <conditionalFormatting sqref="H48">
    <cfRule type="containsText" dxfId="131" priority="19" stopIfTrue="1" operator="containsText" text="超过">
      <formula>NOT(ISERROR(SEARCH("超过",H48)))</formula>
    </cfRule>
  </conditionalFormatting>
  <conditionalFormatting sqref="F48">
    <cfRule type="containsText" dxfId="130" priority="18" stopIfTrue="1" operator="containsText" text="超过">
      <formula>NOT(ISERROR(SEARCH("超过",F48)))</formula>
    </cfRule>
  </conditionalFormatting>
  <conditionalFormatting sqref="F47 H47">
    <cfRule type="containsText" dxfId="129" priority="17" stopIfTrue="1" operator="containsText" text="超过">
      <formula>NOT(ISERROR(SEARCH("超过",F47)))</formula>
    </cfRule>
  </conditionalFormatting>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G48">
    <cfRule type="expression" dxfId="125" priority="13" stopIfTrue="1">
      <formula>$H$48="超过30%"</formula>
    </cfRule>
  </conditionalFormatting>
  <conditionalFormatting sqref="G46">
    <cfRule type="expression" dxfId="124" priority="12" stopIfTrue="1">
      <formula>$H$46="超过30%"</formula>
    </cfRule>
  </conditionalFormatting>
  <conditionalFormatting sqref="G47">
    <cfRule type="expression" dxfId="123" priority="11" stopIfTrue="1">
      <formula>$H$47="超过20%"</formula>
    </cfRule>
  </conditionalFormatting>
  <conditionalFormatting sqref="J46">
    <cfRule type="containsText" dxfId="122" priority="10" stopIfTrue="1" operator="containsText" text="超过">
      <formula>NOT(ISERROR(SEARCH("超过",J46)))</formula>
    </cfRule>
  </conditionalFormatting>
  <conditionalFormatting sqref="J48">
    <cfRule type="containsText" dxfId="121" priority="9" stopIfTrue="1" operator="containsText" text="超过">
      <formula>NOT(ISERROR(SEARCH("超过",J48)))</formula>
    </cfRule>
  </conditionalFormatting>
  <conditionalFormatting sqref="J47">
    <cfRule type="containsText" dxfId="120" priority="8" stopIfTrue="1" operator="containsText" text="超过">
      <formula>NOT(ISERROR(SEARCH("超过",J47)))</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F7:F40 H7:H40 J7:J40">
    <cfRule type="cellIs" dxfId="113"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8">
      <c r="A3" s="3301" t="str">
        <f>IF(项目基本情况!B9="房地产市场价值","估价结果一览表（市场价值不需“结果表-1”）","估价结果一览表")</f>
        <v>估价结果一览表</v>
      </c>
      <c r="B3" s="3301"/>
      <c r="C3" s="3301"/>
      <c r="D3" s="3301"/>
      <c r="E3" s="3301"/>
    </row>
    <row r="4" spans="1:5" ht="19.5" thickBot="1">
      <c r="A4" s="1671"/>
      <c r="B4" s="3299" t="s">
        <v>1595</v>
      </c>
      <c r="C4" s="3299"/>
      <c r="D4" s="3299"/>
      <c r="E4" s="1671"/>
    </row>
    <row r="5" spans="1:5" ht="16.5" thickTop="1">
      <c r="A5" s="1669"/>
      <c r="B5" s="3297" t="s">
        <v>1587</v>
      </c>
      <c r="C5" s="1672" t="s">
        <v>1588</v>
      </c>
      <c r="D5" s="953">
        <f ca="1">结果表!H101</f>
        <v>179944</v>
      </c>
      <c r="E5" s="1669"/>
    </row>
    <row r="6" spans="1:5" ht="15.75">
      <c r="A6" s="1669"/>
      <c r="B6" s="3297"/>
      <c r="C6" s="1672" t="s">
        <v>1589</v>
      </c>
      <c r="D6" s="953" t="str">
        <f ca="1">NUMBERSTRING(INT(D5*10000),2)&amp;"元整"</f>
        <v>壹拾柒亿玖仟玖佰肆拾肆万元整</v>
      </c>
      <c r="E6" s="1669"/>
    </row>
    <row r="7" spans="1:5" ht="15.75">
      <c r="A7" s="1669"/>
      <c r="B7" s="3302"/>
      <c r="C7" s="1673" t="s">
        <v>1590</v>
      </c>
      <c r="D7" s="954">
        <f ca="1">结果表!H102</f>
        <v>20823</v>
      </c>
      <c r="E7" s="1669"/>
    </row>
    <row r="8" spans="1:5" ht="15.75">
      <c r="A8" s="1669"/>
      <c r="B8" s="3303" t="str">
        <f>结果表!E103</f>
        <v>2.估价师知悉的法定优先受偿款</v>
      </c>
      <c r="C8" s="1674" t="s">
        <v>1591</v>
      </c>
      <c r="D8" s="954">
        <f>结果表!H103</f>
        <v>0</v>
      </c>
      <c r="E8" s="1669"/>
    </row>
    <row r="9" spans="1:5" ht="15.75">
      <c r="A9" s="1669"/>
      <c r="B9" s="3305"/>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296" t="str">
        <f>结果表!E107</f>
        <v>3.房地产抵押价值</v>
      </c>
      <c r="C13" s="1677" t="s">
        <v>1588</v>
      </c>
      <c r="D13" s="956">
        <f ca="1">结果表!H107</f>
        <v>179944</v>
      </c>
      <c r="E13" s="1669"/>
    </row>
    <row r="14" spans="1:5" ht="15.75">
      <c r="A14" s="1669"/>
      <c r="B14" s="3297"/>
      <c r="C14" s="1672" t="s">
        <v>1589</v>
      </c>
      <c r="D14" s="953" t="str">
        <f ca="1">NUMBERSTRING(INT(D13*10000),2)&amp;"元整"</f>
        <v>壹拾柒亿玖仟玖佰肆拾肆万元整</v>
      </c>
      <c r="E14" s="1669"/>
    </row>
    <row r="15" spans="1:5" ht="15">
      <c r="A15" s="1669"/>
      <c r="B15" s="3302"/>
      <c r="C15" s="1673" t="s">
        <v>1599</v>
      </c>
      <c r="D15" s="962">
        <f ca="1">结果表!H108</f>
        <v>20823</v>
      </c>
      <c r="E15" s="1669"/>
    </row>
    <row r="16" spans="1:5" ht="15">
      <c r="A16" s="1669"/>
      <c r="B16" s="3303" t="str">
        <f>结果表!E109</f>
        <v>——</v>
      </c>
      <c r="C16" s="1677" t="s">
        <v>1600</v>
      </c>
      <c r="D16" s="1678" t="str">
        <f>结果表!H109</f>
        <v>——</v>
      </c>
      <c r="E16" s="1669"/>
    </row>
    <row r="17" spans="1:5" ht="15.75">
      <c r="A17" s="1669"/>
      <c r="B17" s="3304"/>
      <c r="C17" s="1672" t="s">
        <v>1601</v>
      </c>
      <c r="D17" s="953" t="e">
        <f>NUMBERSTRING(INT(D16*10000),2)&amp;"元整"</f>
        <v>#VALUE!</v>
      </c>
      <c r="E17" s="1669"/>
    </row>
    <row r="18" spans="1:5" ht="15">
      <c r="A18" s="1669"/>
      <c r="B18" s="3305"/>
      <c r="C18" s="1673" t="s">
        <v>1590</v>
      </c>
      <c r="D18" s="962" t="str">
        <f>结果表!H110</f>
        <v>——</v>
      </c>
      <c r="E18" s="1669"/>
    </row>
    <row r="19" spans="1:5" ht="15.75">
      <c r="A19" s="1669"/>
      <c r="B19" s="3296" t="str">
        <f>结果表!E111</f>
        <v>——</v>
      </c>
      <c r="C19" s="1677" t="s">
        <v>1588</v>
      </c>
      <c r="D19" s="954" t="str">
        <f>结果表!H111</f>
        <v>——</v>
      </c>
      <c r="E19" s="1669"/>
    </row>
    <row r="20" spans="1:5" ht="15.75">
      <c r="A20" s="1669"/>
      <c r="B20" s="3297"/>
      <c r="C20" s="1672" t="s">
        <v>1601</v>
      </c>
      <c r="D20" s="953" t="e">
        <f>NUMBERSTRING(INT(D19*10000),2)&amp;"元整"</f>
        <v>#VALUE!</v>
      </c>
      <c r="E20" s="1669"/>
    </row>
    <row r="21" spans="1:5" ht="15.75" thickBot="1">
      <c r="A21" s="1669"/>
      <c r="B21" s="3298"/>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70" zoomScaleNormal="100" zoomScaleSheetLayoutView="70" zoomScalePageLayoutView="80" workbookViewId="0">
      <selection activeCell="E23" sqref="E23"/>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t="s">
        <v>3234</v>
      </c>
      <c r="D1" s="1925"/>
      <c r="E1" s="1925"/>
      <c r="F1" s="1927" t="s">
        <v>1948</v>
      </c>
      <c r="G1" s="1739" t="s">
        <v>3250</v>
      </c>
      <c r="H1" s="1928" t="str">
        <f>IF(G1="现房","——","估价对象范围")</f>
        <v>——</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3417</v>
      </c>
      <c r="D4" s="1934" t="s">
        <v>3254</v>
      </c>
      <c r="E4" s="3529" t="s">
        <v>1952</v>
      </c>
      <c r="F4" s="3530"/>
      <c r="G4" s="3530"/>
      <c r="H4" s="3530"/>
      <c r="I4" s="3531"/>
      <c r="K4" s="146"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46" t="str">
        <f>IF(ISNUMBER(FIND("比较法",'结果表 (地下仓储)'!D4)),"比较法",IF(ISNUMBER(FIND("成本法",'结果表 (地下仓储)'!D4)),"成本法",IF(ISNUMBER(FIND("假设开发法",'结果表 (地下仓储)'!D4)),"假设开发法",IF(ISNUMBER(FIND("收益法",'结果表 (地下仓储)'!D4)),"收益法","基准地价系数修正法"))))</f>
        <v>比较法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26">
        <v>0</v>
      </c>
      <c r="D14" s="3523">
        <f>10-C14</f>
        <v>10</v>
      </c>
      <c r="E14" s="131" t="s">
        <v>1967</v>
      </c>
      <c r="F14" s="1935"/>
      <c r="G14" s="1935"/>
      <c r="H14" s="1935"/>
      <c r="I14" s="1550"/>
    </row>
    <row r="15" spans="1:12" ht="12.75">
      <c r="A15" s="3464"/>
      <c r="B15" s="3522"/>
      <c r="C15" s="3528"/>
      <c r="D15" s="3523"/>
      <c r="E15" s="131" t="s">
        <v>1968</v>
      </c>
      <c r="F15" s="1935"/>
      <c r="G15" s="1935"/>
      <c r="H15" s="1935"/>
      <c r="I15" s="1550"/>
    </row>
    <row r="16" spans="1:12" ht="12.75">
      <c r="A16" s="3464"/>
      <c r="B16" s="3522"/>
      <c r="C16" s="3527"/>
      <c r="D16" s="3523"/>
      <c r="E16" s="131" t="s">
        <v>1969</v>
      </c>
      <c r="F16" s="1935"/>
      <c r="G16" s="1935"/>
      <c r="H16" s="1935"/>
      <c r="I16" s="1550"/>
    </row>
    <row r="17" spans="1:36" ht="15">
      <c r="A17" s="1936" t="s">
        <v>1970</v>
      </c>
      <c r="B17" s="56"/>
      <c r="C17" s="132">
        <f>SUM(C5:C16)</f>
        <v>0</v>
      </c>
      <c r="D17" s="132">
        <f>SUM(D5:D16)</f>
        <v>10</v>
      </c>
      <c r="E17" s="129"/>
      <c r="F17" s="129"/>
      <c r="G17" s="129"/>
      <c r="H17" s="129"/>
      <c r="I17" s="129"/>
      <c r="K17" s="303"/>
      <c r="L17" s="303" t="s">
        <v>1971</v>
      </c>
      <c r="M17" s="303" t="s">
        <v>1972</v>
      </c>
    </row>
    <row r="18" spans="1:36" ht="31.9" customHeight="1" thickBot="1">
      <c r="A18" s="1937" t="s">
        <v>1973</v>
      </c>
      <c r="B18" s="1938"/>
      <c r="C18" s="133">
        <f>ROUND(C17/SUM(C17:D17),2)</f>
        <v>0</v>
      </c>
      <c r="D18" s="133">
        <f>1-C18</f>
        <v>1</v>
      </c>
      <c r="E18" s="3548" t="s">
        <v>2870</v>
      </c>
      <c r="F18" s="3549"/>
      <c r="G18" s="3549"/>
      <c r="H18" s="3549"/>
      <c r="I18" s="3549"/>
      <c r="K18" s="303" t="s">
        <v>1974</v>
      </c>
      <c r="L18" s="303">
        <f>IF(C1="",'数据-汇总表'!E3,SUMIF(项目类型,C1,'数据-汇总表'!E17:E26)+SUMIF(项目类型,C1,'数据-汇总表'!I17:I26))</f>
        <v>0</v>
      </c>
      <c r="M18" s="303">
        <f>IF(C1="",'数据-汇总表'!E3,SUMIF(项目类型,C1,'数据-汇总表'!E17:E26))</f>
        <v>0</v>
      </c>
    </row>
    <row r="19" spans="1:36" ht="15">
      <c r="A19" s="1939" t="s">
        <v>1975</v>
      </c>
      <c r="B19" s="1940" t="s">
        <v>1976</v>
      </c>
      <c r="C19" s="134" t="e">
        <f ca="1">SUMIF(INDIRECT("'"&amp;C4&amp;"'"&amp;"!A:A"),'结果表 (地下仓储)'!B19,INDIRECT("'"&amp;C4&amp;"'"&amp;"!B:B"))</f>
        <v>#N/A</v>
      </c>
      <c r="D19" s="135">
        <f ca="1">SUMIF(INDIRECT("'"&amp;D4&amp;"'"&amp;"!A:A"),'结果表 (地下仓储)'!B19,INDIRECT("'"&amp;D4&amp;"'"&amp;"!B:B"))</f>
        <v>0</v>
      </c>
      <c r="E19" s="1939" t="s">
        <v>1977</v>
      </c>
      <c r="F19" s="1940" t="s">
        <v>1976</v>
      </c>
      <c r="G19" s="136" t="e">
        <f ca="1">ROUND(C19*$C$18+D19*$D$18,0)</f>
        <v>#N/A</v>
      </c>
      <c r="H19" s="1941" t="s">
        <v>1978</v>
      </c>
      <c r="I19" s="129"/>
      <c r="K19" s="303" t="s">
        <v>1979</v>
      </c>
      <c r="L19" s="303">
        <f>IF(C1="",'数据-汇总表'!D3,SUMIF(项目类型,C1,'数据-汇总表'!D17:D26)+SUMIF(项目类型,C1,'数据-汇总表'!H17:H27))</f>
        <v>0</v>
      </c>
      <c r="M19" s="303">
        <f>IF(C1="",'数据-汇总表'!D3,SUMIF(项目类型,C1,'数据-汇总表'!D17:D26))</f>
        <v>0</v>
      </c>
    </row>
    <row r="20" spans="1:36" ht="15">
      <c r="A20" s="1942"/>
      <c r="B20" s="1151" t="s">
        <v>1980</v>
      </c>
      <c r="C20" s="137" t="e">
        <f ca="1">SUMIF(INDIRECT("'"&amp;C4&amp;"'"&amp;"!A:A"),'结果表 (地下仓储)'!B20,INDIRECT("'"&amp;C4&amp;"'"&amp;"!B:B"))</f>
        <v>#N/A</v>
      </c>
      <c r="D20" s="138">
        <f ca="1">SUMIF(INDIRECT("'"&amp;D4&amp;"'"&amp;"!A:A"),'结果表 (地下仓储)'!B20,INDIRECT("'"&amp;D4&amp;"'"&amp;"!B:B"))</f>
        <v>28532</v>
      </c>
      <c r="E20" s="1942"/>
      <c r="F20" s="1151" t="s">
        <v>1980</v>
      </c>
      <c r="G20" s="139" t="e">
        <f ca="1">ROUND(C20*$C$18+D20*$D$18,0)</f>
        <v>#N/A</v>
      </c>
      <c r="H20" s="911" t="s">
        <v>1981</v>
      </c>
      <c r="I20" s="129"/>
    </row>
    <row r="21" spans="1:36" ht="15" customHeight="1" thickBot="1">
      <c r="A21" s="931"/>
      <c r="B21" s="1943" t="s">
        <v>1982</v>
      </c>
      <c r="C21" s="723" t="e">
        <f ca="1">ROUND(C19*10000/L19,0)</f>
        <v>#N/A</v>
      </c>
      <c r="D21" s="724" t="e">
        <f ca="1">ROUND(D19*10000/L19,0)</f>
        <v>#DIV/0!</v>
      </c>
      <c r="E21" s="931"/>
      <c r="F21" s="1943" t="s">
        <v>1982</v>
      </c>
      <c r="G21" s="140" t="e">
        <f ca="1">ROUND(G19*10000/L19,0)</f>
        <v>#N/A</v>
      </c>
      <c r="H21" s="1944" t="s">
        <v>1981</v>
      </c>
      <c r="I21" s="129"/>
    </row>
    <row r="22" spans="1:36" ht="15" thickBot="1">
      <c r="A22" s="1866" t="s">
        <v>1983</v>
      </c>
      <c r="B22" s="1945"/>
      <c r="C22" s="1946"/>
      <c r="D22" s="725" t="e">
        <f ca="1">IF(C19&lt;D19,D19/C19-1,C19/D19-1)</f>
        <v>#N/A</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t="e">
        <f ca="1">IF(D32="总价",G19-C24,G20-C25)</f>
        <v>#N/A</v>
      </c>
      <c r="D32" s="1953" t="s">
        <v>3253</v>
      </c>
      <c r="E32" s="129"/>
      <c r="F32" s="129"/>
      <c r="G32" s="129"/>
      <c r="H32" s="129"/>
      <c r="I32" s="129"/>
    </row>
    <row r="33" spans="1:15" ht="15">
      <c r="A33" s="888" t="s">
        <v>1991</v>
      </c>
      <c r="B33" s="1954"/>
      <c r="C33" s="1955" t="s">
        <v>3252</v>
      </c>
      <c r="D33" s="1956" t="s">
        <v>3248</v>
      </c>
      <c r="E33" s="1957" t="s">
        <v>1992</v>
      </c>
      <c r="F33" s="1958" t="str">
        <f>IF(D32="楼面单价","取值（单价）","取值（总价）")</f>
        <v>取值（总价）</v>
      </c>
      <c r="G33" s="129"/>
      <c r="H33" s="129"/>
      <c r="I33" s="129"/>
    </row>
    <row r="34" spans="1:15" ht="15">
      <c r="A34" s="1959"/>
      <c r="B34" s="1960" t="s">
        <v>1993</v>
      </c>
      <c r="C34" s="148" t="e">
        <f ca="1">IF(C33="自定义",F34,C32-C35)</f>
        <v>#N/A</v>
      </c>
      <c r="D34" s="964" t="e">
        <f ca="1">IF(C33="自定义",ROUND(C34/C32,3),IF(C33="收益比率",SUMIF(INDIRECT("'"&amp;D33&amp;"'"&amp;"!b:b"),"土地收益比率",INDIRECT("'"&amp;D33&amp;"'"&amp;"!c:c")),SUMIF(INDIRECT("'"&amp;D33&amp;"'"&amp;"!b:b"),"土地成本比率",INDIRECT("'"&amp;D33&amp;"'"&amp;"!c:c"))))</f>
        <v>#REF!</v>
      </c>
      <c r="E34" s="1961" t="s">
        <v>1994</v>
      </c>
      <c r="F34" s="1491"/>
      <c r="G34" s="129"/>
      <c r="H34" s="129"/>
      <c r="I34" s="129"/>
    </row>
    <row r="35" spans="1:15" ht="15.75" thickBot="1">
      <c r="A35" s="1962"/>
      <c r="B35" s="1963" t="s">
        <v>1995</v>
      </c>
      <c r="C35" s="1326" t="e">
        <f ca="1">IF(C33="自定义",F35,ROUND(C32*D35,0))</f>
        <v>#N/A</v>
      </c>
      <c r="D35" s="1327" t="e">
        <f ca="1">IF(C33="自定义",ROUND(C35/C32,3),IF(C33="收益比率",SUMIF(INDIRECT("'"&amp;D33&amp;"'"&amp;"!b:b"),"建筑物收益比率",INDIRECT("'"&amp;D33&amp;"'"&amp;"!c:c")),SUMIF(INDIRECT("'"&amp;D33&amp;"'"&amp;"!b:b"),"建筑物成本比率",INDIRECT("'"&amp;D33&amp;"'"&amp;"!c:c"))))</f>
        <v>#REF!</v>
      </c>
      <c r="E35" s="1964" t="s">
        <v>1996</v>
      </c>
      <c r="F35" s="154"/>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1986</v>
      </c>
      <c r="C39" s="1972" t="s">
        <v>1987</v>
      </c>
      <c r="D39" s="1972" t="s">
        <v>2005</v>
      </c>
      <c r="E39" s="1973" t="s">
        <v>1988</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t="e">
        <f ca="1">ROUND(H101*F45,0)</f>
        <v>#N/A</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3054">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3054">
        <v>2</v>
      </c>
      <c r="K47" s="3452" t="s">
        <v>2022</v>
      </c>
      <c r="L47" s="3452"/>
      <c r="M47" s="3454">
        <f>'数据-取费表'!B2</f>
        <v>44568</v>
      </c>
      <c r="N47" s="3454"/>
      <c r="O47" s="3454"/>
    </row>
    <row r="48" spans="1:15" ht="25.5">
      <c r="A48" s="3517" t="s">
        <v>2023</v>
      </c>
      <c r="B48" s="3518"/>
      <c r="C48" s="3518"/>
      <c r="D48" s="3051" t="b">
        <f>IF(H48="情况1",0,IF(H48="情况2",D52,IF(H48="情况3",D53,IF(H48="情况4",D54))))</f>
        <v>0</v>
      </c>
      <c r="E48" s="3064" t="str">
        <f>IF(H48="情况4","(销售额-原购置价)×税（费）率","销售额×税（费）率")</f>
        <v>销售额×税（费）率</v>
      </c>
      <c r="F48" s="2763">
        <f>IF(H48="情况1","免征",'数据-取费表'!B41)</f>
        <v>5.5000000000000007E-2</v>
      </c>
      <c r="G48" s="2764" t="s">
        <v>2024</v>
      </c>
      <c r="H48" s="2765"/>
      <c r="I48" s="1984"/>
      <c r="J48" s="3054">
        <v>3</v>
      </c>
      <c r="K48" s="3452" t="s">
        <v>2025</v>
      </c>
      <c r="L48" s="3452"/>
      <c r="M48" s="3455" t="e">
        <f ca="1">H101</f>
        <v>#N/A</v>
      </c>
      <c r="N48" s="3455"/>
      <c r="O48" s="3455"/>
    </row>
    <row r="49" spans="1:35" ht="25.5" customHeight="1">
      <c r="A49" s="3063" t="s">
        <v>2026</v>
      </c>
      <c r="B49" s="3500" t="s">
        <v>2027</v>
      </c>
      <c r="C49" s="3500"/>
      <c r="D49" s="1768">
        <v>0</v>
      </c>
      <c r="E49" s="325" t="s">
        <v>2028</v>
      </c>
      <c r="F49" s="3049" t="s">
        <v>34</v>
      </c>
      <c r="G49" s="3483"/>
      <c r="H49" s="2520" t="s">
        <v>2873</v>
      </c>
      <c r="I49" s="2521"/>
      <c r="J49" s="3054">
        <v>4</v>
      </c>
      <c r="K49" s="3452" t="str">
        <f>IF(项目基本情况!E8="房地产抵押价值","房地产抵押价值","抵押担保权已注销时的房地产抵押价值")</f>
        <v>房地产抵押价值</v>
      </c>
      <c r="L49" s="3452"/>
      <c r="M49" s="3455" t="e">
        <f ca="1">IF(项目基本情况!E8="房地产抵押价值",H107,H109)</f>
        <v>#N/A</v>
      </c>
      <c r="N49" s="3455"/>
      <c r="O49" s="3455"/>
    </row>
    <row r="50" spans="1:35" ht="25.5" customHeight="1">
      <c r="A50" s="2766"/>
      <c r="B50" s="3500" t="s">
        <v>2029</v>
      </c>
      <c r="C50" s="3500"/>
      <c r="D50" s="2767"/>
      <c r="E50" s="333"/>
      <c r="F50" s="3049"/>
      <c r="G50" s="3484"/>
      <c r="H50" s="2522" t="s">
        <v>2874</v>
      </c>
      <c r="I50" s="2521"/>
      <c r="J50" s="3451" t="s">
        <v>2030</v>
      </c>
      <c r="K50" s="3451"/>
      <c r="L50" s="3451"/>
      <c r="M50" s="3451"/>
      <c r="N50" s="3451"/>
      <c r="O50" s="3451"/>
    </row>
    <row r="51" spans="1:35" ht="20.45" customHeight="1">
      <c r="A51" s="2768"/>
      <c r="B51" s="3500" t="s">
        <v>2031</v>
      </c>
      <c r="C51" s="3500"/>
      <c r="D51" s="1241"/>
      <c r="E51" s="328"/>
      <c r="F51" s="3049"/>
      <c r="G51" s="3485"/>
      <c r="H51" s="2522" t="s">
        <v>2875</v>
      </c>
      <c r="I51" s="2521"/>
      <c r="J51" s="3050" t="s">
        <v>2032</v>
      </c>
      <c r="K51" s="3452" t="s">
        <v>2033</v>
      </c>
      <c r="L51" s="3452"/>
      <c r="M51" s="3050" t="s">
        <v>2034</v>
      </c>
      <c r="N51" s="3050" t="s">
        <v>2035</v>
      </c>
      <c r="O51" s="3050" t="s">
        <v>2036</v>
      </c>
    </row>
    <row r="52" spans="1:35" ht="24" customHeight="1">
      <c r="A52" s="3065" t="s">
        <v>2037</v>
      </c>
      <c r="B52" s="3500" t="s">
        <v>2038</v>
      </c>
      <c r="C52" s="3500"/>
      <c r="D52" s="1241" t="e">
        <f ca="1">ROUND(D45*'数据-取费表'!B41/(1+'数据-取费表'!C42),0)</f>
        <v>#N/A</v>
      </c>
      <c r="E52" s="3064" t="s">
        <v>2039</v>
      </c>
      <c r="F52" s="2769">
        <f>'数据-取费表'!B41</f>
        <v>5.5000000000000007E-2</v>
      </c>
      <c r="G52" s="2770"/>
      <c r="H52" s="2759"/>
      <c r="I52" s="1985"/>
      <c r="J52" s="3054">
        <v>1</v>
      </c>
      <c r="K52" s="3477" t="s">
        <v>2040</v>
      </c>
      <c r="L52" s="3477"/>
      <c r="M52" s="2740" t="b">
        <f>D48</f>
        <v>0</v>
      </c>
      <c r="N52" s="3054" t="str">
        <f>E48</f>
        <v>销售额×税（费）率</v>
      </c>
      <c r="O52" s="2741">
        <f>F48</f>
        <v>5.5000000000000007E-2</v>
      </c>
    </row>
    <row r="53" spans="1:35" ht="12" customHeight="1">
      <c r="A53" s="3065" t="s">
        <v>2041</v>
      </c>
      <c r="B53" s="3501" t="s">
        <v>3028</v>
      </c>
      <c r="C53" s="3502"/>
      <c r="D53" s="1241" t="e">
        <f ca="1">ROUND(D45*'数据-取费表'!B41/(1+'数据-取费表'!C42),0)</f>
        <v>#N/A</v>
      </c>
      <c r="E53" s="3064" t="s">
        <v>2039</v>
      </c>
      <c r="F53" s="2769">
        <f>'数据-取费表'!B41</f>
        <v>5.5000000000000007E-2</v>
      </c>
      <c r="G53" s="2770"/>
      <c r="H53" s="2759"/>
      <c r="I53" s="1985"/>
      <c r="J53" s="3054">
        <v>2</v>
      </c>
      <c r="K53" s="3477" t="s">
        <v>2042</v>
      </c>
      <c r="L53" s="3477"/>
      <c r="M53" s="2740" t="e">
        <f t="shared" ref="M53:O54" ca="1" si="0">D55</f>
        <v>#N/A</v>
      </c>
      <c r="N53" s="3054" t="str">
        <f t="shared" si="0"/>
        <v>销售额×税（费）率</v>
      </c>
      <c r="O53" s="2741" t="str">
        <f t="shared" si="0"/>
        <v>免征</v>
      </c>
    </row>
    <row r="54" spans="1:35" ht="12" customHeight="1">
      <c r="A54" s="3065" t="s">
        <v>2043</v>
      </c>
      <c r="B54" s="3501" t="s">
        <v>3029</v>
      </c>
      <c r="C54" s="3502"/>
      <c r="D54" s="1241" t="e">
        <f ca="1">C68</f>
        <v>#N/A</v>
      </c>
      <c r="E54" s="328" t="s">
        <v>2044</v>
      </c>
      <c r="F54" s="2769">
        <f>'数据-取费表'!B41</f>
        <v>5.5000000000000007E-2</v>
      </c>
      <c r="G54" s="2770"/>
      <c r="H54" s="2771"/>
      <c r="I54" s="1985"/>
      <c r="J54" s="3054">
        <v>3</v>
      </c>
      <c r="K54" s="3477" t="s">
        <v>2045</v>
      </c>
      <c r="L54" s="3477"/>
      <c r="M54" s="2740" t="e">
        <f t="shared" ca="1" si="0"/>
        <v>#N/A</v>
      </c>
      <c r="N54" s="3054" t="str">
        <f t="shared" si="0"/>
        <v>增值额×税（费）率</v>
      </c>
      <c r="O54" s="2742" t="str">
        <f t="shared" si="0"/>
        <v>免征</v>
      </c>
    </row>
    <row r="55" spans="1:35" ht="24" customHeight="1">
      <c r="A55" s="3541" t="s">
        <v>2046</v>
      </c>
      <c r="B55" s="3518"/>
      <c r="C55" s="3518"/>
      <c r="D55" s="3051" t="e">
        <f ca="1">IF(H55="个人住宅",0,ROUND(D45*I55,0))</f>
        <v>#N/A</v>
      </c>
      <c r="E55" s="3064" t="s">
        <v>2047</v>
      </c>
      <c r="F55" s="2769" t="str">
        <f>IF(H55="正常",I55,"免征")</f>
        <v>免征</v>
      </c>
      <c r="G55" s="2770"/>
      <c r="H55" s="2765"/>
      <c r="I55" s="165">
        <f>'数据-取费表'!B49</f>
        <v>5.0000000000000001E-4</v>
      </c>
      <c r="J55" s="3054">
        <f>IF(H59="非个人房产","",4)</f>
        <v>4</v>
      </c>
      <c r="K55" s="3477" t="str">
        <f>IF(H59="非个人房产","——","个人所得税")</f>
        <v>个人所得税</v>
      </c>
      <c r="L55" s="3477"/>
      <c r="M55" s="2743" t="e">
        <f ca="1">D59</f>
        <v>#N/A</v>
      </c>
      <c r="N55" s="3055" t="str">
        <f>E59</f>
        <v>差额计税</v>
      </c>
      <c r="O55" s="2744">
        <f>F59</f>
        <v>0.01</v>
      </c>
    </row>
    <row r="56" spans="1:35" ht="24.75">
      <c r="A56" s="3541" t="s">
        <v>2048</v>
      </c>
      <c r="B56" s="3518"/>
      <c r="C56" s="3518"/>
      <c r="D56" s="3051" t="e">
        <f ca="1">IF(H56="个人住宅",D57,D58)</f>
        <v>#N/A</v>
      </c>
      <c r="E56" s="3064" t="s">
        <v>2049</v>
      </c>
      <c r="F56" s="2769" t="str">
        <f>IF(H56="正常",F58,"免征")</f>
        <v>免征</v>
      </c>
      <c r="G56" s="2772" t="s">
        <v>2050</v>
      </c>
      <c r="H56" s="2773"/>
      <c r="I56" s="1986"/>
      <c r="J56" s="3054"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3065" t="s">
        <v>2026</v>
      </c>
      <c r="B57" s="3501" t="s">
        <v>2051</v>
      </c>
      <c r="C57" s="3502"/>
      <c r="D57" s="1768">
        <v>0</v>
      </c>
      <c r="E57" s="325" t="s">
        <v>2028</v>
      </c>
      <c r="F57" s="303"/>
      <c r="G57" s="2770"/>
      <c r="H57" s="2774"/>
      <c r="I57" s="1986"/>
      <c r="J57" s="3477">
        <f>IF(AND(J55="",J56=""),4,IF(项目基本情况!K6="上海银行",'结果表 (地下仓储)'!J56+1,'结果表 (地下仓储)'!J55+1))</f>
        <v>5</v>
      </c>
      <c r="K57" s="3477" t="s">
        <v>2052</v>
      </c>
      <c r="L57" s="2745" t="s">
        <v>2053</v>
      </c>
      <c r="M57" s="2746"/>
      <c r="N57" s="2747">
        <f ca="1">SUMIF(M52:M56,"&lt;9e307")</f>
        <v>0</v>
      </c>
      <c r="O57" s="2748"/>
      <c r="P57" s="2907" t="e">
        <f ca="1">N57/M49</f>
        <v>#N/A</v>
      </c>
    </row>
    <row r="58" spans="1:35" ht="24.75">
      <c r="A58" s="3065" t="s">
        <v>2037</v>
      </c>
      <c r="B58" s="3501" t="s">
        <v>2054</v>
      </c>
      <c r="C58" s="3500"/>
      <c r="D58" s="3051" t="e">
        <f ca="1">IF(H58="转让取得",C81,C97)</f>
        <v>#N/A</v>
      </c>
      <c r="E58" s="3064" t="s">
        <v>2049</v>
      </c>
      <c r="F58" s="303" t="s">
        <v>34</v>
      </c>
      <c r="G58" s="2770"/>
      <c r="H58" s="2773"/>
      <c r="I58" s="1986"/>
      <c r="J58" s="3477"/>
      <c r="K58" s="3477"/>
      <c r="L58" s="2745" t="s">
        <v>2055</v>
      </c>
      <c r="M58" s="2749"/>
      <c r="N58" s="2750" t="str">
        <f ca="1">NUMBERSTRING(INT(N57*10000),2)&amp;"元整"</f>
        <v>零元整</v>
      </c>
      <c r="O58" s="2751"/>
    </row>
    <row r="59" spans="1:35" ht="24.75" thickBot="1">
      <c r="A59" s="3481" t="s">
        <v>2056</v>
      </c>
      <c r="B59" s="3482"/>
      <c r="C59" s="3482"/>
      <c r="D59" s="2775" t="e">
        <f ca="1">IF(H59="非个人房产","——",IF(H59="个人住宅（满五唯一有凭证）",0,IF(H59="个人其他（无凭证）",ROUND(D45*F59,0),ROUND(C67*F59,0))))</f>
        <v>#N/A</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3054" t="s">
        <v>2053</v>
      </c>
      <c r="M59" s="2752"/>
      <c r="N59" s="2753" t="e">
        <f ca="1">M49-N57</f>
        <v>#N/A</v>
      </c>
      <c r="O59" s="2754"/>
    </row>
    <row r="60" spans="1:35" ht="12" customHeight="1">
      <c r="A60" s="1987"/>
      <c r="B60" s="1925"/>
      <c r="C60" s="1925"/>
      <c r="D60" s="1925"/>
      <c r="E60" s="1756"/>
      <c r="F60" s="1986"/>
      <c r="G60" s="1986"/>
      <c r="H60" s="1988"/>
      <c r="I60" s="129"/>
      <c r="J60" s="3480"/>
      <c r="K60" s="3477"/>
      <c r="L60" s="2745" t="s">
        <v>2055</v>
      </c>
      <c r="M60" s="2749"/>
      <c r="N60" s="2750" t="e">
        <f ca="1">NUMBERSTRING(INT(N59*10000),2)&amp;"元整"</f>
        <v>#N/A</v>
      </c>
      <c r="O60" s="2751"/>
    </row>
    <row r="61" spans="1:35" ht="13.5" thickBot="1">
      <c r="A61" s="3540" t="s">
        <v>2058</v>
      </c>
      <c r="B61" s="3540"/>
      <c r="C61" s="3540"/>
      <c r="D61" s="3540"/>
      <c r="E61" s="3540"/>
      <c r="F61" s="1986"/>
      <c r="G61" s="1986"/>
      <c r="H61" s="1988"/>
      <c r="I61" s="129"/>
      <c r="J61" s="3054">
        <f>J59+1</f>
        <v>7</v>
      </c>
      <c r="K61" s="3477" t="s">
        <v>2059</v>
      </c>
      <c r="L61" s="3477"/>
      <c r="M61" s="2755"/>
      <c r="N61" s="2756" t="e">
        <f ca="1">ROUND(N59*10000/'数据-汇总表'!E3,0)</f>
        <v>#N/A</v>
      </c>
      <c r="O61" s="2757"/>
    </row>
    <row r="62" spans="1:35" ht="12.75">
      <c r="A62" s="3496" t="s">
        <v>2060</v>
      </c>
      <c r="B62" s="3497"/>
      <c r="C62" s="3059"/>
      <c r="D62" s="3059" t="s">
        <v>2061</v>
      </c>
      <c r="E62" s="166" t="s">
        <v>2062</v>
      </c>
      <c r="F62" s="1986"/>
      <c r="G62" s="1986"/>
      <c r="H62" s="1988"/>
      <c r="I62" s="129"/>
    </row>
    <row r="63" spans="1:35" ht="12.75">
      <c r="A63" s="173" t="s">
        <v>775</v>
      </c>
      <c r="B63" s="167" t="s">
        <v>2063</v>
      </c>
      <c r="C63" s="2779" t="e">
        <f ca="1">ROUND((C64+C65)/(1+'数据-取费表'!C42),0)</f>
        <v>#N/A</v>
      </c>
      <c r="D63" s="167"/>
      <c r="E63" s="168"/>
      <c r="F63" s="1986"/>
      <c r="G63" s="1986"/>
      <c r="H63" s="1988"/>
      <c r="I63" s="129"/>
      <c r="J63" s="3460" t="s">
        <v>2064</v>
      </c>
      <c r="K63" s="3052" t="s">
        <v>2065</v>
      </c>
      <c r="L63" s="3052" t="e">
        <f ca="1">IF(M49&gt;10000,M49*0.5%,IF(AND(M49&gt;1000,M49&lt;=10000),M49*1%,IF(AND(M49&gt;100,M49&lt;=1000),M49*3%,IF(AND(M49&gt;10,M49&lt;=100),M49*5%,M49*8%))))</f>
        <v>#N/A</v>
      </c>
      <c r="M63" s="303" t="e">
        <f ca="1">ROUND(L63,1)</f>
        <v>#N/A</v>
      </c>
      <c r="N63" s="2758"/>
      <c r="Z63" s="1930"/>
      <c r="AI63" s="1931"/>
    </row>
    <row r="64" spans="1:35" ht="14.25" customHeight="1">
      <c r="A64" s="169" t="s">
        <v>770</v>
      </c>
      <c r="B64" s="170" t="s">
        <v>2066</v>
      </c>
      <c r="C64" s="2780" t="e">
        <f ca="1">D45</f>
        <v>#N/A</v>
      </c>
      <c r="D64" s="170" t="s">
        <v>32</v>
      </c>
      <c r="E64" s="172"/>
      <c r="F64" s="1986"/>
      <c r="G64" s="1986"/>
      <c r="H64" s="1988"/>
      <c r="I64" s="129"/>
      <c r="J64" s="3460"/>
      <c r="K64" s="3052" t="s">
        <v>2067</v>
      </c>
      <c r="L64" s="3052" t="e">
        <f ca="1">IF(M49&gt;2000,M49*0.5%,IF(AND(M49&gt;1000,M49&lt;=2000),M49*0.6%,IF(AND(M49&gt;500,M49&lt;=1000),M49*0.7%,IF(AND(M49&gt;200,M49&lt;=500),M49*0.8%,IF(AND(M49&gt;100,M49&lt;=200),M49*0.9%,IF(AND(M49&gt;50,M49&lt;=100),M49*1%,IF(AND(M49&gt;20,M49&lt;=50),M49*1.5%,IF(AND(M49&gt;10,M49&lt;=20),M49*2%,IF(AND(M49&gt;1,M49&lt;=10),M49*2.5%)))))))))</f>
        <v>#N/A</v>
      </c>
      <c r="M64" s="303" t="e">
        <f t="shared" ref="M64:M65" ca="1" si="1">ROUND(L64,1)</f>
        <v>#N/A</v>
      </c>
      <c r="N64" s="2759" t="s">
        <v>2068</v>
      </c>
      <c r="Z64" s="1930"/>
      <c r="AI64" s="1931"/>
    </row>
    <row r="65" spans="1:35" ht="14.25" customHeight="1">
      <c r="A65" s="169" t="s">
        <v>771</v>
      </c>
      <c r="B65" s="170" t="s">
        <v>2069</v>
      </c>
      <c r="C65" s="2781"/>
      <c r="D65" s="170"/>
      <c r="E65" s="172"/>
      <c r="F65" s="1986"/>
      <c r="G65" s="1986"/>
      <c r="H65" s="1988"/>
      <c r="I65" s="129"/>
      <c r="J65" s="3460"/>
      <c r="K65" s="3052" t="s">
        <v>2070</v>
      </c>
      <c r="L65" s="3052" t="e">
        <f ca="1">IF(M49&gt;1000,M49*0.1%,IF(AND(M49&gt;500,M49&lt;=1000),M49*0.5%,IF(AND(M49&gt;50,M49&lt;=500),M49*1%,IF(AND(M49&gt;1,M49&lt;=50),M49*1.5%))))</f>
        <v>#N/A</v>
      </c>
      <c r="M65" s="303" t="e">
        <f t="shared" ca="1" si="1"/>
        <v>#N/A</v>
      </c>
      <c r="N65" s="2759" t="s">
        <v>2068</v>
      </c>
      <c r="Z65" s="1930"/>
      <c r="AI65" s="1931"/>
    </row>
    <row r="66" spans="1:35" ht="14.25" customHeight="1">
      <c r="A66" s="173" t="s">
        <v>772</v>
      </c>
      <c r="B66" s="174" t="s">
        <v>2071</v>
      </c>
      <c r="C66" s="2782"/>
      <c r="D66" s="174" t="s">
        <v>32</v>
      </c>
      <c r="E66" s="1502" t="s">
        <v>1337</v>
      </c>
      <c r="F66" s="1986"/>
      <c r="G66" s="1986"/>
      <c r="H66" s="1988"/>
      <c r="I66" s="129"/>
      <c r="J66" s="3460"/>
      <c r="K66" s="3052" t="s">
        <v>2072</v>
      </c>
      <c r="L66" s="3052" t="e">
        <f ca="1">M49*0.5%</f>
        <v>#N/A</v>
      </c>
      <c r="M66" s="303" t="e">
        <f ca="1">IF(L66&gt;0.5,0.5,ROUND(L66,0))</f>
        <v>#N/A</v>
      </c>
      <c r="N66" s="2759" t="s">
        <v>2073</v>
      </c>
      <c r="Z66" s="1930"/>
      <c r="AI66" s="1931"/>
    </row>
    <row r="67" spans="1:35" ht="14.25" customHeight="1">
      <c r="A67" s="173" t="s">
        <v>773</v>
      </c>
      <c r="B67" s="174" t="s">
        <v>2074</v>
      </c>
      <c r="C67" s="2783" t="e">
        <f ca="1">C63-C66</f>
        <v>#N/A</v>
      </c>
      <c r="D67" s="170" t="s">
        <v>32</v>
      </c>
      <c r="E67" s="172"/>
      <c r="F67" s="1986"/>
      <c r="G67" s="1986"/>
      <c r="H67" s="1988"/>
      <c r="I67" s="129"/>
      <c r="J67" s="3460"/>
      <c r="K67" s="3052" t="s">
        <v>2075</v>
      </c>
      <c r="L67" s="3052" t="e">
        <f ca="1">IF(M49&gt;=10000,(8.25+(M49-10000)*0.01%),IF(AND(M49&gt;=8000,M49&lt;10000),(7.85+(M49-8000)*0.02%),IF(AND(M49&gt;=5000,M49&lt;8000),(6.65+(M49-5000)*0.04%),IF(AND(M49&gt;=2000,M49&lt;5000),(4.25+(PM49-2000)*0.08%),IF(AND(M49&gt;=1000,M49&lt;2000),(2.75+(M49-1000)*0.15%),IF(AND(M49&gt;=100,M49&lt;1000),(0.5+(M49-100)*0.25%),IF(AND(M49&gt;0,M49&lt;100),M49*0.5%)))))))</f>
        <v>#N/A</v>
      </c>
      <c r="M67" s="303" t="e">
        <f ca="1">ROUND(L67*0.9,1)</f>
        <v>#N/A</v>
      </c>
      <c r="N67" s="2758"/>
      <c r="Z67" s="1930"/>
      <c r="AI67" s="1931"/>
    </row>
    <row r="68" spans="1:35" ht="14.25" customHeight="1" thickBot="1">
      <c r="A68" s="176" t="s">
        <v>774</v>
      </c>
      <c r="B68" s="177" t="s">
        <v>2076</v>
      </c>
      <c r="C68" s="2784" t="e">
        <f ca="1">IF(C67&lt;=0,0,ROUND(C67*D68,0))</f>
        <v>#N/A</v>
      </c>
      <c r="D68" s="2785">
        <f>'数据-取费表'!B41</f>
        <v>5.5000000000000007E-2</v>
      </c>
      <c r="E68" s="179"/>
      <c r="F68" s="1986"/>
      <c r="G68" s="1986"/>
      <c r="H68" s="1988"/>
      <c r="I68" s="129"/>
      <c r="J68" s="3460"/>
      <c r="K68" s="3052" t="s">
        <v>2077</v>
      </c>
      <c r="L68" s="3052" t="e">
        <f ca="1">IF(M49&gt;10000,M49*0.5%,IF(AND(M49&gt;5000,M49&lt;=10000),M49*1%,IF(AND(M49&gt;1000,M49&lt;=5000),M49*2%,IF(AND(M49&gt;200,M49&lt;=1000),M49*3%,M49*5%))))</f>
        <v>#N/A</v>
      </c>
      <c r="M68" s="303" t="e">
        <f ca="1">ROUND(L68,1)</f>
        <v>#N/A</v>
      </c>
      <c r="N68" s="2758"/>
      <c r="Z68" s="1930"/>
      <c r="AI68" s="1931"/>
    </row>
    <row r="69" spans="1:35" s="1950" customFormat="1" ht="16.5" customHeight="1">
      <c r="A69" s="1989"/>
      <c r="B69" s="1990"/>
      <c r="C69" s="1991"/>
      <c r="D69" s="1992"/>
      <c r="E69" s="1993"/>
      <c r="F69" s="1756"/>
      <c r="G69" s="1756"/>
      <c r="H69" s="1755"/>
      <c r="I69" s="1925"/>
      <c r="J69" s="3460"/>
      <c r="K69" s="3052" t="s">
        <v>2078</v>
      </c>
      <c r="L69" s="3052"/>
      <c r="M69" s="303" t="e">
        <f ca="1">ROUND(SUM(M63:M68),0)</f>
        <v>#N/A</v>
      </c>
      <c r="N69" s="2760" t="e">
        <f ca="1">M69/M49</f>
        <v>#N/A</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3059"/>
      <c r="D71" s="3059"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t="e">
        <f ca="1">ROUND(D45/(1+'数据-取费表'!C42),0)</f>
        <v>#N/A</v>
      </c>
      <c r="D72" s="170" t="s">
        <v>32</v>
      </c>
      <c r="E72" s="3061"/>
      <c r="F72" s="3060"/>
      <c r="G72" s="3060"/>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t="e">
        <f ca="1">C74+C78</f>
        <v>#N/A</v>
      </c>
      <c r="D73" s="170" t="s">
        <v>32</v>
      </c>
      <c r="E73" s="3061"/>
      <c r="F73" s="3060"/>
      <c r="G73" s="3060"/>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3061"/>
      <c r="F74" s="3060"/>
      <c r="G74" s="3060"/>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3051" t="s">
        <v>2089</v>
      </c>
      <c r="F77" s="187"/>
      <c r="G77" s="2000"/>
      <c r="H77" s="3062"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t="e">
        <f ca="1">ROUND(D45*D78/(1+'数据-取费表'!C42),0)</f>
        <v>#N/A</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773</v>
      </c>
      <c r="B79" s="174" t="s">
        <v>2092</v>
      </c>
      <c r="C79" s="2783" t="e">
        <f ca="1">C72-C73</f>
        <v>#N/A</v>
      </c>
      <c r="D79" s="170" t="s">
        <v>32</v>
      </c>
      <c r="E79" s="3061"/>
      <c r="F79" s="3060"/>
      <c r="G79" s="3060"/>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t="e">
        <f ca="1">IF(C79&lt;=0,0,C79/C73)</f>
        <v>#N/A</v>
      </c>
      <c r="D80" s="170" t="s">
        <v>32</v>
      </c>
      <c r="E80" s="3051" t="e">
        <f ca="1">IF(C80&gt;=200%,"增值额超过扣除项目金额200%",IF(C80&gt;=100%,"增值额超过扣除项目金额100%，未超过200%",IF(C80&gt;=50%,"增值额超过扣除项目金额50%，未超过100%",IF(C80&lt;50%,"增值额未超过扣除项目金额50%"))))</f>
        <v>#N/A</v>
      </c>
      <c r="F80" s="3060"/>
      <c r="G80" s="3060"/>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t="e">
        <f ca="1">ROUND(IF(C79&lt;=0,0,IF(C80&gt;=200%,C79*60%-C73*35%,IF(C80&gt;=100%,C79*50%-C73*15%,IF(C80&gt;=50%,C79*40%-C73*5%,IF(C80&lt;50%,C79*30%,0))))),0)</f>
        <v>#N/A</v>
      </c>
      <c r="D81" s="2795"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3059"/>
      <c r="D84" s="3059"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t="e">
        <f ca="1">ROUND(D45/(1+'数据-取费表'!C42),0)</f>
        <v>#N/A</v>
      </c>
      <c r="D85" s="170" t="s">
        <v>32</v>
      </c>
      <c r="E85" s="3061"/>
      <c r="F85" s="3060"/>
      <c r="G85" s="3060"/>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t="e">
        <f ca="1">IF(H88="仅含出让金",C87+C90+C91+C92+C93+C94,C87+C91+C92+C93+C94)</f>
        <v>#N/A</v>
      </c>
      <c r="D86" s="2796"/>
      <c r="E86" s="3061"/>
      <c r="F86" s="3060"/>
      <c r="G86" s="3060"/>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3056"/>
      <c r="F87" s="3057"/>
      <c r="G87" s="3057"/>
      <c r="H87" s="3058"/>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3057"/>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3057"/>
      <c r="G89" s="3057"/>
      <c r="H89" s="3058"/>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3057"/>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t="e">
        <f ca="1">ROUND(D45*D93/(1+'数据-取费表'!C42),0)</f>
        <v>#N/A</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773</v>
      </c>
      <c r="B95" s="174" t="s">
        <v>2092</v>
      </c>
      <c r="C95" s="2783" t="e">
        <f ca="1">ROUND(C85-C86,0)</f>
        <v>#N/A</v>
      </c>
      <c r="D95" s="170" t="s">
        <v>32</v>
      </c>
      <c r="E95" s="3061"/>
      <c r="F95" s="3060"/>
      <c r="G95" s="3060"/>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t="e">
        <f ca="1">IF(C95&lt;=0,0,C95/C86)</f>
        <v>#N/A</v>
      </c>
      <c r="D96" s="170" t="s">
        <v>32</v>
      </c>
      <c r="E96" s="3051" t="e">
        <f ca="1">IF(C96&gt;=200%,"增值额超过扣除项目金额200%",IF(C96&gt;=100%,"增值额超过扣除项目金额100%，未超过200%",IF(C96&gt;=50%,"增值额超过扣除项目金额50%，未超过100%",IF(C96&lt;50%,"增值额未超过扣除项目金额50%"))))</f>
        <v>#N/A</v>
      </c>
      <c r="F96" s="3060"/>
      <c r="G96" s="3060"/>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t="e">
        <f ca="1">ROUND(IF(C95&lt;=0,0,IF(C96&gt;=200%,C95*60%-C86*35%,IF(C96&gt;=100%,C95*50%-C86*15%,IF(C96&gt;=50%,C95*40%-C86*5%,IF(C96&lt;50%,C95*30%,0))))),0)</f>
        <v>#N/A</v>
      </c>
      <c r="D97" s="2795"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 (地下仓储)</v>
      </c>
      <c r="D101" s="2801" t="str">
        <f>D4</f>
        <v>比较法-仓储</v>
      </c>
      <c r="E101" s="3456" t="s">
        <v>2116</v>
      </c>
      <c r="F101" s="3457"/>
      <c r="G101" s="2005" t="s">
        <v>2117</v>
      </c>
      <c r="H101" s="2810" t="e">
        <f ca="1">H118</f>
        <v>#N/A</v>
      </c>
      <c r="I101" s="129"/>
    </row>
    <row r="102" spans="1:35" ht="18.75" customHeight="1">
      <c r="A102" s="3488" t="s">
        <v>2118</v>
      </c>
      <c r="B102" s="2799" t="s">
        <v>2117</v>
      </c>
      <c r="C102" s="2800" t="e">
        <f ca="1">C19</f>
        <v>#N/A</v>
      </c>
      <c r="D102" s="2801">
        <f ca="1">D19</f>
        <v>0</v>
      </c>
      <c r="E102" s="3456"/>
      <c r="F102" s="3457"/>
      <c r="G102" s="2005" t="s">
        <v>2119</v>
      </c>
      <c r="H102" s="2770" t="e">
        <f ca="1">I118</f>
        <v>#N/A</v>
      </c>
      <c r="I102" s="129"/>
    </row>
    <row r="103" spans="1:35" ht="42.75" customHeight="1">
      <c r="A103" s="3488"/>
      <c r="B103" s="2799" t="s">
        <v>2119</v>
      </c>
      <c r="C103" s="2802" t="e">
        <f ca="1">C20</f>
        <v>#N/A</v>
      </c>
      <c r="D103" s="2803">
        <f ca="1">D20</f>
        <v>28532</v>
      </c>
      <c r="E103" s="3449" t="s">
        <v>2120</v>
      </c>
      <c r="F103" s="3450"/>
      <c r="G103" s="2006" t="s">
        <v>2121</v>
      </c>
      <c r="H103" s="2810">
        <f>IF(D36="正常操作",H104+H105+H106,H105+H106)</f>
        <v>0</v>
      </c>
      <c r="I103" s="129"/>
    </row>
    <row r="104" spans="1:35" ht="18.75" customHeight="1">
      <c r="A104" s="3488" t="s">
        <v>2122</v>
      </c>
      <c r="B104" s="2804" t="s">
        <v>2117</v>
      </c>
      <c r="C104" s="2805" t="e">
        <f ca="1">H118</f>
        <v>#N/A</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t="e">
        <f ca="1">I118</f>
        <v>#N/A</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t="e">
        <f ca="1">IF(E107="——","——",H101-H103)</f>
        <v>#N/A</v>
      </c>
      <c r="I107" s="129"/>
    </row>
    <row r="108" spans="1:35" ht="18.75" customHeight="1">
      <c r="A108" s="129"/>
      <c r="B108" s="129"/>
      <c r="C108" s="129"/>
      <c r="D108" s="129"/>
      <c r="E108" s="3489"/>
      <c r="F108" s="3457"/>
      <c r="G108" s="2005" t="s">
        <v>2119</v>
      </c>
      <c r="H108" s="2770" t="e">
        <f ca="1">ROUND(H107*10000/'数据-汇总表'!E3,0)</f>
        <v>#N/A</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3053" t="s">
        <v>2134</v>
      </c>
      <c r="E117" s="3053" t="s">
        <v>2135</v>
      </c>
      <c r="F117" s="3053" t="s">
        <v>2134</v>
      </c>
      <c r="G117" s="3053" t="s">
        <v>2136</v>
      </c>
      <c r="H117" s="3053" t="s">
        <v>2134</v>
      </c>
      <c r="I117" s="3053" t="s">
        <v>2136</v>
      </c>
    </row>
    <row r="118" spans="1:27" ht="24.75" customHeight="1">
      <c r="A118" s="2815" t="str">
        <f>项目基本情况!S2</f>
        <v>北京市0331地块部分在建工程出让国有建设用地使用权及在建建筑物房地产</v>
      </c>
      <c r="B118" s="3053">
        <f>M18</f>
        <v>0</v>
      </c>
      <c r="C118" s="3053">
        <f>M19</f>
        <v>0</v>
      </c>
      <c r="D118" s="3053" t="e">
        <f ca="1">ROUND(IF(D32="总价",C34,E118*B118/10000),0)</f>
        <v>#N/A</v>
      </c>
      <c r="E118" s="3053" t="e">
        <f ca="1">ROUND(IF(C33="自定义",IF(D32="楼面单价",C34,D118*10000/B118),I118-G118),0)</f>
        <v>#N/A</v>
      </c>
      <c r="F118" s="3053" t="e">
        <f ca="1">ROUND(IF(D32="总价",C35,G118*B118/10000),0)</f>
        <v>#N/A</v>
      </c>
      <c r="G118" s="3053" t="e">
        <f ca="1">ROUND(IF(D32="楼面单价",C35,F118*10000/B118),0)</f>
        <v>#N/A</v>
      </c>
      <c r="H118" s="3053" t="e">
        <f ca="1">ROUND(IF(D32="总价",C32,I118*B118/10000),0)</f>
        <v>#N/A</v>
      </c>
      <c r="I118" s="3053" t="e">
        <f ca="1">ROUND(IF(D32="楼面单价",C32,H118*10000/B118),0)</f>
        <v>#N/A</v>
      </c>
    </row>
    <row r="119" spans="1:27" ht="18.75" customHeight="1">
      <c r="A119" s="3464" t="s">
        <v>2137</v>
      </c>
      <c r="B119" s="3464"/>
      <c r="C119" s="3464"/>
      <c r="D119" s="3470" t="e">
        <f ca="1">NUMBERSTRING(INT(D118*10000),2)&amp;"元整"</f>
        <v>#N/A</v>
      </c>
      <c r="E119" s="3471"/>
      <c r="F119" s="3470" t="e">
        <f ca="1">NUMBERSTRING(INT(F118*10000),2)&amp;"元整"</f>
        <v>#N/A</v>
      </c>
      <c r="G119" s="3471"/>
      <c r="H119" s="3470" t="e">
        <f ca="1">NUMBERSTRING(INT(H118*10000),2)&amp;"元整"</f>
        <v>#N/A</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t="e">
        <f ca="1">H107</f>
        <v>#N/A</v>
      </c>
      <c r="E122" s="3466"/>
      <c r="F122" s="3466"/>
      <c r="G122" s="3466"/>
      <c r="H122" s="3466"/>
      <c r="I122" s="3467"/>
      <c r="AA122" s="729"/>
    </row>
    <row r="123" spans="1:27" ht="18.75" customHeight="1">
      <c r="A123" s="3464" t="s">
        <v>2137</v>
      </c>
      <c r="B123" s="3464"/>
      <c r="C123" s="3464"/>
      <c r="D123" s="3470" t="e">
        <f ca="1">NUMBERSTRING(INT(D122*10000),2)&amp;"元整"</f>
        <v>#N/A</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12" priority="10" stopIfTrue="1" operator="equal">
      <formula>25</formula>
    </cfRule>
  </conditionalFormatting>
  <conditionalFormatting sqref="C8:C9">
    <cfRule type="cellIs" dxfId="111" priority="9" stopIfTrue="1" operator="equal">
      <formula>15</formula>
    </cfRule>
  </conditionalFormatting>
  <conditionalFormatting sqref="C14:C16">
    <cfRule type="cellIs" dxfId="110" priority="8" stopIfTrue="1" operator="equal">
      <formula>30</formula>
    </cfRule>
  </conditionalFormatting>
  <conditionalFormatting sqref="D5:D7">
    <cfRule type="cellIs" dxfId="109" priority="7" stopIfTrue="1" operator="equal">
      <formula>25</formula>
    </cfRule>
  </conditionalFormatting>
  <conditionalFormatting sqref="D8:D9">
    <cfRule type="cellIs" dxfId="108" priority="6" stopIfTrue="1" operator="equal">
      <formula>15</formula>
    </cfRule>
  </conditionalFormatting>
  <conditionalFormatting sqref="C10:D13">
    <cfRule type="cellIs" dxfId="107" priority="5" stopIfTrue="1" operator="equal">
      <formula>15</formula>
    </cfRule>
  </conditionalFormatting>
  <conditionalFormatting sqref="D14:D16">
    <cfRule type="cellIs" dxfId="106" priority="4" stopIfTrue="1" operator="equal">
      <formula>30</formula>
    </cfRule>
  </conditionalFormatting>
  <conditionalFormatting sqref="C90">
    <cfRule type="expression" dxfId="105" priority="3" stopIfTrue="1">
      <formula>$H$88&lt;&gt;"仅含出让金"</formula>
    </cfRule>
  </conditionalFormatting>
  <conditionalFormatting sqref="C91">
    <cfRule type="expression" dxfId="104" priority="2" stopIfTrue="1">
      <formula>$H$91="由企业提供"</formula>
    </cfRule>
  </conditionalFormatting>
  <conditionalFormatting sqref="E36">
    <cfRule type="expression" dxfId="103"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"100%,80%,60%,64%"</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70" zoomScaleNormal="70" zoomScaleSheetLayoutView="70" workbookViewId="0">
      <selection activeCell="E23" sqref="E23"/>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t="s">
        <v>3234</v>
      </c>
      <c r="C1" s="199"/>
      <c r="D1" s="199"/>
      <c r="E1" s="199"/>
      <c r="F1" s="199"/>
      <c r="G1" s="1282" t="e">
        <f>MATCH(B1,'数据-取费表'!A6:A16,0)+5</f>
        <v>#N/A</v>
      </c>
    </row>
    <row r="2" spans="1:9" s="201" customFormat="1" ht="18" customHeight="1">
      <c r="A2" s="202" t="s">
        <v>1359</v>
      </c>
      <c r="B2" s="203" t="e">
        <f ca="1">IF(D2="——",C52,C52-E2)</f>
        <v>#N/A</v>
      </c>
      <c r="C2" s="200" t="s">
        <v>2148</v>
      </c>
      <c r="D2" s="2031" t="s">
        <v>70</v>
      </c>
      <c r="E2" s="1325" t="e">
        <f ca="1">SUMIF(INDIRECT("'"&amp;G2&amp;"'"&amp;"!A:A"),"承租人权益价值",INDIRECT("'"&amp;G2&amp;"'"&amp;"!c:c"))</f>
        <v>#REF!</v>
      </c>
      <c r="F2" s="2032" t="s">
        <v>2148</v>
      </c>
      <c r="G2" s="2033"/>
    </row>
    <row r="3" spans="1:9" s="201" customFormat="1" ht="18" customHeight="1" thickBot="1">
      <c r="A3" s="204" t="s">
        <v>1360</v>
      </c>
      <c r="B3" s="205" t="e">
        <f ca="1">ROUND(B2*10000/(IF(B1="",'数据-汇总表'!E3,INDIRECT("'数据-取费表'!k"&amp;$G$1))),0)</f>
        <v>#N/A</v>
      </c>
      <c r="C3" s="200" t="s">
        <v>2150</v>
      </c>
      <c r="D3" s="200"/>
      <c r="E3" s="200"/>
      <c r="F3" s="200"/>
      <c r="G3" s="200"/>
    </row>
    <row r="4" spans="1:9" s="209" customFormat="1" ht="15.75">
      <c r="A4" s="206" t="s">
        <v>2151</v>
      </c>
      <c r="B4" s="207"/>
      <c r="C4" s="207"/>
      <c r="D4" s="207"/>
      <c r="E4" s="207"/>
      <c r="F4" s="207"/>
      <c r="G4" s="208"/>
    </row>
    <row r="5" spans="1:9" s="215" customFormat="1" ht="13.5" customHeight="1">
      <c r="A5" s="256" t="s">
        <v>782</v>
      </c>
      <c r="B5" s="211" t="s">
        <v>2153</v>
      </c>
      <c r="C5" s="212">
        <f>C6+C7+C8</f>
        <v>4833</v>
      </c>
      <c r="D5" s="212" t="s">
        <v>2154</v>
      </c>
      <c r="E5" s="213" t="s">
        <v>2155</v>
      </c>
      <c r="F5" s="213" t="s">
        <v>2156</v>
      </c>
      <c r="G5" s="214"/>
    </row>
    <row r="6" spans="1:9" s="215" customFormat="1" ht="13.5" customHeight="1">
      <c r="A6" s="880" t="s">
        <v>791</v>
      </c>
      <c r="B6" s="216" t="s">
        <v>2158</v>
      </c>
      <c r="C6" s="217">
        <f>'土地比较法-住宅、综合'!F62</f>
        <v>4690</v>
      </c>
      <c r="D6" s="218"/>
      <c r="E6" s="219"/>
      <c r="F6" s="219"/>
      <c r="G6" s="220"/>
    </row>
    <row r="7" spans="1:9" s="215" customFormat="1" ht="13.5" customHeight="1">
      <c r="A7" s="880" t="s">
        <v>792</v>
      </c>
      <c r="B7" s="216" t="s">
        <v>2160</v>
      </c>
      <c r="C7" s="221">
        <f>ROUND(C6*F7,0)</f>
        <v>143</v>
      </c>
      <c r="D7" s="221"/>
      <c r="E7" s="219"/>
      <c r="F7" s="222">
        <f>IF(项目基本情况!B8="出让",0,'数据-取费表'!B48+'数据-取费表'!B49)</f>
        <v>3.0499999999999999E-2</v>
      </c>
      <c r="G7" s="220"/>
    </row>
    <row r="8" spans="1:9" s="224" customFormat="1">
      <c r="A8" s="880" t="s">
        <v>793</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t="e">
        <f ca="1">ROUND(D9*E9/10000,0)</f>
        <v>#N/A</v>
      </c>
      <c r="D9" s="948" t="e">
        <f ca="1">IF(B1="",'数据-汇总表'!E5,IF(INDIRECT("'数据-取费表'!c"&amp;$G$1)="住宅",INDIRECT("'数据-取费表'!k"&amp;$G$1),0))</f>
        <v>#N/A</v>
      </c>
      <c r="E9" s="226">
        <f>'数据-取费表'!B27</f>
        <v>0</v>
      </c>
      <c r="F9" s="222"/>
      <c r="G9" s="2035"/>
      <c r="H9" s="1293"/>
      <c r="I9" s="2036" t="s">
        <v>2164</v>
      </c>
    </row>
    <row r="10" spans="1:9" s="215" customFormat="1" ht="13.5" customHeight="1">
      <c r="A10" s="881" t="s">
        <v>801</v>
      </c>
      <c r="B10" s="225" t="s">
        <v>2165</v>
      </c>
      <c r="C10" s="226" t="e">
        <f ca="1">ROUND(D10*E10/10000,0)</f>
        <v>#N/A</v>
      </c>
      <c r="D10" s="948" t="e">
        <f ca="1">IF(B1="",'数据-汇总表'!E6,IF(INDIRECT("'数据-取费表'!c"&amp;$G$1)="住宅",INDIRECT("'数据-取费表'!s"&amp;$G$1),INDIRECT("'数据-取费表'!k"&amp;$G$1)+INDIRECT("'数据-取费表'!s"&amp;$G$1)))</f>
        <v>#N/A</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2162</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2162</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t="e">
        <f ca="1">D9+D10</f>
        <v>#N/A</v>
      </c>
      <c r="E19" s="212">
        <f>'数据-取费表'!B31</f>
        <v>200</v>
      </c>
      <c r="F19" s="232"/>
      <c r="G19" s="2034" t="s">
        <v>3256</v>
      </c>
    </row>
    <row r="20" spans="1:7" s="215" customFormat="1" ht="13.5" customHeight="1">
      <c r="A20" s="256" t="s">
        <v>2178</v>
      </c>
      <c r="B20" s="211" t="s">
        <v>2179</v>
      </c>
      <c r="C20" s="233">
        <f>ROUND((C5+C19)*F20,0)</f>
        <v>145</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127</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791</v>
      </c>
      <c r="B23" s="216" t="s">
        <v>2188</v>
      </c>
      <c r="C23" s="1259">
        <f ca="1">ROUND(IF('数据-取费表'!B22&lt;=1,C5*F22*'数据-取费表'!B23,C5*(POWER((1+F22),'数据-取费表'!B23)-1)),0)</f>
        <v>125</v>
      </c>
      <c r="D23" s="239"/>
      <c r="E23" s="239"/>
      <c r="F23" s="240"/>
      <c r="G23" s="241" t="s">
        <v>2189</v>
      </c>
    </row>
    <row r="24" spans="1:7" s="215" customFormat="1" ht="13.5" customHeight="1">
      <c r="A24" s="882" t="s">
        <v>792</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793</v>
      </c>
      <c r="B25" s="216" t="s">
        <v>2194</v>
      </c>
      <c r="C25" s="1259">
        <f ca="1">ROUND(IF('数据-取费表'!B22&lt;=1,C20*F22*'数据-取费表'!B23/2,C20*(POWER((1+F22),'数据-取费表'!B23/2)-1)),0)</f>
        <v>2</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t="e">
        <f ca="1">C28</f>
        <v>#N/A</v>
      </c>
      <c r="D27" s="236" t="e">
        <f ca="1">C29</f>
        <v>#N/A</v>
      </c>
      <c r="E27" s="237" t="s">
        <v>2183</v>
      </c>
      <c r="F27" s="247" t="e">
        <f ca="1">IF(B1="",'数据-取费表'!Q16,INDIRECT("'数据-取费表'!q"&amp;$G$1))</f>
        <v>#N/A</v>
      </c>
      <c r="G27" s="248" t="s">
        <v>2200</v>
      </c>
    </row>
    <row r="28" spans="1:7" s="215" customFormat="1" ht="13.5" customHeight="1">
      <c r="A28" s="882" t="s">
        <v>791</v>
      </c>
      <c r="B28" s="249" t="s">
        <v>2201</v>
      </c>
      <c r="C28" s="250" t="e">
        <f ca="1">ROUND((C5+C19+C20)*F27*'数据-取费表'!B21/'数据-取费表'!B20,0)</f>
        <v>#N/A</v>
      </c>
      <c r="D28" s="236"/>
      <c r="E28" s="237"/>
      <c r="F28" s="247"/>
      <c r="G28" s="248"/>
    </row>
    <row r="29" spans="1:7" s="215" customFormat="1" ht="13.5" customHeight="1">
      <c r="A29" s="882" t="s">
        <v>792</v>
      </c>
      <c r="B29" s="249" t="s">
        <v>2202</v>
      </c>
      <c r="C29" s="239" t="e">
        <f ca="1">ROUND(C21*F27*'数据-取费表'!B21/'数据-取费表'!B20,4)</f>
        <v>#N/A</v>
      </c>
      <c r="D29" s="236"/>
      <c r="E29" s="237"/>
      <c r="F29" s="247"/>
      <c r="G29" s="248"/>
    </row>
    <row r="30" spans="1:7" s="215" customFormat="1" ht="13.5" customHeight="1">
      <c r="A30" s="256" t="s">
        <v>2203</v>
      </c>
      <c r="B30" s="211" t="s">
        <v>2204</v>
      </c>
      <c r="C30" s="236">
        <f>ROUND(F30/(1+'数据-取费表'!C42),4)</f>
        <v>5.2400000000000002E-2</v>
      </c>
      <c r="D30" s="237" t="s">
        <v>2183</v>
      </c>
      <c r="E30" s="242"/>
      <c r="F30" s="238">
        <f>'数据-取费表'!B41</f>
        <v>5.5000000000000007E-2</v>
      </c>
      <c r="G30" s="235" t="s">
        <v>2205</v>
      </c>
    </row>
    <row r="31" spans="1:7" ht="16.5" customHeight="1">
      <c r="A31" s="210">
        <v>1</v>
      </c>
      <c r="B31" s="211" t="s">
        <v>2206</v>
      </c>
      <c r="C31" s="212" t="e">
        <f ca="1">ROUND((C5+C19+C20+C22+C27)/(1-C21-D22-D27-C30),0)</f>
        <v>#N/A</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t="e">
        <f ca="1">SUM(C34:C38)</f>
        <v>#N/A</v>
      </c>
      <c r="D33" s="233"/>
      <c r="E33" s="213"/>
      <c r="F33" s="242"/>
      <c r="G33" s="235"/>
    </row>
    <row r="34" spans="1:7" s="259" customFormat="1" ht="13.5" customHeight="1">
      <c r="A34" s="882" t="s">
        <v>791</v>
      </c>
      <c r="B34" s="216" t="s">
        <v>2210</v>
      </c>
      <c r="C34" s="221" t="e">
        <f ca="1">IF(B1="",IF(F34=100%,'数据-取费表'!M16,'数据-取费表'!O16),IF(F34=100%,INDIRECT("'数据-取费表'!m"&amp;$G$1)+INDIRECT("'数据-取费表'!t"&amp;$G$1),INDIRECT("'数据-取费表'!o"&amp;$G$1)+INDIRECT("'数据-取费表'!aq"&amp;$G$1)))</f>
        <v>#N/A</v>
      </c>
      <c r="D34" s="218"/>
      <c r="E34" s="221"/>
      <c r="F34" s="258" t="e">
        <f ca="1">IF('数据-取费表'!B24=0,1,IF(B1="",'数据-取费表'!N16,INDIRECT("'数据-取费表'!n"&amp;$G$1)))</f>
        <v>#N/A</v>
      </c>
      <c r="G34" s="220" t="s">
        <v>2211</v>
      </c>
    </row>
    <row r="35" spans="1:7" ht="13.5" customHeight="1">
      <c r="A35" s="882" t="s">
        <v>796</v>
      </c>
      <c r="B35" s="216" t="s">
        <v>2212</v>
      </c>
      <c r="C35" s="221" t="e">
        <f ca="1">ROUND(C34*F35,0)</f>
        <v>#N/A</v>
      </c>
      <c r="D35" s="221"/>
      <c r="E35" s="221"/>
      <c r="F35" s="260">
        <f>'数据-取费表'!B33</f>
        <v>0.05</v>
      </c>
      <c r="G35" s="220" t="s">
        <v>2213</v>
      </c>
    </row>
    <row r="36" spans="1:7" ht="24">
      <c r="A36" s="882" t="s">
        <v>797</v>
      </c>
      <c r="B36" s="216" t="s">
        <v>2214</v>
      </c>
      <c r="C36" s="221" t="e">
        <f ca="1">ROUND(IF(B1="",SUMIF('数据-取费表'!C:C,"住宅",IF(F34=100%,'数据-取费表'!M:M,'数据-取费表'!O:O))*F36,IF(INDIRECT("'数据-取费表'!c"&amp;$G$1)="住宅",IF(F34=100%,INDIRECT("'数据-取费表'!m"&amp;$G$1)*F36,INDIRECT("'数据-取费表'!o"&amp;$G$1)*F36),0)),0)</f>
        <v>#N/A</v>
      </c>
      <c r="D36" s="221"/>
      <c r="E36" s="221"/>
      <c r="F36" s="260">
        <f>'数据-取费表'!B34</f>
        <v>0.05</v>
      </c>
      <c r="G36" s="261" t="s">
        <v>2215</v>
      </c>
    </row>
    <row r="37" spans="1:7" s="259" customFormat="1" ht="13.5" customHeight="1">
      <c r="A37" s="882" t="s">
        <v>798</v>
      </c>
      <c r="B37" s="216" t="s">
        <v>2216</v>
      </c>
      <c r="C37" s="250" t="e">
        <f ca="1">ROUND(E37*D37*F34/10000,0)</f>
        <v>#N/A</v>
      </c>
      <c r="D37" s="218" t="e">
        <f ca="1">D19</f>
        <v>#N/A</v>
      </c>
      <c r="E37" s="250">
        <f>'数据-取费表'!B35</f>
        <v>200</v>
      </c>
      <c r="F37" s="260"/>
      <c r="G37" s="262" t="s">
        <v>2217</v>
      </c>
    </row>
    <row r="38" spans="1:7" ht="13.5" customHeight="1">
      <c r="A38" s="882" t="s">
        <v>799</v>
      </c>
      <c r="B38" s="216" t="s">
        <v>2218</v>
      </c>
      <c r="C38" s="221" t="e">
        <f ca="1">ROUND(C34*F38,0)</f>
        <v>#N/A</v>
      </c>
      <c r="D38" s="221"/>
      <c r="E38" s="221"/>
      <c r="F38" s="260">
        <f>'数据-取费表'!B36</f>
        <v>1.4999999999999999E-2</v>
      </c>
      <c r="G38" s="220" t="s">
        <v>2213</v>
      </c>
    </row>
    <row r="39" spans="1:7" s="215" customFormat="1" ht="13.5" customHeight="1">
      <c r="A39" s="256" t="s">
        <v>2176</v>
      </c>
      <c r="B39" s="211" t="s">
        <v>2179</v>
      </c>
      <c r="C39" s="233" t="e">
        <f ca="1">ROUND(C33*F20,0)</f>
        <v>#N/A</v>
      </c>
      <c r="D39" s="233"/>
      <c r="E39" s="233"/>
      <c r="F39" s="2527">
        <f>F20</f>
        <v>0.03</v>
      </c>
      <c r="G39" s="235" t="s">
        <v>2221</v>
      </c>
    </row>
    <row r="40" spans="1:7" s="215" customFormat="1" ht="13.5" customHeight="1">
      <c r="A40" s="256" t="s">
        <v>2178</v>
      </c>
      <c r="B40" s="211" t="s">
        <v>2182</v>
      </c>
      <c r="C40" s="1488">
        <f>F21</f>
        <v>0.03</v>
      </c>
      <c r="D40" s="237" t="s">
        <v>2224</v>
      </c>
      <c r="E40" s="233"/>
      <c r="F40" s="2527">
        <f>F21</f>
        <v>0.03</v>
      </c>
      <c r="G40" s="235" t="s">
        <v>2225</v>
      </c>
    </row>
    <row r="41" spans="1:7" s="215" customFormat="1" ht="13.5" customHeight="1">
      <c r="A41" s="256" t="s">
        <v>2181</v>
      </c>
      <c r="B41" s="211" t="s">
        <v>2186</v>
      </c>
      <c r="C41" s="233" t="e">
        <f ca="1">ROUND(SUM(C42:C43),0)</f>
        <v>#N/A</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2188</v>
      </c>
      <c r="C42" s="239" t="e">
        <f ca="1">ROUND(IF('数据-取费表'!B22&lt;=1,C33*F22*'数据-取费表'!B21/2,C33*(POWER((1+F22),'数据-取费表'!B21/2)-1)),0)</f>
        <v>#N/A</v>
      </c>
      <c r="D42" s="239"/>
      <c r="E42" s="239"/>
      <c r="F42" s="240"/>
      <c r="G42" s="3550" t="s">
        <v>2229</v>
      </c>
    </row>
    <row r="43" spans="1:7" ht="13.5" customHeight="1">
      <c r="A43" s="882" t="s">
        <v>792</v>
      </c>
      <c r="B43" s="216" t="s">
        <v>2191</v>
      </c>
      <c r="C43" s="239" t="e">
        <f ca="1">ROUND(IF('数据-取费表'!B22&lt;=1,C39*F22*'数据-取费表'!B21/2,C39*(POWER((1+F22),'数据-取费表'!B21/2)-1)),0)</f>
        <v>#N/A</v>
      </c>
      <c r="D43" s="239"/>
      <c r="E43" s="239"/>
      <c r="F43" s="240"/>
      <c r="G43" s="3551"/>
    </row>
    <row r="44" spans="1:7" ht="13.5" customHeight="1">
      <c r="A44" s="882" t="s">
        <v>793</v>
      </c>
      <c r="B44" s="216" t="s">
        <v>2194</v>
      </c>
      <c r="C44" s="239">
        <f ca="1">ROUND(IF('数据-取费表'!B22&lt;=1,C40*F22*'数据-取费表'!B21/2,C40*(POWER((1+F22),'数据-取费表'!B21/2)-1)),4)</f>
        <v>4.0000000000000002E-4</v>
      </c>
      <c r="D44" s="239"/>
      <c r="E44" s="239"/>
      <c r="F44" s="240"/>
      <c r="G44" s="3552"/>
    </row>
    <row r="45" spans="1:7" s="215" customFormat="1" ht="13.5" customHeight="1">
      <c r="A45" s="256" t="s">
        <v>2185</v>
      </c>
      <c r="B45" s="245" t="s">
        <v>2198</v>
      </c>
      <c r="C45" s="246" t="e">
        <f ca="1">C46</f>
        <v>#N/A</v>
      </c>
      <c r="D45" s="236" t="e">
        <f ca="1">C47</f>
        <v>#N/A</v>
      </c>
      <c r="E45" s="237" t="s">
        <v>2224</v>
      </c>
      <c r="F45" s="2529" t="e">
        <f ca="1">F27</f>
        <v>#N/A</v>
      </c>
      <c r="G45" s="248" t="s">
        <v>2233</v>
      </c>
    </row>
    <row r="46" spans="1:7" s="215" customFormat="1" ht="13.5" customHeight="1">
      <c r="A46" s="882" t="s">
        <v>791</v>
      </c>
      <c r="B46" s="249" t="s">
        <v>2234</v>
      </c>
      <c r="C46" s="250" t="e">
        <f ca="1">ROUND((C33+C39)*F27,0)</f>
        <v>#N/A</v>
      </c>
      <c r="D46" s="264"/>
      <c r="E46" s="237"/>
      <c r="F46" s="247"/>
      <c r="G46" s="248"/>
    </row>
    <row r="47" spans="1:7" s="215" customFormat="1" ht="13.5" customHeight="1">
      <c r="A47" s="882" t="s">
        <v>792</v>
      </c>
      <c r="B47" s="249" t="s">
        <v>2235</v>
      </c>
      <c r="C47" s="239" t="e">
        <f ca="1">ROUND(C40*F27,4)</f>
        <v>#N/A</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t="e">
        <f ca="1">ROUND((C33+C39+C41+C45)/(1-C40-D41-D45-C48),0)</f>
        <v>#N/A</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t="e">
        <f ca="1">ROUND(C49*F50,0)</f>
        <v>#N/A</v>
      </c>
      <c r="D51" s="233"/>
      <c r="E51" s="233"/>
      <c r="F51" s="265"/>
      <c r="G51" s="235" t="s">
        <v>2245</v>
      </c>
    </row>
    <row r="52" spans="1:7" s="209" customFormat="1" ht="16.5" thickBot="1">
      <c r="A52" s="266" t="s">
        <v>2246</v>
      </c>
      <c r="B52" s="267"/>
      <c r="C52" s="268" t="e">
        <f ca="1">C31+C51</f>
        <v>#N/A</v>
      </c>
      <c r="D52" s="267"/>
      <c r="E52" s="267"/>
      <c r="F52" s="267"/>
      <c r="G52" s="269"/>
    </row>
    <row r="55" spans="1:7" ht="15">
      <c r="B55" s="271" t="s">
        <v>2247</v>
      </c>
      <c r="C55" s="272"/>
    </row>
    <row r="56" spans="1:7">
      <c r="B56" s="274" t="s">
        <v>1478</v>
      </c>
      <c r="C56" s="276" t="e">
        <f ca="1">1-C57</f>
        <v>#N/A</v>
      </c>
    </row>
    <row r="57" spans="1:7">
      <c r="B57" s="274" t="s">
        <v>1479</v>
      </c>
      <c r="C57" s="275"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80" zoomScaleNormal="70" zoomScaleSheetLayoutView="80" workbookViewId="0">
      <selection activeCell="E23" sqref="E23"/>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2524</v>
      </c>
      <c r="B1" s="1384" t="s">
        <v>3058</v>
      </c>
      <c r="C1" s="1385" t="s">
        <v>2347</v>
      </c>
      <c r="D1" s="1386" t="s">
        <v>3234</v>
      </c>
      <c r="E1" s="1395"/>
      <c r="F1" s="2057" t="s">
        <v>3257</v>
      </c>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f>IF(C2="——",ROUND(C37*D3/10000,0),ROUND(C37*D3/10000,0)-D2)</f>
        <v>0</v>
      </c>
      <c r="C2" s="2059" t="s">
        <v>70</v>
      </c>
      <c r="D2" s="1032" t="e">
        <f ca="1">SUMIF(INDIRECT("'"&amp;F2&amp;"'"&amp;"!A:A"),"承租人权益价值",INDIRECT("'"&amp;F2&amp;"'"&amp;"!c:c"))</f>
        <v>#REF!</v>
      </c>
      <c r="E2" s="2060" t="s">
        <v>2148</v>
      </c>
      <c r="F2" s="2061"/>
      <c r="G2" s="1033"/>
      <c r="H2" s="1033"/>
      <c r="I2" s="1033"/>
      <c r="J2" s="1033"/>
      <c r="K2" s="1035"/>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f>IF(C2="——",C37,ROUND(B2*10000/D3,0))</f>
        <v>28532</v>
      </c>
      <c r="C3" s="355" t="s">
        <v>2461</v>
      </c>
      <c r="D3" s="354">
        <f>SUMIF('数据-汇总表'!$C19:$C33,D1,'数据-汇总表'!$E19:$E33)</f>
        <v>0</v>
      </c>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SUMIF(46:46,YEAR(E7)&amp;"-"&amp;MONTH(E7),47:47)</f>
        <v>100</v>
      </c>
      <c r="G7" s="2152">
        <f>C7</f>
        <v>44568</v>
      </c>
      <c r="H7" s="366">
        <f>SUMIF(46:46,YEAR(G7)&amp;"-"&amp;MONTH(G7),47:47)</f>
        <v>100</v>
      </c>
      <c r="I7" s="367">
        <f>C7</f>
        <v>44568</v>
      </c>
      <c r="J7" s="366">
        <f>SUMIF(46:46,YEAR(I7)&amp;"-"&amp;MONTH(I7),47:47)</f>
        <v>100</v>
      </c>
      <c r="K7" s="563"/>
      <c r="L7" s="2934"/>
      <c r="M7" s="2935"/>
      <c r="N7" s="2935"/>
      <c r="O7" s="2935"/>
      <c r="P7" s="3584" t="s">
        <v>2366</v>
      </c>
      <c r="Q7" s="3612"/>
      <c r="R7" s="705" t="s">
        <v>17</v>
      </c>
      <c r="S7" s="706">
        <f t="shared" ref="S7:S14" si="0">F7</f>
        <v>100</v>
      </c>
      <c r="T7" s="705" t="s">
        <v>17</v>
      </c>
      <c r="U7" s="706">
        <f t="shared" ref="U7:U14" si="1">H7</f>
        <v>100</v>
      </c>
      <c r="V7" s="705" t="s">
        <v>17</v>
      </c>
      <c r="W7" s="706">
        <f t="shared" ref="W7:W14" si="2">J7</f>
        <v>100</v>
      </c>
      <c r="X7" s="707"/>
      <c r="Y7" s="3584" t="s">
        <v>2366</v>
      </c>
      <c r="Z7" s="3585"/>
      <c r="AA7" s="708">
        <f>D7/F7</f>
        <v>1</v>
      </c>
      <c r="AB7" s="708">
        <f>D7/H7</f>
        <v>1</v>
      </c>
      <c r="AC7" s="708">
        <f>D7/J7</f>
        <v>1</v>
      </c>
    </row>
    <row r="8" spans="1:29" s="108" customFormat="1" ht="15.75" thickBot="1">
      <c r="A8" s="363" t="s">
        <v>2367</v>
      </c>
      <c r="B8" s="364"/>
      <c r="C8" s="369" t="s">
        <v>2469</v>
      </c>
      <c r="D8" s="366">
        <v>100</v>
      </c>
      <c r="E8" s="369" t="s">
        <v>3258</v>
      </c>
      <c r="F8" s="368">
        <f>SUMIF(49:49,E8,50:50)-SUMIF(49:49,C8,50:50)+100</f>
        <v>100</v>
      </c>
      <c r="G8" s="369" t="s">
        <v>3258</v>
      </c>
      <c r="H8" s="366">
        <f>SUMIF(49:49,G8,50:50)-SUMIF(49:49,C8,50:50)+100</f>
        <v>100</v>
      </c>
      <c r="I8" s="369" t="s">
        <v>3258</v>
      </c>
      <c r="J8" s="366">
        <f>SUMIF(49:49,I8,50:50)-SUMIF(49:49,C8,50:50)+100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34" si="3">D8/F8</f>
        <v>1</v>
      </c>
      <c r="AB8" s="708">
        <f t="shared" ref="AB8:AB34" si="4">D8/H8</f>
        <v>1</v>
      </c>
      <c r="AC8" s="708">
        <f t="shared" ref="AC8:AC34" si="5">D8/J8</f>
        <v>1</v>
      </c>
    </row>
    <row r="9" spans="1:29" s="108" customFormat="1">
      <c r="A9" s="370" t="s">
        <v>2370</v>
      </c>
      <c r="B9" s="63" t="s">
        <v>2371</v>
      </c>
      <c r="C9" s="371"/>
      <c r="D9" s="126">
        <v>100</v>
      </c>
      <c r="E9" s="374"/>
      <c r="F9" s="373">
        <f>SUMIF(51:51,E9,52:52)-SUMIF(51:51,C9,52:52)+100</f>
        <v>100</v>
      </c>
      <c r="G9" s="374"/>
      <c r="H9" s="126">
        <f>SUMIF(51:51,G9,52:52)-SUMIF(51:51,C9,52:52)+100</f>
        <v>100</v>
      </c>
      <c r="I9" s="374"/>
      <c r="J9" s="126">
        <f>SUMIF(51:51,I9,52:52)-SUMIF(51:51,C9,52:52)+100</f>
        <v>100</v>
      </c>
      <c r="K9" s="563"/>
      <c r="L9" s="2934"/>
      <c r="M9" s="2935"/>
      <c r="N9" s="2935"/>
      <c r="O9" s="2989"/>
      <c r="P9" s="3598" t="s">
        <v>2372</v>
      </c>
      <c r="Q9" s="1520" t="str">
        <f t="shared" ref="Q9:Q14" si="6">B9</f>
        <v>用途</v>
      </c>
      <c r="R9" s="705" t="s">
        <v>17</v>
      </c>
      <c r="S9" s="706">
        <f t="shared" si="0"/>
        <v>100</v>
      </c>
      <c r="T9" s="705" t="s">
        <v>17</v>
      </c>
      <c r="U9" s="706">
        <f t="shared" si="1"/>
        <v>100</v>
      </c>
      <c r="V9" s="705" t="s">
        <v>17</v>
      </c>
      <c r="W9" s="706">
        <f t="shared" si="2"/>
        <v>100</v>
      </c>
      <c r="X9" s="707"/>
      <c r="Y9" s="3522" t="s">
        <v>2373</v>
      </c>
      <c r="Z9" s="53" t="str">
        <f t="shared" ref="Z9:Z14" si="7">Q9</f>
        <v>用途</v>
      </c>
      <c r="AA9" s="708">
        <f t="shared" si="3"/>
        <v>1</v>
      </c>
      <c r="AB9" s="708">
        <f t="shared" si="4"/>
        <v>1</v>
      </c>
      <c r="AC9" s="708">
        <f t="shared" si="5"/>
        <v>1</v>
      </c>
    </row>
    <row r="10" spans="1:29" s="381" customFormat="1" ht="27">
      <c r="A10" s="375"/>
      <c r="B10" s="376" t="s">
        <v>2374</v>
      </c>
      <c r="C10" s="377"/>
      <c r="D10" s="127">
        <v>100</v>
      </c>
      <c r="E10" s="377"/>
      <c r="F10" s="379">
        <f>SUMIF(53:53,E10,54:54)-SUMIF(53:53,C10,54:54)+100</f>
        <v>100</v>
      </c>
      <c r="G10" s="377"/>
      <c r="H10" s="127">
        <f>SUMIF(53:53,G10,54:54)-SUMIF(53:53,C10,54:54)+100</f>
        <v>100</v>
      </c>
      <c r="I10" s="377"/>
      <c r="J10" s="127">
        <f>SUMIF(53:53,I10,54:54)-SUMIF(53:53,C10,54:54)+100</f>
        <v>100</v>
      </c>
      <c r="K10" s="564"/>
      <c r="L10" s="2936"/>
      <c r="M10" s="2937"/>
      <c r="N10" s="2937"/>
      <c r="O10" s="2990"/>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2071">
        <v>111</v>
      </c>
      <c r="C11" s="386"/>
      <c r="D11" s="127">
        <v>100</v>
      </c>
      <c r="E11" s="423"/>
      <c r="F11" s="379">
        <f>SUMIF(55:55,E11,56:56)-SUMIF(55:55,C11,56:56)+100</f>
        <v>100</v>
      </c>
      <c r="G11" s="423"/>
      <c r="H11" s="127">
        <f>SUMIF(55:55,G11,56:56)-SUMIF(55:55,C11,56:56)+100</f>
        <v>100</v>
      </c>
      <c r="I11" s="423"/>
      <c r="J11" s="127">
        <f>SUMIF(55:55,I11,56:56)-SUMIF(55:55,C11,56:56)+100</f>
        <v>100</v>
      </c>
      <c r="K11" s="565"/>
      <c r="L11" s="2938"/>
      <c r="M11" s="2933"/>
      <c r="N11" s="2933"/>
      <c r="O11" s="2991"/>
      <c r="P11" s="3598"/>
      <c r="Q11" s="1520">
        <f t="shared" si="6"/>
        <v>111</v>
      </c>
      <c r="R11" s="705" t="s">
        <v>17</v>
      </c>
      <c r="S11" s="706">
        <f t="shared" si="0"/>
        <v>100</v>
      </c>
      <c r="T11" s="705" t="s">
        <v>17</v>
      </c>
      <c r="U11" s="706">
        <f t="shared" si="1"/>
        <v>100</v>
      </c>
      <c r="V11" s="705" t="s">
        <v>17</v>
      </c>
      <c r="W11" s="706">
        <f t="shared" si="2"/>
        <v>100</v>
      </c>
      <c r="X11" s="707"/>
      <c r="Y11" s="3522"/>
      <c r="Z11" s="53">
        <f t="shared" si="7"/>
        <v>111</v>
      </c>
      <c r="AA11" s="708">
        <f t="shared" si="3"/>
        <v>1</v>
      </c>
      <c r="AB11" s="708">
        <f t="shared" si="4"/>
        <v>1</v>
      </c>
      <c r="AC11" s="708">
        <f t="shared" si="5"/>
        <v>1</v>
      </c>
    </row>
    <row r="12" spans="1:29" s="108" customFormat="1" ht="15">
      <c r="A12" s="385"/>
      <c r="B12" s="2071">
        <v>111</v>
      </c>
      <c r="C12" s="386"/>
      <c r="D12" s="387">
        <v>100</v>
      </c>
      <c r="E12" s="423"/>
      <c r="F12" s="379">
        <f>SUMIF(57:57,E12,58:58)-SUMIF(57:57,C12,58:58)+100</f>
        <v>100</v>
      </c>
      <c r="G12" s="423"/>
      <c r="H12" s="127">
        <f>SUMIF(57:57,G12,58:58)-SUMIF(57:57,C12,58:58)+100</f>
        <v>100</v>
      </c>
      <c r="I12" s="423"/>
      <c r="J12" s="127">
        <f>SUMIF(57:57,I12,58:58)-SUMIF(57:57,C12,58:58)+100</f>
        <v>100</v>
      </c>
      <c r="K12" s="565"/>
      <c r="L12" s="2934"/>
      <c r="M12" s="2935"/>
      <c r="N12" s="2935"/>
      <c r="O12" s="2989"/>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75" thickBot="1">
      <c r="A13" s="382"/>
      <c r="B13" s="2071">
        <v>111</v>
      </c>
      <c r="C13" s="388"/>
      <c r="D13" s="389">
        <v>100</v>
      </c>
      <c r="E13" s="423"/>
      <c r="F13" s="379">
        <f>SUMIF(59:59,E13,60:60)-SUMIF(59:59,C13,60:60)+100</f>
        <v>100</v>
      </c>
      <c r="G13" s="2153"/>
      <c r="H13" s="392">
        <f>SUMIF(59:59,G13,60:60)-SUMIF(59:59,C13,60:60)+100</f>
        <v>100</v>
      </c>
      <c r="I13" s="423"/>
      <c r="J13" s="389">
        <f>SUMIF(59:59,I13,60:60)-SUMIF(59:59,C13,60:60)+100</f>
        <v>100</v>
      </c>
      <c r="K13" s="565"/>
      <c r="L13" s="2939"/>
      <c r="M13" s="2933"/>
      <c r="N13" s="2933"/>
      <c r="O13" s="2991"/>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
      <c r="A14" s="394" t="s">
        <v>2376</v>
      </c>
      <c r="B14" s="61" t="s">
        <v>2526</v>
      </c>
      <c r="C14" s="2149" t="str">
        <f>IF(B1="工业",估价对象房地状况!G4,估价对象房地状况!C6)</f>
        <v>一般</v>
      </c>
      <c r="D14" s="395">
        <v>100</v>
      </c>
      <c r="E14" s="396"/>
      <c r="F14" s="397">
        <f>SUMIF(61:61,E15,62:62)-SUMIF(61:61,C15,62:62)+100</f>
        <v>100</v>
      </c>
      <c r="G14" s="398"/>
      <c r="H14" s="395">
        <f>SUMIF(61:61,G15,62:62)-SUMIF(61:61,C15,62:62)+100</f>
        <v>100</v>
      </c>
      <c r="I14" s="396"/>
      <c r="J14" s="395">
        <f>SUMIF(61:61,I15,62:62)-SUMIF(61:61,C15,62:62)+100</f>
        <v>100</v>
      </c>
      <c r="K14" s="566"/>
      <c r="L14" s="2939"/>
      <c r="M14" s="2933"/>
      <c r="N14" s="2933"/>
      <c r="O14" s="2991"/>
      <c r="P14" s="3613" t="s">
        <v>2377</v>
      </c>
      <c r="Q14" s="1529" t="str">
        <f t="shared" si="6"/>
        <v>交通便捷度</v>
      </c>
      <c r="R14" s="709" t="s">
        <v>17</v>
      </c>
      <c r="S14" s="710">
        <f t="shared" si="0"/>
        <v>100</v>
      </c>
      <c r="T14" s="709" t="s">
        <v>17</v>
      </c>
      <c r="U14" s="710">
        <f t="shared" si="1"/>
        <v>100</v>
      </c>
      <c r="V14" s="709" t="s">
        <v>17</v>
      </c>
      <c r="W14" s="710">
        <f t="shared" si="2"/>
        <v>100</v>
      </c>
      <c r="X14" s="1532"/>
      <c r="Y14" s="3613" t="s">
        <v>2377</v>
      </c>
      <c r="Z14" s="1533" t="str">
        <f t="shared" si="7"/>
        <v>交通便捷度</v>
      </c>
      <c r="AA14" s="1530">
        <f t="shared" si="3"/>
        <v>1</v>
      </c>
      <c r="AB14" s="1530">
        <f t="shared" si="4"/>
        <v>1</v>
      </c>
      <c r="AC14" s="1530">
        <f t="shared" si="5"/>
        <v>1</v>
      </c>
    </row>
    <row r="15" spans="1:29" ht="15">
      <c r="A15" s="382"/>
      <c r="B15" s="400"/>
      <c r="C15" s="401"/>
      <c r="D15" s="402"/>
      <c r="E15" s="401"/>
      <c r="F15" s="403"/>
      <c r="G15" s="401"/>
      <c r="H15" s="404"/>
      <c r="I15" s="401"/>
      <c r="J15" s="402"/>
      <c r="K15" s="567"/>
      <c r="L15" s="2939"/>
      <c r="M15" s="2933"/>
      <c r="N15" s="2933"/>
      <c r="O15" s="2991"/>
      <c r="P15" s="3614"/>
      <c r="Q15" s="1529"/>
      <c r="R15" s="709"/>
      <c r="S15" s="710"/>
      <c r="T15" s="709"/>
      <c r="U15" s="710"/>
      <c r="V15" s="709"/>
      <c r="W15" s="710"/>
      <c r="X15" s="1532"/>
      <c r="Y15" s="3614"/>
      <c r="Z15" s="1533"/>
      <c r="AA15" s="1530">
        <v>1</v>
      </c>
      <c r="AB15" s="1530">
        <v>1</v>
      </c>
      <c r="AC15" s="1530">
        <v>1</v>
      </c>
    </row>
    <row r="16" spans="1:29" ht="15">
      <c r="A16" s="382"/>
      <c r="B16" s="405" t="s">
        <v>2505</v>
      </c>
      <c r="C16" s="2078" t="str">
        <f>IF(B1="工业",估价对象房地状况!G5,估价对象房地状况!C7)</f>
        <v>一般</v>
      </c>
      <c r="D16" s="409">
        <v>100</v>
      </c>
      <c r="E16" s="411"/>
      <c r="F16" s="412">
        <f>SUMIF(63:63,E17,64:64)-SUMIF(63:63,C17,64:64)+100</f>
        <v>100</v>
      </c>
      <c r="G16" s="413"/>
      <c r="H16" s="409">
        <f>SUMIF(63:63,G17,64:64)-SUMIF(63:63,C17,64:64)+100</f>
        <v>100</v>
      </c>
      <c r="I16" s="411"/>
      <c r="J16" s="409">
        <f>SUMIF(63:63,I17,64:64)-SUMIF(63:63,C17,64:64)+100</f>
        <v>100</v>
      </c>
      <c r="K16" s="566"/>
      <c r="L16" s="2939"/>
      <c r="M16" s="2933"/>
      <c r="N16" s="2933"/>
      <c r="O16" s="2991"/>
      <c r="P16" s="3614"/>
      <c r="Q16" s="1529" t="str">
        <f>B16</f>
        <v>公共配套设施</v>
      </c>
      <c r="R16" s="709" t="s">
        <v>17</v>
      </c>
      <c r="S16" s="710">
        <f>F16</f>
        <v>100</v>
      </c>
      <c r="T16" s="709" t="s">
        <v>17</v>
      </c>
      <c r="U16" s="710">
        <f>H16</f>
        <v>100</v>
      </c>
      <c r="V16" s="709" t="s">
        <v>17</v>
      </c>
      <c r="W16" s="710">
        <f>J16</f>
        <v>100</v>
      </c>
      <c r="X16" s="1532"/>
      <c r="Y16" s="3614"/>
      <c r="Z16" s="1533" t="str">
        <f>Q16</f>
        <v>公共配套设施</v>
      </c>
      <c r="AA16" s="1530">
        <f t="shared" si="3"/>
        <v>1</v>
      </c>
      <c r="AB16" s="1530">
        <f t="shared" si="4"/>
        <v>1</v>
      </c>
      <c r="AC16" s="1530">
        <f t="shared" si="5"/>
        <v>1</v>
      </c>
    </row>
    <row r="17" spans="1:29" ht="15">
      <c r="A17" s="382"/>
      <c r="B17" s="410"/>
      <c r="C17" s="2079"/>
      <c r="D17" s="402"/>
      <c r="E17" s="401"/>
      <c r="F17" s="403"/>
      <c r="G17" s="401"/>
      <c r="H17" s="402"/>
      <c r="I17" s="401"/>
      <c r="J17" s="402"/>
      <c r="K17" s="567"/>
      <c r="L17" s="2939"/>
      <c r="M17" s="2933"/>
      <c r="N17" s="2933"/>
      <c r="O17" s="2991"/>
      <c r="P17" s="3614"/>
      <c r="Q17" s="1529"/>
      <c r="R17" s="709"/>
      <c r="S17" s="710"/>
      <c r="T17" s="709"/>
      <c r="U17" s="710"/>
      <c r="V17" s="709"/>
      <c r="W17" s="710"/>
      <c r="X17" s="1532"/>
      <c r="Y17" s="3614"/>
      <c r="Z17" s="1533"/>
      <c r="AA17" s="1530">
        <v>1</v>
      </c>
      <c r="AB17" s="1530">
        <v>1</v>
      </c>
      <c r="AC17" s="1530">
        <v>1</v>
      </c>
    </row>
    <row r="18" spans="1:29" ht="15">
      <c r="A18" s="382"/>
      <c r="B18" s="1287" t="s">
        <v>2506</v>
      </c>
      <c r="C18" s="2078" t="str">
        <f>IF(B1="工业",估价对象房地状况!G6,估价对象房地状况!C8)</f>
        <v>七通</v>
      </c>
      <c r="D18" s="409">
        <v>100</v>
      </c>
      <c r="E18" s="406"/>
      <c r="F18" s="412">
        <f>SUMIF(65:65,E19,66:66)-SUMIF(65:65,C19,66:66)+100</f>
        <v>100</v>
      </c>
      <c r="G18" s="408"/>
      <c r="H18" s="409">
        <f>SUMIF(65:65,G19,66:66)-SUMIF(65:65,C19,66:66)+100</f>
        <v>100</v>
      </c>
      <c r="I18" s="411"/>
      <c r="J18" s="409">
        <f>SUMIF(65:65,I19,66:66)-SUMIF(65:65,C19,66:66)+100</f>
        <v>100</v>
      </c>
      <c r="K18" s="566"/>
      <c r="L18" s="2939"/>
      <c r="M18" s="2933"/>
      <c r="N18" s="2933"/>
      <c r="O18" s="2991"/>
      <c r="P18" s="3614"/>
      <c r="Q18" s="1529" t="str">
        <f>B18</f>
        <v>基础设施水平</v>
      </c>
      <c r="R18" s="709" t="s">
        <v>17</v>
      </c>
      <c r="S18" s="710">
        <f>F18</f>
        <v>100</v>
      </c>
      <c r="T18" s="709" t="s">
        <v>17</v>
      </c>
      <c r="U18" s="710">
        <f>H18</f>
        <v>100</v>
      </c>
      <c r="V18" s="709" t="s">
        <v>17</v>
      </c>
      <c r="W18" s="710">
        <f>J18</f>
        <v>100</v>
      </c>
      <c r="X18" s="1532"/>
      <c r="Y18" s="3614"/>
      <c r="Z18" s="1533" t="str">
        <f>Q18</f>
        <v>基础设施水平</v>
      </c>
      <c r="AA18" s="1530">
        <f t="shared" ref="AA18" si="8">D18/F18</f>
        <v>1</v>
      </c>
      <c r="AB18" s="1530">
        <f t="shared" ref="AB18" si="9">D18/H18</f>
        <v>1</v>
      </c>
      <c r="AC18" s="1530">
        <f t="shared" ref="AC18" si="10">D18/J18</f>
        <v>1</v>
      </c>
    </row>
    <row r="19" spans="1:29" ht="15">
      <c r="A19" s="382"/>
      <c r="B19" s="1287"/>
      <c r="C19" s="2079"/>
      <c r="D19" s="404"/>
      <c r="E19" s="2079"/>
      <c r="F19" s="407"/>
      <c r="G19" s="2079"/>
      <c r="H19" s="402"/>
      <c r="I19" s="401"/>
      <c r="J19" s="402"/>
      <c r="K19" s="1286"/>
      <c r="L19" s="2939"/>
      <c r="M19" s="2933"/>
      <c r="N19" s="2933"/>
      <c r="O19" s="2991"/>
      <c r="P19" s="3614"/>
      <c r="Q19" s="1529"/>
      <c r="R19" s="709"/>
      <c r="S19" s="710"/>
      <c r="T19" s="709"/>
      <c r="U19" s="710"/>
      <c r="V19" s="709"/>
      <c r="W19" s="710"/>
      <c r="X19" s="1532"/>
      <c r="Y19" s="3614"/>
      <c r="Z19" s="1533"/>
      <c r="AA19" s="1530">
        <v>1</v>
      </c>
      <c r="AB19" s="1530">
        <v>1</v>
      </c>
      <c r="AC19" s="1530">
        <v>1</v>
      </c>
    </row>
    <row r="20" spans="1:29" ht="15">
      <c r="A20" s="382"/>
      <c r="B20" s="405" t="s">
        <v>2527</v>
      </c>
      <c r="C20" s="2078" t="str">
        <f>IF(B1="工业",估价对象房地状况!G7,估价对象房地状况!C9)</f>
        <v>一般</v>
      </c>
      <c r="D20" s="409">
        <v>100</v>
      </c>
      <c r="E20" s="411"/>
      <c r="F20" s="412">
        <f>SUMIF(67:67,E21,68:68)-SUMIF(67:67,C21,68:68)+100</f>
        <v>100</v>
      </c>
      <c r="G20" s="413"/>
      <c r="H20" s="404">
        <f>SUMIF(67:67,G21,68:68)-SUMIF(67:67,C21,68:68)+100</f>
        <v>100</v>
      </c>
      <c r="I20" s="406"/>
      <c r="J20" s="404">
        <f>SUMIF(67:67,I21,68:68)-SUMIF(67:67,C21,68:68)+100</f>
        <v>100</v>
      </c>
      <c r="K20" s="566"/>
      <c r="L20" s="2939"/>
      <c r="M20" s="2933"/>
      <c r="N20" s="2933"/>
      <c r="O20" s="2991"/>
      <c r="P20" s="3614"/>
      <c r="Q20" s="1529" t="str">
        <f>B20</f>
        <v>自然及人文环境</v>
      </c>
      <c r="R20" s="709" t="s">
        <v>17</v>
      </c>
      <c r="S20" s="710">
        <f>F20</f>
        <v>100</v>
      </c>
      <c r="T20" s="709" t="s">
        <v>17</v>
      </c>
      <c r="U20" s="710">
        <f>H20</f>
        <v>100</v>
      </c>
      <c r="V20" s="709" t="s">
        <v>17</v>
      </c>
      <c r="W20" s="710">
        <f>J20</f>
        <v>100</v>
      </c>
      <c r="X20" s="1532"/>
      <c r="Y20" s="3614"/>
      <c r="Z20" s="1533" t="str">
        <f>Q20</f>
        <v>自然及人文环境</v>
      </c>
      <c r="AA20" s="1530">
        <f t="shared" si="3"/>
        <v>1</v>
      </c>
      <c r="AB20" s="1530">
        <f t="shared" si="4"/>
        <v>1</v>
      </c>
      <c r="AC20" s="1530">
        <f t="shared" si="5"/>
        <v>1</v>
      </c>
    </row>
    <row r="21" spans="1:29" ht="15">
      <c r="A21" s="382"/>
      <c r="B21" s="410"/>
      <c r="C21" s="401"/>
      <c r="D21" s="402"/>
      <c r="E21" s="401"/>
      <c r="F21" s="403"/>
      <c r="G21" s="401"/>
      <c r="H21" s="402"/>
      <c r="I21" s="401"/>
      <c r="J21" s="402"/>
      <c r="K21" s="567"/>
      <c r="L21" s="2939"/>
      <c r="M21" s="2933"/>
      <c r="N21" s="2933"/>
      <c r="O21" s="2991"/>
      <c r="P21" s="3614"/>
      <c r="Q21" s="1529"/>
      <c r="R21" s="709"/>
      <c r="S21" s="710"/>
      <c r="T21" s="709"/>
      <c r="U21" s="710"/>
      <c r="V21" s="709"/>
      <c r="W21" s="710"/>
      <c r="X21" s="1532"/>
      <c r="Y21" s="3614"/>
      <c r="Z21" s="1533"/>
      <c r="AA21" s="1530">
        <v>1</v>
      </c>
      <c r="AB21" s="1530">
        <v>1</v>
      </c>
      <c r="AC21" s="1530">
        <v>1</v>
      </c>
    </row>
    <row r="22" spans="1:29" ht="15">
      <c r="A22" s="382"/>
      <c r="B22" s="405" t="s">
        <v>2528</v>
      </c>
      <c r="C22" s="568"/>
      <c r="D22" s="404">
        <v>100</v>
      </c>
      <c r="E22" s="568"/>
      <c r="F22" s="415">
        <f>SUMIF(69:69,E22,70:70)-SUMIF(69:69,C22,70:70)+100</f>
        <v>100</v>
      </c>
      <c r="G22" s="568"/>
      <c r="H22" s="389">
        <f>SUMIF(69:69,G22,70:70)-SUMIF(69:69,C22,70:70)+100</f>
        <v>100</v>
      </c>
      <c r="I22" s="568"/>
      <c r="J22" s="389">
        <f>SUMIF(69:69,I22,70:70)-SUMIF(69:69,C22,70:70)+100</f>
        <v>100</v>
      </c>
      <c r="K22" s="564"/>
      <c r="L22" s="2939"/>
      <c r="M22" s="2933"/>
      <c r="N22" s="2933"/>
      <c r="O22" s="2991"/>
      <c r="P22" s="3614"/>
      <c r="Q22" s="1529" t="str">
        <f>B22</f>
        <v>楼层</v>
      </c>
      <c r="R22" s="709" t="s">
        <v>17</v>
      </c>
      <c r="S22" s="710">
        <f>F22</f>
        <v>100</v>
      </c>
      <c r="T22" s="709" t="s">
        <v>17</v>
      </c>
      <c r="U22" s="710">
        <f>H22</f>
        <v>100</v>
      </c>
      <c r="V22" s="709" t="s">
        <v>17</v>
      </c>
      <c r="W22" s="710">
        <f>J22</f>
        <v>100</v>
      </c>
      <c r="X22" s="1532"/>
      <c r="Y22" s="3614"/>
      <c r="Z22" s="1533" t="str">
        <f>Q22</f>
        <v>楼层</v>
      </c>
      <c r="AA22" s="1530">
        <f t="shared" si="3"/>
        <v>1</v>
      </c>
      <c r="AB22" s="1530">
        <f t="shared" si="4"/>
        <v>1</v>
      </c>
      <c r="AC22" s="1530">
        <f t="shared" si="5"/>
        <v>1</v>
      </c>
    </row>
    <row r="23" spans="1:29" ht="15">
      <c r="A23" s="359"/>
      <c r="B23" s="2071">
        <v>111</v>
      </c>
      <c r="C23" s="386"/>
      <c r="D23" s="389">
        <v>100</v>
      </c>
      <c r="E23" s="388"/>
      <c r="F23" s="415">
        <f>SUMIF(71:71,E23,72:72)-SUMIF(71:71,C23,72:72)+100</f>
        <v>100</v>
      </c>
      <c r="G23" s="388"/>
      <c r="H23" s="389">
        <f>SUMIF(71:71,G23,72:72)-SUMIF(71:71,C23,72:72)+100</f>
        <v>100</v>
      </c>
      <c r="I23" s="388"/>
      <c r="J23" s="389">
        <f>SUMIF(71:71,I23,72:72)-SUMIF(71:71,C23,72:72)+100</f>
        <v>100</v>
      </c>
      <c r="K23" s="565"/>
      <c r="L23" s="2939"/>
      <c r="M23" s="2933"/>
      <c r="N23" s="2933"/>
      <c r="O23" s="2991"/>
      <c r="P23" s="3614"/>
      <c r="Q23" s="1529">
        <f>B23</f>
        <v>111</v>
      </c>
      <c r="R23" s="709" t="s">
        <v>17</v>
      </c>
      <c r="S23" s="710">
        <f>F23</f>
        <v>100</v>
      </c>
      <c r="T23" s="709" t="s">
        <v>17</v>
      </c>
      <c r="U23" s="710">
        <f>H23</f>
        <v>100</v>
      </c>
      <c r="V23" s="709" t="s">
        <v>17</v>
      </c>
      <c r="W23" s="710">
        <f>J23</f>
        <v>100</v>
      </c>
      <c r="X23" s="1532"/>
      <c r="Y23" s="3614"/>
      <c r="Z23" s="1533">
        <f>Q23</f>
        <v>111</v>
      </c>
      <c r="AA23" s="1530">
        <f t="shared" si="3"/>
        <v>1</v>
      </c>
      <c r="AB23" s="1530">
        <f t="shared" si="4"/>
        <v>1</v>
      </c>
      <c r="AC23" s="1530">
        <f t="shared" si="5"/>
        <v>1</v>
      </c>
    </row>
    <row r="24" spans="1:29" ht="15">
      <c r="A24" s="382"/>
      <c r="B24" s="2071">
        <v>111</v>
      </c>
      <c r="C24" s="386"/>
      <c r="D24" s="389">
        <v>100</v>
      </c>
      <c r="E24" s="388"/>
      <c r="F24" s="415">
        <f>SUMIF(73:73,E24,74:74)-SUMIF(73:73,C24,74:74)+100</f>
        <v>100</v>
      </c>
      <c r="G24" s="388"/>
      <c r="H24" s="389">
        <f>SUMIF(73:73,G24,74:74)-SUMIF(73:73,C24,74:74)+100</f>
        <v>100</v>
      </c>
      <c r="I24" s="388"/>
      <c r="J24" s="389">
        <f>SUMIF(73:73,I24,74:74)-SUMIF(73:73,C24,74:74)+100</f>
        <v>100</v>
      </c>
      <c r="K24" s="565"/>
      <c r="L24" s="2939"/>
      <c r="M24" s="2933"/>
      <c r="N24" s="2933"/>
      <c r="O24" s="2991"/>
      <c r="P24" s="3614"/>
      <c r="Q24" s="1529">
        <f t="shared" ref="Q24:Q34" si="11">B24</f>
        <v>111</v>
      </c>
      <c r="R24" s="709" t="s">
        <v>17</v>
      </c>
      <c r="S24" s="710">
        <f>F24</f>
        <v>100</v>
      </c>
      <c r="T24" s="709" t="s">
        <v>17</v>
      </c>
      <c r="U24" s="710">
        <f>H24</f>
        <v>100</v>
      </c>
      <c r="V24" s="709" t="s">
        <v>17</v>
      </c>
      <c r="W24" s="710">
        <f>J24</f>
        <v>100</v>
      </c>
      <c r="X24" s="1532"/>
      <c r="Y24" s="3614"/>
      <c r="Z24" s="1533">
        <f>Q24</f>
        <v>111</v>
      </c>
      <c r="AA24" s="1530">
        <f t="shared" si="3"/>
        <v>1</v>
      </c>
      <c r="AB24" s="1530">
        <f t="shared" si="4"/>
        <v>1</v>
      </c>
      <c r="AC24" s="1530">
        <f t="shared" si="5"/>
        <v>1</v>
      </c>
    </row>
    <row r="25" spans="1:29" s="108" customFormat="1" ht="15.75" thickBot="1">
      <c r="A25" s="385"/>
      <c r="B25" s="2071">
        <v>111</v>
      </c>
      <c r="C25" s="2154"/>
      <c r="D25" s="616">
        <v>100</v>
      </c>
      <c r="E25" s="2154"/>
      <c r="F25" s="617">
        <f>SUMIF(75:75,E25,76:76)-SUMIF(75:75,C25,76:76)+100</f>
        <v>100</v>
      </c>
      <c r="G25" s="2154"/>
      <c r="H25" s="616">
        <f>SUMIF(75:75,G25,76:76)-SUMIF(75:75,C25,76:76)+100</f>
        <v>100</v>
      </c>
      <c r="I25" s="2154"/>
      <c r="J25" s="616">
        <f>SUMIF(75:75,I25,76:76)-SUMIF(75:75,C25,76:76)+100</f>
        <v>100</v>
      </c>
      <c r="K25" s="565"/>
      <c r="L25" s="2934"/>
      <c r="M25" s="2935"/>
      <c r="N25" s="2935"/>
      <c r="O25" s="2989"/>
      <c r="P25" s="3614"/>
      <c r="Q25" s="1520">
        <f t="shared" si="11"/>
        <v>111</v>
      </c>
      <c r="R25" s="705" t="s">
        <v>17</v>
      </c>
      <c r="S25" s="706">
        <f>F25</f>
        <v>100</v>
      </c>
      <c r="T25" s="705" t="s">
        <v>17</v>
      </c>
      <c r="U25" s="706">
        <f>H25</f>
        <v>100</v>
      </c>
      <c r="V25" s="705" t="s">
        <v>17</v>
      </c>
      <c r="W25" s="706">
        <f>J25</f>
        <v>100</v>
      </c>
      <c r="X25" s="707"/>
      <c r="Y25" s="3614"/>
      <c r="Z25" s="53">
        <f>Q25</f>
        <v>111</v>
      </c>
      <c r="AA25" s="1530">
        <f>D25/F25</f>
        <v>1</v>
      </c>
      <c r="AB25" s="1530">
        <f>D25/H25</f>
        <v>1</v>
      </c>
      <c r="AC25" s="1530">
        <f>D25/J25</f>
        <v>1</v>
      </c>
    </row>
    <row r="26" spans="1:29" ht="28.5">
      <c r="A26" s="420" t="s">
        <v>2380</v>
      </c>
      <c r="B26" s="63" t="s">
        <v>2531</v>
      </c>
      <c r="C26" s="2145"/>
      <c r="D26" s="421">
        <v>100</v>
      </c>
      <c r="E26" s="2145"/>
      <c r="F26" s="618">
        <f>SUMIF(77:77,E26,78:78)-SUMIF(77:77,C26,78:78)+100</f>
        <v>100</v>
      </c>
      <c r="G26" s="2145"/>
      <c r="H26" s="421">
        <f>SUMIF(77:77,G26,78:78)-SUMIF(77:77,C26,78:78)+100</f>
        <v>100</v>
      </c>
      <c r="I26" s="2145"/>
      <c r="J26" s="421">
        <f>SUMIF(77:77,I26,78:78)-SUMIF(77:77,C26,78:78)+100</f>
        <v>100</v>
      </c>
      <c r="K26" s="564"/>
      <c r="L26" s="2939"/>
      <c r="M26" s="2933"/>
      <c r="N26" s="2933"/>
      <c r="O26" s="2991"/>
      <c r="P26" s="3615" t="s">
        <v>2382</v>
      </c>
      <c r="Q26" s="1529" t="str">
        <f t="shared" si="11"/>
        <v>公共部分装修</v>
      </c>
      <c r="R26" s="709" t="s">
        <v>17</v>
      </c>
      <c r="S26" s="710">
        <f t="shared" ref="S26:S34" si="12">F26</f>
        <v>100</v>
      </c>
      <c r="T26" s="709" t="s">
        <v>17</v>
      </c>
      <c r="U26" s="710">
        <f t="shared" ref="U26:U34" si="13">H26</f>
        <v>100</v>
      </c>
      <c r="V26" s="709" t="s">
        <v>17</v>
      </c>
      <c r="W26" s="710">
        <f t="shared" ref="W26:W34" si="14">J26</f>
        <v>100</v>
      </c>
      <c r="X26" s="1532"/>
      <c r="Y26" s="3616" t="s">
        <v>2382</v>
      </c>
      <c r="Z26" s="1533" t="str">
        <f t="shared" ref="Z26:Z34" si="15">Q26</f>
        <v>公共部分装修</v>
      </c>
      <c r="AA26" s="1530">
        <f t="shared" si="3"/>
        <v>1</v>
      </c>
      <c r="AB26" s="1530">
        <f t="shared" si="4"/>
        <v>1</v>
      </c>
      <c r="AC26" s="1530">
        <f t="shared" si="5"/>
        <v>1</v>
      </c>
    </row>
    <row r="27" spans="1:29" s="425" customFormat="1" ht="15">
      <c r="A27" s="422"/>
      <c r="B27" s="376" t="s">
        <v>2532</v>
      </c>
      <c r="C27" s="428">
        <v>1</v>
      </c>
      <c r="D27" s="127">
        <v>100</v>
      </c>
      <c r="E27" s="429">
        <v>1</v>
      </c>
      <c r="F27" s="415">
        <f>LOOKUP(E27,80:80,81:81)-LOOKUP(C27,80:80,81:81)+100</f>
        <v>100</v>
      </c>
      <c r="G27" s="430">
        <v>1</v>
      </c>
      <c r="H27" s="389">
        <f>LOOKUP(G27,80:80,81:81)-LOOKUP(C27,80:80,81:81)+100</f>
        <v>100</v>
      </c>
      <c r="I27" s="430">
        <v>1</v>
      </c>
      <c r="J27" s="389">
        <f>LOOKUP(I27,80:80,81:81)-LOOKUP(C27,80:80,81:81)+100</f>
        <v>100</v>
      </c>
      <c r="K27" s="564"/>
      <c r="L27" s="2938"/>
      <c r="M27" s="2940"/>
      <c r="N27" s="2940"/>
      <c r="O27" s="2992"/>
      <c r="P27" s="3616"/>
      <c r="Q27" s="711" t="str">
        <f t="shared" si="11"/>
        <v>成新率</v>
      </c>
      <c r="R27" s="712" t="s">
        <v>17</v>
      </c>
      <c r="S27" s="713">
        <f t="shared" si="12"/>
        <v>100</v>
      </c>
      <c r="T27" s="712" t="s">
        <v>17</v>
      </c>
      <c r="U27" s="713">
        <f t="shared" si="13"/>
        <v>100</v>
      </c>
      <c r="V27" s="712" t="s">
        <v>17</v>
      </c>
      <c r="W27" s="713">
        <f t="shared" si="14"/>
        <v>100</v>
      </c>
      <c r="X27" s="714"/>
      <c r="Y27" s="3616"/>
      <c r="Z27" s="715" t="str">
        <f t="shared" si="15"/>
        <v>成新率</v>
      </c>
      <c r="AA27" s="1530">
        <f t="shared" si="3"/>
        <v>1</v>
      </c>
      <c r="AB27" s="1530">
        <f t="shared" si="4"/>
        <v>1</v>
      </c>
      <c r="AC27" s="1530">
        <f t="shared" si="5"/>
        <v>1</v>
      </c>
    </row>
    <row r="28" spans="1:29" ht="15">
      <c r="A28" s="426"/>
      <c r="B28" s="376" t="s">
        <v>2533</v>
      </c>
      <c r="C28" s="414"/>
      <c r="D28" s="389">
        <v>100</v>
      </c>
      <c r="E28" s="414"/>
      <c r="F28" s="415">
        <f>SUMIF(82:82,E28,83:83)-SUMIF(82:82,C28,83:83)+100</f>
        <v>100</v>
      </c>
      <c r="G28" s="414"/>
      <c r="H28" s="389">
        <f>SUMIF(82:82,G28,83:83)-SUMIF(82:82,C28,83:83)+100</f>
        <v>100</v>
      </c>
      <c r="I28" s="414"/>
      <c r="J28" s="389">
        <f>SUMIF(82:82,I28,83:83)-SUMIF(82:82,C28,83:83)+100</f>
        <v>100</v>
      </c>
      <c r="K28" s="564"/>
      <c r="L28" s="2939"/>
      <c r="M28" s="2933"/>
      <c r="N28" s="2933"/>
      <c r="O28" s="2991"/>
      <c r="P28" s="3616"/>
      <c r="Q28" s="1529" t="str">
        <f t="shared" si="11"/>
        <v>物业等级</v>
      </c>
      <c r="R28" s="709" t="s">
        <v>17</v>
      </c>
      <c r="S28" s="710">
        <f t="shared" si="12"/>
        <v>100</v>
      </c>
      <c r="T28" s="709" t="s">
        <v>17</v>
      </c>
      <c r="U28" s="710">
        <f t="shared" si="13"/>
        <v>100</v>
      </c>
      <c r="V28" s="709" t="s">
        <v>17</v>
      </c>
      <c r="W28" s="710">
        <f t="shared" si="14"/>
        <v>100</v>
      </c>
      <c r="X28" s="1532"/>
      <c r="Y28" s="3616"/>
      <c r="Z28" s="1533" t="str">
        <f t="shared" si="15"/>
        <v>物业等级</v>
      </c>
      <c r="AA28" s="1530">
        <f t="shared" si="3"/>
        <v>1</v>
      </c>
      <c r="AB28" s="1530">
        <f t="shared" si="4"/>
        <v>1</v>
      </c>
      <c r="AC28" s="1530">
        <f t="shared" si="5"/>
        <v>1</v>
      </c>
    </row>
    <row r="29" spans="1:29" ht="15">
      <c r="A29" s="426"/>
      <c r="B29" s="376" t="s">
        <v>2554</v>
      </c>
      <c r="C29" s="608"/>
      <c r="D29" s="389">
        <v>100</v>
      </c>
      <c r="E29" s="608"/>
      <c r="F29" s="415">
        <f>SUMIF(84:84,E29,85:85)-SUMIF(84:84,C29,85:85)+100</f>
        <v>100</v>
      </c>
      <c r="G29" s="608"/>
      <c r="H29" s="389">
        <f>SUMIF(84:84,G29,85:85)-SUMIF(84:84,C29,85:85)+100</f>
        <v>100</v>
      </c>
      <c r="I29" s="608"/>
      <c r="J29" s="389">
        <f>SUMIF(84:84,I29,85:85)-SUMIF(84:84,C29,85:85)+100</f>
        <v>100</v>
      </c>
      <c r="K29" s="564"/>
      <c r="L29" s="2939"/>
      <c r="M29" s="2933"/>
      <c r="N29" s="2933"/>
      <c r="O29" s="2991"/>
      <c r="P29" s="3616"/>
      <c r="Q29" s="1529" t="str">
        <f t="shared" si="11"/>
        <v>有无电梯</v>
      </c>
      <c r="R29" s="709" t="s">
        <v>17</v>
      </c>
      <c r="S29" s="710">
        <f t="shared" si="12"/>
        <v>100</v>
      </c>
      <c r="T29" s="709" t="s">
        <v>17</v>
      </c>
      <c r="U29" s="710">
        <f t="shared" si="13"/>
        <v>100</v>
      </c>
      <c r="V29" s="709" t="s">
        <v>17</v>
      </c>
      <c r="W29" s="710">
        <f t="shared" si="14"/>
        <v>100</v>
      </c>
      <c r="X29" s="1532"/>
      <c r="Y29" s="3616"/>
      <c r="Z29" s="1533" t="str">
        <f t="shared" si="15"/>
        <v>有无电梯</v>
      </c>
      <c r="AA29" s="1530">
        <f t="shared" si="3"/>
        <v>1</v>
      </c>
      <c r="AB29" s="1530">
        <f t="shared" si="4"/>
        <v>1</v>
      </c>
      <c r="AC29" s="1530">
        <f t="shared" si="5"/>
        <v>1</v>
      </c>
    </row>
    <row r="30" spans="1:29" ht="15">
      <c r="A30" s="426"/>
      <c r="B30" s="376" t="s">
        <v>2555</v>
      </c>
      <c r="C30" s="423">
        <v>0</v>
      </c>
      <c r="D30" s="389">
        <v>100</v>
      </c>
      <c r="E30" s="423">
        <v>0</v>
      </c>
      <c r="F30" s="415">
        <f>LOOKUP(E30,87:87,88:88)-LOOKUP(C30,87:87,88:88)+100</f>
        <v>100</v>
      </c>
      <c r="G30" s="423">
        <v>0</v>
      </c>
      <c r="H30" s="389">
        <f>LOOKUP(G30,87:87,88:88)-LOOKUP(C30,87:87,88:88)+100</f>
        <v>100</v>
      </c>
      <c r="I30" s="423">
        <v>0</v>
      </c>
      <c r="J30" s="389">
        <f>LOOKUP(I30,87:87,88:88)-LOOKUP(C30,87:87,88:88)+100</f>
        <v>100</v>
      </c>
      <c r="K30" s="565"/>
      <c r="L30" s="2939"/>
      <c r="M30" s="2933"/>
      <c r="N30" s="2933"/>
      <c r="O30" s="2991"/>
      <c r="P30" s="3616"/>
      <c r="Q30" s="1529" t="str">
        <f t="shared" si="11"/>
        <v>建筑面积</v>
      </c>
      <c r="R30" s="709" t="s">
        <v>17</v>
      </c>
      <c r="S30" s="710">
        <f t="shared" si="12"/>
        <v>100</v>
      </c>
      <c r="T30" s="709" t="s">
        <v>17</v>
      </c>
      <c r="U30" s="710">
        <f t="shared" si="13"/>
        <v>100</v>
      </c>
      <c r="V30" s="709" t="s">
        <v>17</v>
      </c>
      <c r="W30" s="710">
        <f t="shared" si="14"/>
        <v>100</v>
      </c>
      <c r="X30" s="1532"/>
      <c r="Y30" s="3616"/>
      <c r="Z30" s="1533" t="str">
        <f t="shared" si="15"/>
        <v>建筑面积</v>
      </c>
      <c r="AA30" s="1530">
        <f t="shared" si="3"/>
        <v>1</v>
      </c>
      <c r="AB30" s="1530">
        <f t="shared" si="4"/>
        <v>1</v>
      </c>
      <c r="AC30" s="1530">
        <f t="shared" si="5"/>
        <v>1</v>
      </c>
    </row>
    <row r="31" spans="1:29" s="108" customFormat="1" ht="15">
      <c r="A31" s="427"/>
      <c r="B31" s="376" t="s">
        <v>2556</v>
      </c>
      <c r="C31" s="608"/>
      <c r="D31" s="127">
        <v>100</v>
      </c>
      <c r="E31" s="608"/>
      <c r="F31" s="415">
        <f>SUMIF(89:89,E31,90:90)-SUMIF(89:89,C31,90:90)+100</f>
        <v>100</v>
      </c>
      <c r="G31" s="608"/>
      <c r="H31" s="389">
        <f>SUMIF(89:89,G31,90:90)-SUMIF(89:89,C31,90:90)+100</f>
        <v>100</v>
      </c>
      <c r="I31" s="608"/>
      <c r="J31" s="389">
        <f>SUMIF(89:89,I31,90:90)-SUMIF(89:89,C31,90:90)+100</f>
        <v>100</v>
      </c>
      <c r="K31" s="564"/>
      <c r="L31" s="2934"/>
      <c r="M31" s="2935"/>
      <c r="N31" s="2935"/>
      <c r="O31" s="2989"/>
      <c r="P31" s="3616"/>
      <c r="Q31" s="1520" t="str">
        <f t="shared" si="11"/>
        <v>是否封闭</v>
      </c>
      <c r="R31" s="705" t="s">
        <v>17</v>
      </c>
      <c r="S31" s="706">
        <f t="shared" si="12"/>
        <v>100</v>
      </c>
      <c r="T31" s="705" t="s">
        <v>17</v>
      </c>
      <c r="U31" s="706">
        <f t="shared" si="13"/>
        <v>100</v>
      </c>
      <c r="V31" s="705" t="s">
        <v>17</v>
      </c>
      <c r="W31" s="706">
        <f t="shared" si="14"/>
        <v>100</v>
      </c>
      <c r="X31" s="707"/>
      <c r="Y31" s="3616"/>
      <c r="Z31" s="53" t="str">
        <f t="shared" si="15"/>
        <v>是否封闭</v>
      </c>
      <c r="AA31" s="708">
        <f t="shared" si="3"/>
        <v>1</v>
      </c>
      <c r="AB31" s="708">
        <f t="shared" si="4"/>
        <v>1</v>
      </c>
      <c r="AC31" s="708">
        <f t="shared" si="5"/>
        <v>1</v>
      </c>
    </row>
    <row r="32" spans="1:29" ht="15">
      <c r="A32" s="426"/>
      <c r="B32" s="2071">
        <v>111</v>
      </c>
      <c r="C32" s="386"/>
      <c r="D32" s="389">
        <v>100</v>
      </c>
      <c r="E32" s="423"/>
      <c r="F32" s="415">
        <f>SUMIF(91:91,E32,92:92)-SUMIF(91:91,C32,92:92)+100</f>
        <v>100</v>
      </c>
      <c r="G32" s="423"/>
      <c r="H32" s="389">
        <f>SUMIF(91:91,G32,92:92)-SUMIF(91:91,C32,92:92)+100</f>
        <v>100</v>
      </c>
      <c r="I32" s="423"/>
      <c r="J32" s="389">
        <f>SUMIF(91:91,I32,92:92)-SUMIF(91:91,C32,92:92)+100</f>
        <v>100</v>
      </c>
      <c r="K32" s="565"/>
      <c r="L32" s="2939"/>
      <c r="M32" s="2933"/>
      <c r="N32" s="2933"/>
      <c r="O32" s="2991"/>
      <c r="P32" s="3616" t="s">
        <v>2382</v>
      </c>
      <c r="Q32" s="1529">
        <f t="shared" si="11"/>
        <v>111</v>
      </c>
      <c r="R32" s="709" t="s">
        <v>17</v>
      </c>
      <c r="S32" s="710">
        <f t="shared" si="12"/>
        <v>100</v>
      </c>
      <c r="T32" s="709" t="s">
        <v>17</v>
      </c>
      <c r="U32" s="710">
        <f t="shared" si="13"/>
        <v>100</v>
      </c>
      <c r="V32" s="709" t="s">
        <v>17</v>
      </c>
      <c r="W32" s="710">
        <f t="shared" si="14"/>
        <v>100</v>
      </c>
      <c r="X32" s="1532"/>
      <c r="Y32" s="3616" t="s">
        <v>2382</v>
      </c>
      <c r="Z32" s="1533">
        <f t="shared" si="15"/>
        <v>111</v>
      </c>
      <c r="AA32" s="1530">
        <f t="shared" si="3"/>
        <v>1</v>
      </c>
      <c r="AB32" s="1530">
        <f t="shared" si="4"/>
        <v>1</v>
      </c>
      <c r="AC32" s="1530">
        <f t="shared" si="5"/>
        <v>1</v>
      </c>
    </row>
    <row r="33" spans="1:30" ht="15">
      <c r="A33" s="426"/>
      <c r="B33" s="2071">
        <v>111</v>
      </c>
      <c r="C33" s="386"/>
      <c r="D33" s="389">
        <v>100</v>
      </c>
      <c r="E33" s="423"/>
      <c r="F33" s="415">
        <f>SUMIF(93:93,E33,94:94)-SUMIF(93:93,C33,94:94)+100</f>
        <v>100</v>
      </c>
      <c r="G33" s="423"/>
      <c r="H33" s="389">
        <f>SUMIF(93:93,G33,94:94)-SUMIF(93:93,C33,94:94)+100</f>
        <v>100</v>
      </c>
      <c r="I33" s="423"/>
      <c r="J33" s="389">
        <f>SUMIF(93:93,I33,94:94)-SUMIF(93:93,C33,94:94)+100</f>
        <v>100</v>
      </c>
      <c r="K33" s="565"/>
      <c r="L33" s="2939"/>
      <c r="M33" s="2933"/>
      <c r="N33" s="2933"/>
      <c r="O33" s="2991"/>
      <c r="P33" s="3616"/>
      <c r="Q33" s="1529">
        <f t="shared" si="11"/>
        <v>111</v>
      </c>
      <c r="R33" s="709" t="s">
        <v>17</v>
      </c>
      <c r="S33" s="710">
        <f t="shared" si="12"/>
        <v>100</v>
      </c>
      <c r="T33" s="709" t="s">
        <v>17</v>
      </c>
      <c r="U33" s="710">
        <f t="shared" si="13"/>
        <v>100</v>
      </c>
      <c r="V33" s="709" t="s">
        <v>17</v>
      </c>
      <c r="W33" s="710">
        <f t="shared" si="14"/>
        <v>100</v>
      </c>
      <c r="X33" s="1532"/>
      <c r="Y33" s="3616"/>
      <c r="Z33" s="1533">
        <f t="shared" si="15"/>
        <v>111</v>
      </c>
      <c r="AA33" s="1530">
        <f t="shared" si="3"/>
        <v>1</v>
      </c>
      <c r="AB33" s="1530">
        <f t="shared" si="4"/>
        <v>1</v>
      </c>
      <c r="AC33" s="1530">
        <f t="shared" si="5"/>
        <v>1</v>
      </c>
    </row>
    <row r="34" spans="1:30" ht="15.75" thickBot="1">
      <c r="A34" s="432"/>
      <c r="B34" s="2073">
        <v>111</v>
      </c>
      <c r="C34" s="391"/>
      <c r="D34" s="392">
        <v>100</v>
      </c>
      <c r="E34" s="2153"/>
      <c r="F34" s="393">
        <f>SUMIF(95:95,E34,96:96)-SUMIF(95:95,C34,96:96)+100</f>
        <v>100</v>
      </c>
      <c r="G34" s="2153"/>
      <c r="H34" s="392">
        <f>SUMIF(95:95,G34,96:96)-SUMIF(95:95,C34,96:96)+100</f>
        <v>100</v>
      </c>
      <c r="I34" s="2153"/>
      <c r="J34" s="392">
        <f>SUMIF(95:95,I34,96:96)-SUMIF(95:95,C34,96:96)+100</f>
        <v>100</v>
      </c>
      <c r="K34" s="565"/>
      <c r="L34" s="2939"/>
      <c r="M34" s="2933"/>
      <c r="N34" s="2933"/>
      <c r="O34" s="2991"/>
      <c r="P34" s="3616"/>
      <c r="Q34" s="1529">
        <f t="shared" si="11"/>
        <v>111</v>
      </c>
      <c r="R34" s="709" t="s">
        <v>17</v>
      </c>
      <c r="S34" s="710">
        <f t="shared" si="12"/>
        <v>100</v>
      </c>
      <c r="T34" s="709" t="s">
        <v>17</v>
      </c>
      <c r="U34" s="710">
        <f t="shared" si="13"/>
        <v>100</v>
      </c>
      <c r="V34" s="709" t="s">
        <v>17</v>
      </c>
      <c r="W34" s="710">
        <f t="shared" si="14"/>
        <v>100</v>
      </c>
      <c r="X34" s="1532"/>
      <c r="Y34" s="3616"/>
      <c r="Z34" s="1533">
        <f t="shared" si="15"/>
        <v>111</v>
      </c>
      <c r="AA34" s="1530">
        <f t="shared" si="3"/>
        <v>1</v>
      </c>
      <c r="AB34" s="1530">
        <f t="shared" si="4"/>
        <v>1</v>
      </c>
      <c r="AC34" s="1530">
        <f t="shared" si="5"/>
        <v>1</v>
      </c>
    </row>
    <row r="35" spans="1:30" ht="15">
      <c r="A35" s="433" t="s">
        <v>2394</v>
      </c>
      <c r="B35" s="434"/>
      <c r="C35" s="1310" t="s">
        <v>1</v>
      </c>
      <c r="D35" s="1311"/>
      <c r="E35" s="1312">
        <f>ROUND('比较法-住宅'!C48/2,0)</f>
        <v>28532</v>
      </c>
      <c r="F35" s="1313"/>
      <c r="G35" s="1314">
        <f>E35</f>
        <v>28532</v>
      </c>
      <c r="H35" s="1315"/>
      <c r="I35" s="1312">
        <f>E35</f>
        <v>28532</v>
      </c>
      <c r="J35" s="1315"/>
      <c r="K35" s="718"/>
      <c r="L35" s="2941"/>
      <c r="M35" s="2942"/>
      <c r="N35" s="2933"/>
      <c r="O35" s="2942"/>
      <c r="P35" s="3598" t="str">
        <f>A35</f>
        <v>成交单价（元/平方米）</v>
      </c>
      <c r="Q35" s="3598"/>
      <c r="R35" s="3633">
        <f>E35</f>
        <v>28532</v>
      </c>
      <c r="S35" s="3633"/>
      <c r="T35" s="3633">
        <f>G35</f>
        <v>28532</v>
      </c>
      <c r="U35" s="3633"/>
      <c r="V35" s="3633">
        <f>I35</f>
        <v>28532</v>
      </c>
      <c r="W35" s="3633"/>
      <c r="X35" s="694"/>
      <c r="Y35" s="716"/>
      <c r="Z35" s="694"/>
      <c r="AA35" s="694"/>
      <c r="AB35" s="694"/>
      <c r="AC35" s="694"/>
    </row>
    <row r="36" spans="1:30" ht="15.75" thickBot="1">
      <c r="A36" s="440" t="s">
        <v>2486</v>
      </c>
      <c r="B36" s="441"/>
      <c r="C36" s="1316">
        <f>R37</f>
        <v>28532</v>
      </c>
      <c r="D36" s="2530" t="s">
        <v>2877</v>
      </c>
      <c r="E36" s="1317">
        <f>R36</f>
        <v>28532</v>
      </c>
      <c r="F36" s="2531"/>
      <c r="G36" s="1316">
        <f>T36</f>
        <v>28532</v>
      </c>
      <c r="H36" s="2531"/>
      <c r="I36" s="1317">
        <f>V36</f>
        <v>28532</v>
      </c>
      <c r="J36" s="2531"/>
      <c r="K36" s="2533">
        <f>F36+H36+J36</f>
        <v>0</v>
      </c>
      <c r="L36" s="2941"/>
      <c r="M36" s="2942"/>
      <c r="N36" s="2933"/>
      <c r="O36" s="2942"/>
      <c r="P36" s="3598" t="str">
        <f>A36</f>
        <v>比较价值（元/平方米）</v>
      </c>
      <c r="Q36" s="3598"/>
      <c r="R36" s="3633">
        <f>IF(F1="售价",ROUND(PRODUCT(R35,AA7:AA34),0),ROUND(PRODUCT(R35,AA7:AA34),1))</f>
        <v>28532</v>
      </c>
      <c r="S36" s="3633"/>
      <c r="T36" s="3633">
        <f>IF(F1="售价",ROUND(PRODUCT(T35,AB7:AB34),0),ROUND(PRODUCT(T35,AB7:AB34),1))</f>
        <v>28532</v>
      </c>
      <c r="U36" s="3633"/>
      <c r="V36" s="3633">
        <f>IF(F1="售价",ROUND(PRODUCT(V35,AC7:AC34),0),ROUND(PRODUCT(V35,AC7:AC34),1))</f>
        <v>28532</v>
      </c>
      <c r="W36" s="3633"/>
      <c r="X36" s="694"/>
      <c r="Y36" s="694"/>
      <c r="Z36" s="694"/>
      <c r="AA36" s="694"/>
      <c r="AB36" s="694"/>
      <c r="AC36" s="694"/>
    </row>
    <row r="37" spans="1:30" ht="15.75" thickBot="1">
      <c r="A37" s="444" t="s">
        <v>2487</v>
      </c>
      <c r="B37" s="445"/>
      <c r="C37" s="1319">
        <f>R37</f>
        <v>28532</v>
      </c>
      <c r="D37" s="1319"/>
      <c r="E37" s="1319"/>
      <c r="F37" s="1319"/>
      <c r="G37" s="1319"/>
      <c r="H37" s="1319"/>
      <c r="I37" s="1319"/>
      <c r="J37" s="1319"/>
      <c r="K37" s="719"/>
      <c r="L37" s="2941"/>
      <c r="M37" s="2942"/>
      <c r="N37" s="2942"/>
      <c r="O37" s="2942"/>
      <c r="P37" s="3618" t="str">
        <f>A37</f>
        <v>估价对象XX用房的比较价值（楼面单价，元/平方米）</v>
      </c>
      <c r="Q37" s="3619"/>
      <c r="R37" s="3656">
        <f>IF(F1="售价",ROUND(IF(D36="简单平均",AVERAGE(R36:W36),R36*F36+T36*H36+V36*J36),0),ROUND(IF(D36="简单平均",AVERAGE(R36:V36),R36*F36+T36*H36+V36*J36),1))</f>
        <v>28532</v>
      </c>
      <c r="S37" s="3656"/>
      <c r="T37" s="3656"/>
      <c r="U37" s="3656"/>
      <c r="V37" s="3656"/>
      <c r="W37" s="3656"/>
      <c r="X37" s="694"/>
      <c r="Y37" s="694"/>
      <c r="Z37" s="694"/>
      <c r="AA37" s="694"/>
      <c r="AB37" s="694"/>
      <c r="AC37" s="694"/>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49" t="s">
        <v>2488</v>
      </c>
      <c r="D40" s="450"/>
      <c r="E40" s="451">
        <f>IF(E35&lt;E36,E36/E35-1,E35/E36-1)</f>
        <v>0</v>
      </c>
      <c r="F40" s="452" t="str">
        <f>IF(OR(E40&gt;=0.3,E40&lt;=-0.3),"超过30%","")</f>
        <v/>
      </c>
      <c r="G40" s="451">
        <f>IF(G35&lt;G36,G36/G35-1,G35/G36-1)</f>
        <v>0</v>
      </c>
      <c r="H40" s="452" t="str">
        <f>IF(OR(G40&gt;=0.3,G40&lt;=-0.3),"超过30%","")</f>
        <v/>
      </c>
      <c r="I40" s="451">
        <f>IF(I35&lt;I36,I36/I35-1,I35/I36-1)</f>
        <v>0</v>
      </c>
      <c r="J40" s="452"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49" t="s">
        <v>2489</v>
      </c>
      <c r="D41" s="453"/>
      <c r="E41" s="451">
        <f>IF(E36&lt;G36,G36/E36-1,E36/G36-1)</f>
        <v>0</v>
      </c>
      <c r="F41" s="452" t="str">
        <f>IF(OR(E41&gt;=0.2,E41&lt;=-0.2),"超过20%","")</f>
        <v/>
      </c>
      <c r="G41" s="451">
        <f>IF(G36&lt;I36,I36/G36-1,G36/I36-1)</f>
        <v>0</v>
      </c>
      <c r="H41" s="452" t="str">
        <f>IF(OR(G41&gt;=0.2,G41&lt;=-0.2),"超过20%","")</f>
        <v/>
      </c>
      <c r="I41" s="451">
        <f>IF(I36&lt;E36,E36/I36-1,I36/E36-1)</f>
        <v>0</v>
      </c>
      <c r="J41" s="452"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4" customFormat="1" ht="13.5" customHeight="1">
      <c r="A42" s="2945"/>
      <c r="B42" s="2945"/>
      <c r="C42" s="449" t="s">
        <v>2490</v>
      </c>
      <c r="D42" s="453"/>
      <c r="E42" s="451">
        <f>IF(E35&lt;G35,G35/E35-1,E35/G35-1)</f>
        <v>0</v>
      </c>
      <c r="F42" s="452" t="str">
        <f>IF(OR(E42&gt;=0.3,E42&lt;=-0.3),"超过30%","")</f>
        <v/>
      </c>
      <c r="G42" s="451">
        <f>IF(G35&lt;I35,I35/G35-1,G35/I35-1)</f>
        <v>0</v>
      </c>
      <c r="H42" s="452" t="str">
        <f>IF(OR(G42&gt;=0.3,G42&lt;=-0.3),"超过30%","")</f>
        <v/>
      </c>
      <c r="I42" s="451">
        <f>IF(I35&lt;E35,E35/I35-1,I35/E35-1)</f>
        <v>0</v>
      </c>
      <c r="J42" s="452"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4"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698" t="s">
        <v>2491</v>
      </c>
      <c r="B45" s="694"/>
      <c r="C45" s="699"/>
      <c r="D45" s="699"/>
      <c r="E45" s="699"/>
      <c r="F45" s="700"/>
      <c r="G45" s="700"/>
      <c r="H45" s="699"/>
      <c r="I45" s="699"/>
      <c r="J45" s="699"/>
      <c r="K45" s="701"/>
      <c r="L45" s="702"/>
      <c r="M45" s="699"/>
      <c r="N45" s="2986"/>
      <c r="O45" s="2986"/>
      <c r="P45" s="2986"/>
      <c r="Q45" s="2956"/>
      <c r="R45" s="2942"/>
      <c r="S45" s="2942"/>
      <c r="T45" s="2942"/>
      <c r="U45" s="2942"/>
      <c r="V45" s="2942"/>
      <c r="W45" s="2942"/>
      <c r="X45" s="2942"/>
      <c r="Y45" s="2942"/>
      <c r="Z45" s="2942"/>
      <c r="AA45" s="2942"/>
      <c r="AB45" s="2942"/>
      <c r="AC45" s="2942"/>
      <c r="AD45" s="2942"/>
    </row>
    <row r="46" spans="1:30" s="460" customFormat="1" ht="15">
      <c r="A46" s="457" t="s">
        <v>2365</v>
      </c>
      <c r="B46" s="458"/>
      <c r="C46" s="1339" t="str">
        <f>YEAR(C7)&amp;"-"&amp;MONTH(C7)</f>
        <v>2022-1</v>
      </c>
      <c r="D46" s="1340">
        <f>EDATE(C46,-1)</f>
        <v>44531</v>
      </c>
      <c r="E46" s="1340">
        <f t="shared" ref="E46:O46" si="16">EDATE(D46,-1)</f>
        <v>44501</v>
      </c>
      <c r="F46" s="1340">
        <f t="shared" si="16"/>
        <v>44470</v>
      </c>
      <c r="G46" s="1340">
        <f t="shared" si="16"/>
        <v>44440</v>
      </c>
      <c r="H46" s="1340">
        <f t="shared" si="16"/>
        <v>44409</v>
      </c>
      <c r="I46" s="1340">
        <f t="shared" si="16"/>
        <v>44378</v>
      </c>
      <c r="J46" s="1340">
        <f t="shared" si="16"/>
        <v>44348</v>
      </c>
      <c r="K46" s="1340">
        <f t="shared" si="16"/>
        <v>44317</v>
      </c>
      <c r="L46" s="1340">
        <f t="shared" si="16"/>
        <v>44287</v>
      </c>
      <c r="M46" s="1340">
        <f t="shared" si="16"/>
        <v>44256</v>
      </c>
      <c r="N46" s="1340">
        <f t="shared" si="16"/>
        <v>44228</v>
      </c>
      <c r="O46" s="1340">
        <f t="shared" si="16"/>
        <v>44197</v>
      </c>
      <c r="P46" s="2993"/>
      <c r="Q46" s="2958"/>
      <c r="R46" s="2958"/>
      <c r="S46" s="2958"/>
      <c r="T46" s="2958"/>
      <c r="U46" s="2958"/>
      <c r="V46" s="2958"/>
      <c r="W46" s="2958"/>
      <c r="X46" s="2958"/>
      <c r="Y46" s="2958"/>
      <c r="Z46" s="2958"/>
      <c r="AA46" s="2958"/>
      <c r="AB46" s="2958"/>
      <c r="AC46" s="2958"/>
      <c r="AD46" s="2958"/>
    </row>
    <row r="47" spans="1:30" s="108" customFormat="1" ht="15">
      <c r="A47" s="461"/>
      <c r="B47" s="462"/>
      <c r="C47" s="1338">
        <v>100</v>
      </c>
      <c r="D47" s="464"/>
      <c r="E47" s="464"/>
      <c r="F47" s="464"/>
      <c r="G47" s="464"/>
      <c r="H47" s="464"/>
      <c r="I47" s="464"/>
      <c r="J47" s="464"/>
      <c r="K47" s="464"/>
      <c r="L47" s="464"/>
      <c r="M47" s="465"/>
      <c r="N47" s="464"/>
      <c r="O47" s="466"/>
      <c r="P47" s="2956"/>
      <c r="Q47" s="2877"/>
      <c r="R47" s="2877"/>
      <c r="S47" s="2877"/>
      <c r="T47" s="2877"/>
      <c r="U47" s="2877"/>
      <c r="V47" s="2877"/>
      <c r="W47" s="2877"/>
      <c r="X47" s="2877"/>
      <c r="Y47" s="2877"/>
      <c r="Z47" s="2877"/>
      <c r="AA47" s="2877"/>
      <c r="AB47" s="2877"/>
      <c r="AC47" s="2877"/>
      <c r="AD47" s="2877"/>
    </row>
    <row r="48" spans="1:30" s="108" customFormat="1" ht="15.75" thickBot="1">
      <c r="A48" s="467" t="s">
        <v>2402</v>
      </c>
      <c r="B48" s="468"/>
      <c r="C48" s="469"/>
      <c r="D48" s="470"/>
      <c r="E48" s="470"/>
      <c r="F48" s="470"/>
      <c r="G48" s="470"/>
      <c r="H48" s="470"/>
      <c r="I48" s="470"/>
      <c r="J48" s="470"/>
      <c r="K48" s="470"/>
      <c r="L48" s="470"/>
      <c r="M48" s="471"/>
      <c r="N48" s="470"/>
      <c r="O48" s="472"/>
      <c r="P48" s="2956"/>
      <c r="Q48" s="2956"/>
      <c r="R48" s="2877"/>
      <c r="S48" s="2877"/>
      <c r="T48" s="2877"/>
      <c r="U48" s="2877"/>
      <c r="V48" s="2877"/>
      <c r="W48" s="2877"/>
      <c r="X48" s="2877"/>
      <c r="Y48" s="2877"/>
      <c r="Z48" s="2877"/>
      <c r="AA48" s="2877"/>
      <c r="AB48" s="2877"/>
      <c r="AC48" s="2877"/>
      <c r="AD48" s="2877"/>
    </row>
    <row r="49" spans="1:30" s="108" customFormat="1" ht="15">
      <c r="A49" s="473" t="s">
        <v>2367</v>
      </c>
      <c r="B49" s="462"/>
      <c r="C49" s="474" t="s">
        <v>2469</v>
      </c>
      <c r="D49" s="475"/>
      <c r="E49" s="475"/>
      <c r="F49" s="475"/>
      <c r="G49" s="475"/>
      <c r="H49" s="475"/>
      <c r="I49" s="475"/>
      <c r="J49" s="475"/>
      <c r="K49" s="475"/>
      <c r="L49" s="476"/>
      <c r="M49" s="477"/>
      <c r="N49" s="2969"/>
      <c r="O49" s="2969"/>
      <c r="P49" s="2994"/>
      <c r="Q49" s="2956"/>
      <c r="R49" s="2877"/>
      <c r="S49" s="2877"/>
      <c r="T49" s="2877"/>
      <c r="U49" s="2877"/>
      <c r="V49" s="2877"/>
      <c r="W49" s="2877"/>
      <c r="X49" s="2877"/>
      <c r="Y49" s="2877"/>
      <c r="Z49" s="2877"/>
      <c r="AA49" s="2877"/>
      <c r="AB49" s="2877"/>
      <c r="AC49" s="2877"/>
      <c r="AD49" s="2877"/>
    </row>
    <row r="50" spans="1:30" s="108" customFormat="1" ht="15.75" thickBot="1">
      <c r="A50" s="473"/>
      <c r="B50" s="462"/>
      <c r="C50" s="590">
        <v>100</v>
      </c>
      <c r="D50" s="464"/>
      <c r="E50" s="464"/>
      <c r="F50" s="464"/>
      <c r="G50" s="464"/>
      <c r="H50" s="464"/>
      <c r="I50" s="464"/>
      <c r="J50" s="464"/>
      <c r="K50" s="464"/>
      <c r="L50" s="464"/>
      <c r="M50" s="466"/>
      <c r="N50" s="2969"/>
      <c r="O50" s="2969"/>
      <c r="P50" s="2956"/>
      <c r="Q50" s="2956"/>
      <c r="R50" s="2877"/>
      <c r="S50" s="2877"/>
      <c r="T50" s="2877"/>
      <c r="U50" s="2877"/>
      <c r="V50" s="2877"/>
      <c r="W50" s="2877"/>
      <c r="X50" s="2877"/>
      <c r="Y50" s="2877"/>
      <c r="Z50" s="2877"/>
      <c r="AA50" s="2877"/>
      <c r="AB50" s="2877"/>
      <c r="AC50" s="2877"/>
      <c r="AD50" s="2877"/>
    </row>
    <row r="51" spans="1:30">
      <c r="A51" s="479" t="s">
        <v>2405</v>
      </c>
      <c r="B51" s="480" t="s">
        <v>2371</v>
      </c>
      <c r="C51" s="481">
        <f>C9</f>
        <v>0</v>
      </c>
      <c r="D51" s="482"/>
      <c r="E51" s="482"/>
      <c r="F51" s="482"/>
      <c r="G51" s="482"/>
      <c r="H51" s="482"/>
      <c r="I51" s="482"/>
      <c r="J51" s="482"/>
      <c r="K51" s="483"/>
      <c r="L51" s="484"/>
      <c r="M51" s="485"/>
      <c r="N51" s="2970"/>
      <c r="O51" s="2970"/>
      <c r="P51" s="2995"/>
      <c r="Q51" s="2956"/>
      <c r="R51" s="2942"/>
      <c r="S51" s="2942"/>
      <c r="T51" s="2942"/>
      <c r="U51" s="2942"/>
      <c r="V51" s="2942"/>
      <c r="W51" s="2942"/>
      <c r="X51" s="2942"/>
      <c r="Y51" s="2942"/>
      <c r="Z51" s="2942"/>
      <c r="AA51" s="2942"/>
      <c r="AB51" s="2942"/>
      <c r="AC51" s="2942"/>
      <c r="AD51" s="2942"/>
    </row>
    <row r="52" spans="1:30" ht="15.75" thickBot="1">
      <c r="A52" s="486"/>
      <c r="B52" s="487"/>
      <c r="C52" s="488">
        <v>100</v>
      </c>
      <c r="D52" s="488"/>
      <c r="E52" s="488"/>
      <c r="F52" s="488"/>
      <c r="G52" s="488"/>
      <c r="H52" s="488"/>
      <c r="I52" s="488"/>
      <c r="J52" s="488"/>
      <c r="K52" s="488"/>
      <c r="L52" s="488"/>
      <c r="M52" s="489"/>
      <c r="N52" s="2971"/>
      <c r="O52" s="2971"/>
      <c r="P52" s="2995"/>
      <c r="Q52" s="2956"/>
      <c r="R52" s="2942"/>
      <c r="S52" s="2942"/>
      <c r="T52" s="2942"/>
      <c r="U52" s="2942"/>
      <c r="V52" s="2942"/>
      <c r="W52" s="2942"/>
      <c r="X52" s="2942"/>
      <c r="Y52" s="2942"/>
      <c r="Z52" s="2942"/>
      <c r="AA52" s="2942"/>
      <c r="AB52" s="2942"/>
      <c r="AC52" s="2942"/>
      <c r="AD52" s="2942"/>
    </row>
    <row r="53" spans="1:30" ht="27.75" thickTop="1">
      <c r="A53" s="486"/>
      <c r="B53" s="490" t="s">
        <v>2374</v>
      </c>
      <c r="C53" s="491" t="s">
        <v>2406</v>
      </c>
      <c r="D53" s="491" t="s">
        <v>2407</v>
      </c>
      <c r="E53" s="491" t="s">
        <v>2408</v>
      </c>
      <c r="F53" s="491" t="s">
        <v>2409</v>
      </c>
      <c r="G53" s="491" t="s">
        <v>2410</v>
      </c>
      <c r="H53" s="491" t="s">
        <v>2411</v>
      </c>
      <c r="I53" s="491" t="s">
        <v>2412</v>
      </c>
      <c r="J53" s="491"/>
      <c r="K53" s="492"/>
      <c r="L53" s="493"/>
      <c r="M53" s="494"/>
      <c r="N53" s="2970"/>
      <c r="O53" s="2970"/>
      <c r="P53" s="2995"/>
      <c r="Q53" s="2956"/>
      <c r="R53" s="2942"/>
      <c r="S53" s="2942"/>
      <c r="T53" s="2942"/>
      <c r="U53" s="2942"/>
      <c r="V53" s="2942"/>
      <c r="W53" s="2942"/>
      <c r="X53" s="2942"/>
      <c r="Y53" s="2942"/>
      <c r="Z53" s="2942"/>
      <c r="AA53" s="2942"/>
      <c r="AB53" s="2942"/>
      <c r="AC53" s="2942"/>
      <c r="AD53" s="2942"/>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971"/>
      <c r="O54" s="2971"/>
      <c r="P54" s="2995"/>
      <c r="Q54" s="2956"/>
      <c r="R54" s="2942"/>
      <c r="S54" s="2942"/>
      <c r="T54" s="2942"/>
      <c r="U54" s="2942"/>
      <c r="V54" s="2942"/>
      <c r="W54" s="2942"/>
      <c r="X54" s="2942"/>
      <c r="Y54" s="2942"/>
      <c r="Z54" s="2942"/>
      <c r="AA54" s="2942"/>
      <c r="AB54" s="2942"/>
      <c r="AC54" s="2942"/>
      <c r="AD54" s="2942"/>
    </row>
    <row r="55" spans="1:30" ht="15.75" thickTop="1">
      <c r="A55" s="486"/>
      <c r="B55" s="611">
        <f>B11</f>
        <v>111</v>
      </c>
      <c r="C55" s="501"/>
      <c r="D55" s="501"/>
      <c r="E55" s="501"/>
      <c r="F55" s="501"/>
      <c r="G55" s="501"/>
      <c r="H55" s="501"/>
      <c r="I55" s="501"/>
      <c r="J55" s="501"/>
      <c r="K55" s="502"/>
      <c r="L55" s="503"/>
      <c r="M55" s="504"/>
      <c r="N55" s="2970"/>
      <c r="O55" s="2970"/>
      <c r="P55" s="2995"/>
      <c r="Q55" s="2956"/>
      <c r="R55" s="2942"/>
      <c r="S55" s="2942"/>
      <c r="T55" s="2942"/>
      <c r="U55" s="2942"/>
      <c r="V55" s="2942"/>
      <c r="W55" s="2942"/>
      <c r="X55" s="2942"/>
      <c r="Y55" s="2942"/>
      <c r="Z55" s="2942"/>
      <c r="AA55" s="2942"/>
      <c r="AB55" s="2942"/>
      <c r="AC55" s="2942"/>
      <c r="AD55" s="2942"/>
    </row>
    <row r="56" spans="1:30" ht="15.75" thickBot="1">
      <c r="A56" s="486"/>
      <c r="B56" s="487"/>
      <c r="C56" s="512"/>
      <c r="D56" s="488"/>
      <c r="E56" s="488"/>
      <c r="F56" s="488"/>
      <c r="G56" s="488"/>
      <c r="H56" s="488"/>
      <c r="I56" s="488"/>
      <c r="J56" s="488"/>
      <c r="K56" s="488"/>
      <c r="L56" s="488"/>
      <c r="M56" s="489"/>
      <c r="N56" s="2971"/>
      <c r="O56" s="2971"/>
      <c r="P56" s="2995"/>
      <c r="Q56" s="2956"/>
      <c r="R56" s="2942"/>
      <c r="S56" s="2942"/>
      <c r="T56" s="2942"/>
      <c r="U56" s="2942"/>
      <c r="V56" s="2942"/>
      <c r="W56" s="2942"/>
      <c r="X56" s="2942"/>
      <c r="Y56" s="2942"/>
      <c r="Z56" s="2942"/>
      <c r="AA56" s="2942"/>
      <c r="AB56" s="2942"/>
      <c r="AC56" s="2942"/>
      <c r="AD56" s="2942"/>
    </row>
    <row r="57" spans="1:30" s="425" customFormat="1" ht="15.75" thickTop="1">
      <c r="A57" s="505"/>
      <c r="B57" s="490">
        <f>B12</f>
        <v>111</v>
      </c>
      <c r="C57" s="501"/>
      <c r="D57" s="501"/>
      <c r="E57" s="501"/>
      <c r="F57" s="501"/>
      <c r="G57" s="506"/>
      <c r="H57" s="507"/>
      <c r="I57" s="507"/>
      <c r="J57" s="507"/>
      <c r="K57" s="507"/>
      <c r="L57" s="508"/>
      <c r="M57" s="509"/>
      <c r="N57" s="2972"/>
      <c r="O57" s="2972"/>
      <c r="P57" s="2996"/>
      <c r="Q57" s="2963"/>
      <c r="R57" s="2964"/>
      <c r="S57" s="2964"/>
      <c r="T57" s="2964"/>
      <c r="U57" s="2964"/>
      <c r="V57" s="2964"/>
      <c r="W57" s="2964"/>
      <c r="X57" s="2964"/>
      <c r="Y57" s="2964"/>
      <c r="Z57" s="2964"/>
      <c r="AA57" s="2964"/>
      <c r="AB57" s="2964"/>
      <c r="AC57" s="2964"/>
      <c r="AD57" s="2964"/>
    </row>
    <row r="58" spans="1:30" s="425" customFormat="1" ht="15.75" thickBot="1">
      <c r="A58" s="505"/>
      <c r="B58" s="495"/>
      <c r="C58" s="512"/>
      <c r="D58" s="488"/>
      <c r="E58" s="488"/>
      <c r="F58" s="488"/>
      <c r="G58" s="488"/>
      <c r="H58" s="488"/>
      <c r="I58" s="488"/>
      <c r="J58" s="488"/>
      <c r="K58" s="488"/>
      <c r="L58" s="488"/>
      <c r="M58" s="489"/>
      <c r="N58" s="2971"/>
      <c r="O58" s="2971"/>
      <c r="P58" s="2996"/>
      <c r="Q58" s="2963"/>
      <c r="R58" s="2964"/>
      <c r="S58" s="2964"/>
      <c r="T58" s="2964"/>
      <c r="U58" s="2964"/>
      <c r="V58" s="2964"/>
      <c r="W58" s="2964"/>
      <c r="X58" s="2964"/>
      <c r="Y58" s="2964"/>
      <c r="Z58" s="2964"/>
      <c r="AA58" s="2964"/>
      <c r="AB58" s="2964"/>
      <c r="AC58" s="2964"/>
      <c r="AD58" s="2964"/>
    </row>
    <row r="59" spans="1:30" s="425" customFormat="1" ht="15.75" thickTop="1">
      <c r="A59" s="505"/>
      <c r="B59" s="490">
        <f>B13</f>
        <v>111</v>
      </c>
      <c r="C59" s="501"/>
      <c r="D59" s="501"/>
      <c r="E59" s="501"/>
      <c r="F59" s="501"/>
      <c r="G59" s="506"/>
      <c r="H59" s="507"/>
      <c r="I59" s="507"/>
      <c r="J59" s="507"/>
      <c r="K59" s="507"/>
      <c r="L59" s="508"/>
      <c r="M59" s="509"/>
      <c r="N59" s="2972"/>
      <c r="O59" s="2972"/>
      <c r="P59" s="2940"/>
      <c r="Q59" s="2966"/>
      <c r="R59" s="2964"/>
      <c r="S59" s="2964"/>
      <c r="T59" s="2964"/>
      <c r="U59" s="2964"/>
      <c r="V59" s="2964"/>
      <c r="W59" s="2964"/>
      <c r="X59" s="2964"/>
      <c r="Y59" s="2964"/>
      <c r="Z59" s="2964"/>
      <c r="AA59" s="2964"/>
      <c r="AB59" s="2964"/>
      <c r="AC59" s="2964"/>
      <c r="AD59" s="2964"/>
    </row>
    <row r="60" spans="1:30" s="425" customFormat="1" ht="15.75" thickBot="1">
      <c r="A60" s="505"/>
      <c r="B60" s="495"/>
      <c r="C60" s="512"/>
      <c r="D60" s="512"/>
      <c r="E60" s="512"/>
      <c r="F60" s="512"/>
      <c r="G60" s="512"/>
      <c r="H60" s="514"/>
      <c r="I60" s="514"/>
      <c r="J60" s="514"/>
      <c r="K60" s="514"/>
      <c r="L60" s="514"/>
      <c r="M60" s="515"/>
      <c r="N60" s="2972"/>
      <c r="O60" s="2972"/>
      <c r="P60" s="2996"/>
      <c r="Q60" s="2963"/>
      <c r="R60" s="2964"/>
      <c r="S60" s="2964"/>
      <c r="T60" s="2964"/>
      <c r="U60" s="2964"/>
      <c r="V60" s="2964"/>
      <c r="W60" s="2964"/>
      <c r="X60" s="2964"/>
      <c r="Y60" s="2964"/>
      <c r="Z60" s="2964"/>
      <c r="AA60" s="2964"/>
      <c r="AB60" s="2964"/>
      <c r="AC60" s="2964"/>
      <c r="AD60" s="2964"/>
    </row>
    <row r="61" spans="1:30" ht="15" thickTop="1">
      <c r="A61" s="479" t="s">
        <v>2376</v>
      </c>
      <c r="B61" s="480" t="s">
        <v>2419</v>
      </c>
      <c r="C61" s="525" t="s">
        <v>2414</v>
      </c>
      <c r="D61" s="525" t="s">
        <v>2415</v>
      </c>
      <c r="E61" s="525" t="s">
        <v>2416</v>
      </c>
      <c r="F61" s="525" t="s">
        <v>2417</v>
      </c>
      <c r="G61" s="525" t="s">
        <v>2418</v>
      </c>
      <c r="H61" s="481"/>
      <c r="I61" s="481"/>
      <c r="J61" s="481"/>
      <c r="K61" s="526"/>
      <c r="L61" s="527"/>
      <c r="M61" s="528"/>
      <c r="N61" s="2970"/>
      <c r="O61" s="2970"/>
      <c r="P61" s="2997"/>
      <c r="Q61" s="2956"/>
      <c r="R61" s="2942"/>
      <c r="S61" s="2942"/>
      <c r="T61" s="2942"/>
      <c r="U61" s="2942"/>
      <c r="V61" s="2942"/>
      <c r="W61" s="2942"/>
      <c r="X61" s="2942"/>
      <c r="Y61" s="2942"/>
      <c r="Z61" s="2942"/>
      <c r="AA61" s="2942"/>
      <c r="AB61" s="2942"/>
      <c r="AC61" s="2942"/>
      <c r="AD61" s="2942"/>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971"/>
      <c r="O62" s="2971"/>
      <c r="P62" s="2995"/>
      <c r="Q62" s="2956"/>
      <c r="R62" s="2942"/>
      <c r="S62" s="2942"/>
      <c r="T62" s="2942"/>
      <c r="U62" s="2942"/>
      <c r="V62" s="2942"/>
      <c r="W62" s="2942"/>
      <c r="X62" s="2942"/>
      <c r="Y62" s="2942"/>
      <c r="Z62" s="2942"/>
      <c r="AA62" s="2942"/>
      <c r="AB62" s="2942"/>
      <c r="AC62" s="2942"/>
      <c r="AD62" s="2942"/>
    </row>
    <row r="63" spans="1:30" ht="27.75" thickTop="1">
      <c r="A63" s="486"/>
      <c r="B63" s="490" t="s">
        <v>2557</v>
      </c>
      <c r="C63" s="530" t="s">
        <v>2414</v>
      </c>
      <c r="D63" s="530" t="s">
        <v>2415</v>
      </c>
      <c r="E63" s="530" t="s">
        <v>2416</v>
      </c>
      <c r="F63" s="530" t="s">
        <v>2417</v>
      </c>
      <c r="G63" s="530" t="s">
        <v>2418</v>
      </c>
      <c r="H63" s="491"/>
      <c r="I63" s="491"/>
      <c r="J63" s="491"/>
      <c r="K63" s="492"/>
      <c r="L63" s="493"/>
      <c r="M63" s="494"/>
      <c r="N63" s="2970"/>
      <c r="O63" s="2970"/>
      <c r="P63" s="2995"/>
      <c r="Q63" s="2956"/>
      <c r="R63" s="2942"/>
      <c r="S63" s="2942"/>
      <c r="T63" s="2942"/>
      <c r="U63" s="2942"/>
      <c r="V63" s="2942"/>
      <c r="W63" s="2942"/>
      <c r="X63" s="2942"/>
      <c r="Y63" s="2942"/>
      <c r="Z63" s="2942"/>
      <c r="AA63" s="2942"/>
      <c r="AB63" s="2942"/>
      <c r="AC63" s="2942"/>
      <c r="AD63" s="2942"/>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971"/>
      <c r="O64" s="2971"/>
      <c r="P64" s="2995"/>
      <c r="Q64" s="2956"/>
      <c r="R64" s="2942"/>
      <c r="S64" s="2942"/>
      <c r="T64" s="2942"/>
      <c r="U64" s="2942"/>
      <c r="V64" s="2942"/>
      <c r="W64" s="2942"/>
      <c r="X64" s="2942"/>
      <c r="Y64" s="2942"/>
      <c r="Z64" s="2942"/>
      <c r="AA64" s="2942"/>
      <c r="AB64" s="2942"/>
      <c r="AC64" s="2942"/>
      <c r="AD64" s="2942"/>
    </row>
    <row r="65" spans="1:30" ht="15.75" thickTop="1">
      <c r="A65" s="486"/>
      <c r="B65" s="498" t="s">
        <v>2506</v>
      </c>
      <c r="C65" s="611" t="s">
        <v>2492</v>
      </c>
      <c r="D65" s="611" t="s">
        <v>2493</v>
      </c>
      <c r="E65" s="611" t="s">
        <v>2494</v>
      </c>
      <c r="F65" s="611" t="s">
        <v>2495</v>
      </c>
      <c r="G65" s="611" t="s">
        <v>2496</v>
      </c>
      <c r="H65" s="491"/>
      <c r="I65" s="491"/>
      <c r="J65" s="491"/>
      <c r="K65" s="491"/>
      <c r="L65" s="491"/>
      <c r="M65" s="1285"/>
      <c r="N65" s="2971"/>
      <c r="O65" s="2971"/>
      <c r="P65" s="2995"/>
      <c r="Q65" s="2956"/>
      <c r="R65" s="2942"/>
      <c r="S65" s="2942"/>
      <c r="T65" s="2942"/>
      <c r="U65" s="2942"/>
      <c r="V65" s="2942"/>
      <c r="W65" s="2942"/>
      <c r="X65" s="2942"/>
      <c r="Y65" s="2942"/>
      <c r="Z65" s="2942"/>
      <c r="AA65" s="2942"/>
      <c r="AB65" s="2942"/>
      <c r="AC65" s="2942"/>
      <c r="AD65" s="2942"/>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971"/>
      <c r="O66" s="2971"/>
      <c r="P66" s="2995"/>
      <c r="Q66" s="2956"/>
      <c r="R66" s="2942"/>
      <c r="S66" s="2942"/>
      <c r="T66" s="2942"/>
      <c r="U66" s="2942"/>
      <c r="V66" s="2942"/>
      <c r="W66" s="2942"/>
      <c r="X66" s="2942"/>
      <c r="Y66" s="2942"/>
      <c r="Z66" s="2942"/>
      <c r="AA66" s="2942"/>
      <c r="AB66" s="2942"/>
      <c r="AC66" s="2942"/>
      <c r="AD66" s="2942"/>
    </row>
    <row r="67" spans="1:30" ht="15.75" thickTop="1">
      <c r="A67" s="486"/>
      <c r="B67" s="490" t="s">
        <v>2426</v>
      </c>
      <c r="C67" s="530" t="s">
        <v>2414</v>
      </c>
      <c r="D67" s="530" t="s">
        <v>2415</v>
      </c>
      <c r="E67" s="530" t="s">
        <v>2416</v>
      </c>
      <c r="F67" s="530" t="s">
        <v>2417</v>
      </c>
      <c r="G67" s="530" t="s">
        <v>2418</v>
      </c>
      <c r="H67" s="491"/>
      <c r="I67" s="491"/>
      <c r="J67" s="491"/>
      <c r="K67" s="492"/>
      <c r="L67" s="493"/>
      <c r="M67" s="494"/>
      <c r="N67" s="2970"/>
      <c r="O67" s="2970"/>
      <c r="P67" s="2995"/>
      <c r="Q67" s="2956"/>
      <c r="R67" s="2942"/>
      <c r="S67" s="2942"/>
      <c r="T67" s="2942"/>
      <c r="U67" s="2942"/>
      <c r="V67" s="2942"/>
      <c r="W67" s="2942"/>
      <c r="X67" s="2942"/>
      <c r="Y67" s="2942"/>
      <c r="Z67" s="2942"/>
      <c r="AA67" s="2942"/>
      <c r="AB67" s="2942"/>
      <c r="AC67" s="2942"/>
      <c r="AD67" s="2942"/>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971"/>
      <c r="O68" s="2971"/>
      <c r="P68" s="2995"/>
      <c r="Q68" s="2956"/>
      <c r="R68" s="2942"/>
      <c r="S68" s="2942"/>
      <c r="T68" s="2942"/>
      <c r="U68" s="2942"/>
      <c r="V68" s="2942"/>
      <c r="W68" s="2942"/>
      <c r="X68" s="2942"/>
      <c r="Y68" s="2942"/>
      <c r="Z68" s="2942"/>
      <c r="AA68" s="2942"/>
      <c r="AB68" s="2942"/>
      <c r="AC68" s="2942"/>
      <c r="AD68" s="2942"/>
    </row>
    <row r="69" spans="1:30" ht="15.75" thickTop="1">
      <c r="A69" s="486"/>
      <c r="B69" s="490" t="s">
        <v>2546</v>
      </c>
      <c r="C69" s="506"/>
      <c r="D69" s="506"/>
      <c r="E69" s="506"/>
      <c r="F69" s="506"/>
      <c r="G69" s="506"/>
      <c r="H69" s="535"/>
      <c r="I69" s="535"/>
      <c r="J69" s="535"/>
      <c r="K69" s="536"/>
      <c r="L69" s="537"/>
      <c r="M69" s="538"/>
      <c r="N69" s="2970"/>
      <c r="O69" s="2970"/>
      <c r="P69" s="2995"/>
      <c r="Q69" s="2956"/>
      <c r="R69" s="2942"/>
      <c r="S69" s="2942"/>
      <c r="T69" s="2942"/>
      <c r="U69" s="2942"/>
      <c r="V69" s="2942"/>
      <c r="W69" s="2942"/>
      <c r="X69" s="2942"/>
      <c r="Y69" s="2942"/>
      <c r="Z69" s="2942"/>
      <c r="AA69" s="2942"/>
      <c r="AB69" s="2942"/>
      <c r="AC69" s="2942"/>
      <c r="AD69" s="2942"/>
    </row>
    <row r="70" spans="1:30" ht="15.75" thickBot="1">
      <c r="A70" s="486"/>
      <c r="B70" s="495"/>
      <c r="C70" s="496">
        <v>100</v>
      </c>
      <c r="D70" s="496">
        <f>C70-$K22</f>
        <v>100</v>
      </c>
      <c r="E70" s="496"/>
      <c r="F70" s="496"/>
      <c r="G70" s="496"/>
      <c r="H70" s="496"/>
      <c r="I70" s="496"/>
      <c r="J70" s="496"/>
      <c r="K70" s="496"/>
      <c r="L70" s="496"/>
      <c r="M70" s="497"/>
      <c r="N70" s="2971"/>
      <c r="O70" s="2971"/>
      <c r="P70" s="2995"/>
      <c r="Q70" s="2956"/>
      <c r="R70" s="2942"/>
      <c r="S70" s="2942"/>
      <c r="T70" s="2942"/>
      <c r="U70" s="2942"/>
      <c r="V70" s="2942"/>
      <c r="W70" s="2942"/>
      <c r="X70" s="2942"/>
      <c r="Y70" s="2942"/>
      <c r="Z70" s="2942"/>
      <c r="AA70" s="2942"/>
      <c r="AB70" s="2942"/>
      <c r="AC70" s="2942"/>
      <c r="AD70" s="2942"/>
    </row>
    <row r="71" spans="1:30" s="108" customFormat="1" ht="15.75" thickTop="1">
      <c r="A71" s="531"/>
      <c r="B71" s="490">
        <f>B23</f>
        <v>111</v>
      </c>
      <c r="C71" s="501"/>
      <c r="D71" s="501"/>
      <c r="E71" s="501"/>
      <c r="F71" s="501"/>
      <c r="G71" s="506"/>
      <c r="H71" s="506"/>
      <c r="I71" s="506"/>
      <c r="J71" s="506"/>
      <c r="K71" s="506"/>
      <c r="L71" s="532"/>
      <c r="M71" s="533"/>
      <c r="N71" s="2969"/>
      <c r="O71" s="2969"/>
      <c r="P71" s="2995"/>
      <c r="Q71" s="2956"/>
      <c r="R71" s="2877"/>
      <c r="S71" s="2877"/>
      <c r="T71" s="2877"/>
      <c r="U71" s="2877"/>
      <c r="V71" s="2877"/>
      <c r="W71" s="2877"/>
      <c r="X71" s="2877"/>
      <c r="Y71" s="2877"/>
      <c r="Z71" s="2877"/>
      <c r="AA71" s="2877"/>
      <c r="AB71" s="2877"/>
      <c r="AC71" s="2877"/>
      <c r="AD71" s="2877"/>
    </row>
    <row r="72" spans="1:30" s="108" customFormat="1" ht="15.75" thickBot="1">
      <c r="A72" s="531"/>
      <c r="B72" s="495"/>
      <c r="C72" s="512"/>
      <c r="D72" s="488"/>
      <c r="E72" s="488"/>
      <c r="F72" s="488"/>
      <c r="G72" s="488"/>
      <c r="H72" s="488"/>
      <c r="I72" s="488"/>
      <c r="J72" s="488"/>
      <c r="K72" s="488"/>
      <c r="L72" s="488"/>
      <c r="M72" s="489"/>
      <c r="N72" s="2971"/>
      <c r="O72" s="2971"/>
      <c r="P72" s="2995"/>
      <c r="Q72" s="2956"/>
      <c r="R72" s="2877"/>
      <c r="S72" s="2877"/>
      <c r="T72" s="2877"/>
      <c r="U72" s="2877"/>
      <c r="V72" s="2877"/>
      <c r="W72" s="2877"/>
      <c r="X72" s="2877"/>
      <c r="Y72" s="2877"/>
      <c r="Z72" s="2877"/>
      <c r="AA72" s="2877"/>
      <c r="AB72" s="2877"/>
      <c r="AC72" s="2877"/>
      <c r="AD72" s="2877"/>
    </row>
    <row r="73" spans="1:30" s="108" customFormat="1" ht="15.75" thickTop="1">
      <c r="A73" s="531"/>
      <c r="B73" s="490">
        <f>B24</f>
        <v>111</v>
      </c>
      <c r="C73" s="501"/>
      <c r="D73" s="501"/>
      <c r="E73" s="501"/>
      <c r="F73" s="501"/>
      <c r="G73" s="506"/>
      <c r="H73" s="506"/>
      <c r="I73" s="506"/>
      <c r="J73" s="506"/>
      <c r="K73" s="506"/>
      <c r="L73" s="506"/>
      <c r="M73" s="533"/>
      <c r="N73" s="2969"/>
      <c r="O73" s="2969"/>
      <c r="P73" s="2995"/>
      <c r="Q73" s="2956"/>
      <c r="R73" s="2877"/>
      <c r="S73" s="2877"/>
      <c r="T73" s="2877"/>
      <c r="U73" s="2877"/>
      <c r="V73" s="2877"/>
      <c r="W73" s="2877"/>
      <c r="X73" s="2877"/>
      <c r="Y73" s="2877"/>
      <c r="Z73" s="2877"/>
      <c r="AA73" s="2877"/>
      <c r="AB73" s="2877"/>
      <c r="AC73" s="2877"/>
      <c r="AD73" s="2877"/>
    </row>
    <row r="74" spans="1:30" s="108" customFormat="1" ht="15.75" thickBot="1">
      <c r="A74" s="531"/>
      <c r="B74" s="495"/>
      <c r="C74" s="512"/>
      <c r="D74" s="488"/>
      <c r="E74" s="488"/>
      <c r="F74" s="488"/>
      <c r="G74" s="488"/>
      <c r="H74" s="488"/>
      <c r="I74" s="488"/>
      <c r="J74" s="488"/>
      <c r="K74" s="488"/>
      <c r="L74" s="488"/>
      <c r="M74" s="489"/>
      <c r="N74" s="2971"/>
      <c r="O74" s="2971"/>
      <c r="P74" s="2995"/>
      <c r="Q74" s="2956"/>
      <c r="R74" s="2877"/>
      <c r="S74" s="2877"/>
      <c r="T74" s="2877"/>
      <c r="U74" s="2877"/>
      <c r="V74" s="2877"/>
      <c r="W74" s="2877"/>
      <c r="X74" s="2877"/>
      <c r="Y74" s="2877"/>
      <c r="Z74" s="2877"/>
      <c r="AA74" s="2877"/>
      <c r="AB74" s="2877"/>
      <c r="AC74" s="2877"/>
      <c r="AD74" s="2877"/>
    </row>
    <row r="75" spans="1:30" s="425" customFormat="1" ht="15.75" thickTop="1">
      <c r="A75" s="505"/>
      <c r="B75" s="490">
        <f>B25</f>
        <v>111</v>
      </c>
      <c r="C75" s="501"/>
      <c r="D75" s="501"/>
      <c r="E75" s="501"/>
      <c r="F75" s="501"/>
      <c r="G75" s="506"/>
      <c r="H75" s="507"/>
      <c r="I75" s="507"/>
      <c r="J75" s="507"/>
      <c r="K75" s="507"/>
      <c r="L75" s="508"/>
      <c r="M75" s="509"/>
      <c r="N75" s="2972"/>
      <c r="O75" s="2972"/>
      <c r="P75" s="2996"/>
      <c r="Q75" s="2963"/>
      <c r="R75" s="2964"/>
      <c r="S75" s="2964"/>
      <c r="T75" s="2964"/>
      <c r="U75" s="2964"/>
      <c r="V75" s="2964"/>
      <c r="W75" s="2964"/>
      <c r="X75" s="2964"/>
      <c r="Y75" s="2964"/>
      <c r="Z75" s="2964"/>
      <c r="AA75" s="2964"/>
      <c r="AB75" s="2964"/>
      <c r="AC75" s="2964"/>
      <c r="AD75" s="2964"/>
    </row>
    <row r="76" spans="1:30" s="425" customFormat="1" ht="15.75" thickBot="1">
      <c r="A76" s="505"/>
      <c r="B76" s="495"/>
      <c r="C76" s="512"/>
      <c r="D76" s="512"/>
      <c r="E76" s="512"/>
      <c r="F76" s="512"/>
      <c r="G76" s="488"/>
      <c r="H76" s="488"/>
      <c r="I76" s="488"/>
      <c r="J76" s="488"/>
      <c r="K76" s="488"/>
      <c r="L76" s="488"/>
      <c r="M76" s="489"/>
      <c r="N76" s="2972"/>
      <c r="O76" s="2972"/>
      <c r="P76" s="2996"/>
      <c r="Q76" s="2963"/>
      <c r="R76" s="2964"/>
      <c r="S76" s="2964"/>
      <c r="T76" s="2964"/>
      <c r="U76" s="2964"/>
      <c r="V76" s="2964"/>
      <c r="W76" s="2964"/>
      <c r="X76" s="2964"/>
      <c r="Y76" s="2964"/>
      <c r="Z76" s="2964"/>
      <c r="AA76" s="2964"/>
      <c r="AB76" s="2964"/>
      <c r="AC76" s="2964"/>
      <c r="AD76" s="2964"/>
    </row>
    <row r="77" spans="1:30" ht="15" thickTop="1">
      <c r="A77" s="479" t="s">
        <v>2380</v>
      </c>
      <c r="B77" s="480" t="s">
        <v>2433</v>
      </c>
      <c r="C77" s="506"/>
      <c r="D77" s="506"/>
      <c r="E77" s="482"/>
      <c r="F77" s="482"/>
      <c r="G77" s="482"/>
      <c r="H77" s="482"/>
      <c r="I77" s="482"/>
      <c r="J77" s="482"/>
      <c r="K77" s="483"/>
      <c r="L77" s="484"/>
      <c r="M77" s="485"/>
      <c r="N77" s="2970"/>
      <c r="O77" s="2970"/>
      <c r="P77" s="2995"/>
      <c r="Q77" s="2956"/>
      <c r="R77" s="2942"/>
      <c r="S77" s="2942"/>
      <c r="T77" s="2942"/>
      <c r="U77" s="2942"/>
      <c r="V77" s="2942"/>
      <c r="W77" s="2942"/>
      <c r="X77" s="2942"/>
      <c r="Y77" s="2942"/>
      <c r="Z77" s="2942"/>
      <c r="AA77" s="2942"/>
      <c r="AB77" s="2942"/>
      <c r="AC77" s="2942"/>
      <c r="AD77" s="2942"/>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86"/>
      <c r="B79" s="490" t="s">
        <v>2549</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969"/>
      <c r="O79" s="2969"/>
      <c r="P79" s="2995"/>
      <c r="Q79" s="2956"/>
      <c r="R79" s="2942"/>
      <c r="S79" s="2942"/>
      <c r="T79" s="2942"/>
      <c r="U79" s="2942"/>
      <c r="V79" s="2942"/>
      <c r="W79" s="2942"/>
      <c r="X79" s="2942"/>
      <c r="Y79" s="2942"/>
      <c r="Z79" s="2942"/>
      <c r="AA79" s="2942"/>
      <c r="AB79" s="2942"/>
      <c r="AC79" s="2942"/>
      <c r="AD79" s="2942"/>
    </row>
    <row r="80" spans="1:30" ht="15">
      <c r="A80" s="486"/>
      <c r="B80" s="498"/>
      <c r="C80" s="555">
        <v>0.5</v>
      </c>
      <c r="D80" s="555">
        <v>0.6</v>
      </c>
      <c r="E80" s="555">
        <v>0.7</v>
      </c>
      <c r="F80" s="555">
        <v>0.8</v>
      </c>
      <c r="G80" s="555">
        <v>0.9</v>
      </c>
      <c r="H80" s="555">
        <v>1.0001</v>
      </c>
      <c r="I80" s="611"/>
      <c r="J80" s="611"/>
      <c r="K80" s="619"/>
      <c r="L80" s="620"/>
      <c r="M80" s="621"/>
      <c r="N80" s="2969"/>
      <c r="O80" s="2969"/>
      <c r="P80" s="2995"/>
      <c r="Q80" s="2956"/>
      <c r="R80" s="2942"/>
      <c r="S80" s="2942"/>
      <c r="T80" s="2942"/>
      <c r="U80" s="2942"/>
      <c r="V80" s="2942"/>
      <c r="W80" s="2942"/>
      <c r="X80" s="2942"/>
      <c r="Y80" s="2942"/>
      <c r="Z80" s="2942"/>
      <c r="AA80" s="2942"/>
      <c r="AB80" s="2942"/>
      <c r="AC80" s="2942"/>
      <c r="AD80" s="2942"/>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1"/>
      <c r="B82" s="498" t="s">
        <v>2550</v>
      </c>
      <c r="C82" s="506"/>
      <c r="D82" s="506"/>
      <c r="E82" s="535"/>
      <c r="F82" s="535"/>
      <c r="G82" s="535"/>
      <c r="H82" s="535"/>
      <c r="I82" s="535"/>
      <c r="J82" s="535"/>
      <c r="K82" s="536"/>
      <c r="L82" s="537"/>
      <c r="M82" s="538"/>
      <c r="N82" s="2970"/>
      <c r="O82" s="2970"/>
      <c r="P82" s="2995"/>
      <c r="Q82" s="2956"/>
      <c r="R82" s="2942"/>
      <c r="S82" s="2942"/>
      <c r="T82" s="2942"/>
      <c r="U82" s="2942"/>
      <c r="V82" s="2942"/>
      <c r="W82" s="2942"/>
      <c r="X82" s="2942"/>
      <c r="Y82" s="2942"/>
      <c r="Z82" s="2942"/>
      <c r="AA82" s="2942"/>
      <c r="AB82" s="2942"/>
      <c r="AC82" s="2942"/>
      <c r="AD82" s="2942"/>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1"/>
      <c r="B84" s="490" t="s">
        <v>2558</v>
      </c>
      <c r="C84" s="506"/>
      <c r="D84" s="506"/>
      <c r="E84" s="506"/>
      <c r="F84" s="506"/>
      <c r="G84" s="506"/>
      <c r="H84" s="506"/>
      <c r="I84" s="535"/>
      <c r="J84" s="535"/>
      <c r="K84" s="536"/>
      <c r="L84" s="537"/>
      <c r="M84" s="538"/>
      <c r="N84" s="2970"/>
      <c r="O84" s="2970"/>
      <c r="P84" s="2995"/>
      <c r="Q84" s="2956"/>
      <c r="R84" s="2942"/>
      <c r="S84" s="2942"/>
      <c r="T84" s="2942"/>
      <c r="U84" s="2942"/>
      <c r="V84" s="2942"/>
      <c r="W84" s="2942"/>
      <c r="X84" s="2942"/>
      <c r="Y84" s="2942"/>
      <c r="Z84" s="2942"/>
      <c r="AA84" s="2942"/>
      <c r="AB84" s="2942"/>
      <c r="AC84" s="2942"/>
      <c r="AD84" s="2942"/>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1"/>
      <c r="B86" s="498" t="s">
        <v>2559</v>
      </c>
      <c r="C86" s="530" t="str">
        <f t="shared" ref="C86:L86" si="21">C87&amp;"(含)"&amp;"-"&amp;D87</f>
        <v>0(含)-20</v>
      </c>
      <c r="D86" s="530" t="str">
        <f t="shared" si="21"/>
        <v>20(含)-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1"/>
      <c r="B87" s="498"/>
      <c r="C87" s="547">
        <v>0</v>
      </c>
      <c r="D87" s="547">
        <v>20</v>
      </c>
      <c r="E87" s="547"/>
      <c r="F87" s="547"/>
      <c r="G87" s="547"/>
      <c r="H87" s="547"/>
      <c r="I87" s="547"/>
      <c r="J87" s="548"/>
      <c r="K87" s="548"/>
      <c r="L87" s="549"/>
      <c r="M87" s="550"/>
      <c r="N87" s="2970"/>
      <c r="O87" s="2970"/>
      <c r="P87" s="2995"/>
      <c r="Q87" s="2956"/>
      <c r="R87" s="2942"/>
      <c r="S87" s="2942"/>
      <c r="T87" s="2942"/>
      <c r="U87" s="2942"/>
      <c r="V87" s="2942"/>
      <c r="W87" s="2942"/>
      <c r="X87" s="2942"/>
      <c r="Y87" s="2942"/>
      <c r="Z87" s="2942"/>
      <c r="AA87" s="2942"/>
      <c r="AB87" s="2942"/>
      <c r="AC87" s="2942"/>
      <c r="AD87" s="2942"/>
    </row>
    <row r="88" spans="1:30" ht="15.75" thickBot="1">
      <c r="A88" s="486"/>
      <c r="B88" s="495"/>
      <c r="C88" s="512"/>
      <c r="D88" s="488"/>
      <c r="E88" s="488"/>
      <c r="F88" s="488"/>
      <c r="G88" s="488"/>
      <c r="H88" s="488"/>
      <c r="I88" s="488"/>
      <c r="J88" s="488"/>
      <c r="K88" s="488"/>
      <c r="L88" s="488"/>
      <c r="M88" s="488"/>
      <c r="N88" s="2971"/>
      <c r="O88" s="2971"/>
      <c r="P88" s="2995"/>
      <c r="Q88" s="2956"/>
      <c r="R88" s="2942"/>
      <c r="S88" s="2942"/>
      <c r="T88" s="2942"/>
      <c r="U88" s="2942"/>
      <c r="V88" s="2942"/>
      <c r="W88" s="2942"/>
      <c r="X88" s="2942"/>
      <c r="Y88" s="2942"/>
      <c r="Z88" s="2942"/>
      <c r="AA88" s="2942"/>
      <c r="AB88" s="2942"/>
      <c r="AC88" s="2942"/>
      <c r="AD88" s="2942"/>
    </row>
    <row r="89" spans="1:30" s="425" customFormat="1" ht="15" thickTop="1">
      <c r="A89" s="545"/>
      <c r="B89" s="490" t="s">
        <v>2560</v>
      </c>
      <c r="C89" s="506"/>
      <c r="D89" s="506"/>
      <c r="E89" s="506"/>
      <c r="F89" s="506"/>
      <c r="G89" s="506"/>
      <c r="H89" s="506"/>
      <c r="I89" s="506"/>
      <c r="J89" s="506"/>
      <c r="K89" s="506"/>
      <c r="L89" s="506"/>
      <c r="M89" s="533"/>
      <c r="N89" s="2972"/>
      <c r="O89" s="2972"/>
      <c r="P89" s="2996"/>
      <c r="Q89" s="2963"/>
      <c r="R89" s="2964"/>
      <c r="S89" s="2964"/>
      <c r="T89" s="2964"/>
      <c r="U89" s="2964"/>
      <c r="V89" s="2964"/>
      <c r="W89" s="2964"/>
      <c r="X89" s="2964"/>
      <c r="Y89" s="2964"/>
      <c r="Z89" s="2964"/>
      <c r="AA89" s="2964"/>
      <c r="AB89" s="2964"/>
      <c r="AC89" s="2964"/>
      <c r="AD89" s="2964"/>
    </row>
    <row r="90" spans="1:30" s="425" customFormat="1" ht="15.75" thickBot="1">
      <c r="A90" s="505"/>
      <c r="B90" s="495"/>
      <c r="C90" s="512"/>
      <c r="D90" s="488"/>
      <c r="E90" s="488"/>
      <c r="F90" s="488"/>
      <c r="G90" s="488"/>
      <c r="H90" s="488"/>
      <c r="I90" s="488"/>
      <c r="J90" s="488"/>
      <c r="K90" s="488"/>
      <c r="L90" s="488"/>
      <c r="M90" s="489"/>
      <c r="N90" s="2972"/>
      <c r="O90" s="2972"/>
      <c r="P90" s="2996"/>
      <c r="Q90" s="2963"/>
      <c r="R90" s="2964"/>
      <c r="S90" s="2964"/>
      <c r="T90" s="2964"/>
      <c r="U90" s="2964"/>
      <c r="V90" s="2964"/>
      <c r="W90" s="2964"/>
      <c r="X90" s="2964"/>
      <c r="Y90" s="2964"/>
      <c r="Z90" s="2964"/>
      <c r="AA90" s="2964"/>
      <c r="AB90" s="2964"/>
      <c r="AC90" s="2964"/>
      <c r="AD90" s="2964"/>
    </row>
    <row r="91" spans="1:30" ht="15" thickTop="1">
      <c r="A91" s="551"/>
      <c r="B91" s="490">
        <f>B32</f>
        <v>111</v>
      </c>
      <c r="C91" s="501"/>
      <c r="D91" s="501"/>
      <c r="E91" s="501"/>
      <c r="F91" s="501"/>
      <c r="G91" s="506"/>
      <c r="H91" s="507"/>
      <c r="I91" s="507"/>
      <c r="J91" s="507"/>
      <c r="K91" s="507"/>
      <c r="L91" s="508"/>
      <c r="M91" s="509"/>
      <c r="N91" s="2970"/>
      <c r="O91" s="2970"/>
      <c r="P91" s="2995"/>
      <c r="Q91" s="2956"/>
      <c r="R91" s="2942"/>
      <c r="S91" s="2942"/>
      <c r="T91" s="2942"/>
      <c r="U91" s="2942"/>
      <c r="V91" s="2942"/>
      <c r="W91" s="2942"/>
      <c r="X91" s="2942"/>
      <c r="Y91" s="2942"/>
      <c r="Z91" s="2942"/>
      <c r="AA91" s="2942"/>
      <c r="AB91" s="2942"/>
      <c r="AC91" s="2942"/>
      <c r="AD91" s="2942"/>
    </row>
    <row r="92" spans="1:30" ht="15.75" thickBot="1">
      <c r="A92" s="486"/>
      <c r="B92" s="495"/>
      <c r="C92" s="512"/>
      <c r="D92" s="488"/>
      <c r="E92" s="488"/>
      <c r="F92" s="488"/>
      <c r="G92" s="512"/>
      <c r="H92" s="514"/>
      <c r="I92" s="514"/>
      <c r="J92" s="514"/>
      <c r="K92" s="514"/>
      <c r="L92" s="514"/>
      <c r="M92" s="515"/>
      <c r="N92" s="2971"/>
      <c r="O92" s="2971"/>
      <c r="P92" s="2995"/>
      <c r="Q92" s="2956"/>
      <c r="R92" s="2942"/>
      <c r="S92" s="2942"/>
      <c r="T92" s="2942"/>
      <c r="U92" s="2942"/>
      <c r="V92" s="2942"/>
      <c r="W92" s="2942"/>
      <c r="X92" s="2942"/>
      <c r="Y92" s="2942"/>
      <c r="Z92" s="2942"/>
      <c r="AA92" s="2942"/>
      <c r="AB92" s="2942"/>
      <c r="AC92" s="2942"/>
      <c r="AD92" s="2942"/>
    </row>
    <row r="93" spans="1:30" ht="15" thickTop="1">
      <c r="A93" s="551"/>
      <c r="B93" s="490">
        <f>B33</f>
        <v>111</v>
      </c>
      <c r="C93" s="501"/>
      <c r="D93" s="501"/>
      <c r="E93" s="501"/>
      <c r="F93" s="501"/>
      <c r="G93" s="506"/>
      <c r="H93" s="507"/>
      <c r="I93" s="507"/>
      <c r="J93" s="507"/>
      <c r="K93" s="507"/>
      <c r="L93" s="508"/>
      <c r="M93" s="509"/>
      <c r="N93" s="2970"/>
      <c r="O93" s="2970"/>
      <c r="P93" s="2995"/>
      <c r="Q93" s="2956"/>
      <c r="R93" s="2942"/>
      <c r="S93" s="2942"/>
      <c r="T93" s="2942"/>
      <c r="U93" s="2942"/>
      <c r="V93" s="2942"/>
      <c r="W93" s="2942"/>
      <c r="X93" s="2942"/>
      <c r="Y93" s="2942"/>
      <c r="Z93" s="2942"/>
      <c r="AA93" s="2942"/>
      <c r="AB93" s="2942"/>
      <c r="AC93" s="2942"/>
      <c r="AD93" s="2942"/>
    </row>
    <row r="94" spans="1:30" ht="15.75" thickBot="1">
      <c r="A94" s="486"/>
      <c r="B94" s="495"/>
      <c r="C94" s="512"/>
      <c r="D94" s="488"/>
      <c r="E94" s="488"/>
      <c r="F94" s="488"/>
      <c r="G94" s="512"/>
      <c r="H94" s="514"/>
      <c r="I94" s="514"/>
      <c r="J94" s="514"/>
      <c r="K94" s="514"/>
      <c r="L94" s="514"/>
      <c r="M94" s="515"/>
      <c r="N94" s="2971"/>
      <c r="O94" s="2971"/>
      <c r="P94" s="2995"/>
      <c r="Q94" s="2956"/>
      <c r="R94" s="2942"/>
      <c r="S94" s="2942"/>
      <c r="T94" s="2942"/>
      <c r="U94" s="2942"/>
      <c r="V94" s="2942"/>
      <c r="W94" s="2942"/>
      <c r="X94" s="2942"/>
      <c r="Y94" s="2942"/>
      <c r="Z94" s="2942"/>
      <c r="AA94" s="2942"/>
      <c r="AB94" s="2942"/>
      <c r="AC94" s="2942"/>
      <c r="AD94" s="2942"/>
    </row>
    <row r="95" spans="1:30" ht="15" thickTop="1">
      <c r="A95" s="551"/>
      <c r="B95" s="587">
        <f>B34</f>
        <v>111</v>
      </c>
      <c r="C95" s="501"/>
      <c r="D95" s="501"/>
      <c r="E95" s="501"/>
      <c r="F95" s="501"/>
      <c r="G95" s="506"/>
      <c r="H95" s="507"/>
      <c r="I95" s="507"/>
      <c r="J95" s="507"/>
      <c r="K95" s="507"/>
      <c r="L95" s="508"/>
      <c r="M95" s="509"/>
      <c r="N95" s="2971"/>
      <c r="O95" s="2971"/>
      <c r="P95" s="2998"/>
      <c r="Q95" s="2985"/>
      <c r="R95" s="2942"/>
      <c r="S95" s="2942"/>
      <c r="T95" s="2942"/>
      <c r="U95" s="2942"/>
      <c r="V95" s="2942"/>
      <c r="W95" s="2942"/>
      <c r="X95" s="2942"/>
      <c r="Y95" s="2942"/>
      <c r="Z95" s="2942"/>
      <c r="AA95" s="2942"/>
      <c r="AB95" s="2942"/>
      <c r="AC95" s="2942"/>
      <c r="AD95" s="2942"/>
    </row>
    <row r="96" spans="1:30" ht="15.75" thickBot="1">
      <c r="A96" s="486"/>
      <c r="B96" s="495"/>
      <c r="C96" s="512"/>
      <c r="D96" s="512"/>
      <c r="E96" s="512"/>
      <c r="F96" s="512"/>
      <c r="G96" s="512"/>
      <c r="H96" s="514"/>
      <c r="I96" s="514"/>
      <c r="J96" s="514"/>
      <c r="K96" s="514"/>
      <c r="L96" s="514"/>
      <c r="M96" s="515"/>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1"/>
      <c r="B98" s="1061"/>
      <c r="C98" s="1061"/>
      <c r="D98" s="1061"/>
      <c r="E98" s="1061"/>
      <c r="F98" s="1061"/>
      <c r="G98" s="1061"/>
      <c r="H98" s="1061"/>
      <c r="I98" s="1061"/>
      <c r="J98" s="1061"/>
      <c r="K98" s="1062"/>
      <c r="L98" s="1063"/>
      <c r="M98" s="1061"/>
      <c r="N98" s="2942"/>
      <c r="O98" s="2942"/>
      <c r="P98" s="2942"/>
      <c r="Q98" s="2942"/>
      <c r="R98" s="2942"/>
      <c r="S98" s="2942"/>
      <c r="T98" s="2942"/>
      <c r="U98" s="2942"/>
      <c r="V98" s="2942"/>
      <c r="W98" s="2942"/>
      <c r="X98" s="2942"/>
      <c r="Y98" s="2942"/>
      <c r="Z98" s="2942"/>
      <c r="AA98" s="2942"/>
      <c r="AB98" s="2942"/>
      <c r="AC98" s="2942"/>
      <c r="AD98" s="2942"/>
    </row>
    <row r="99" spans="1:30">
      <c r="A99" s="1061"/>
      <c r="B99" s="1061"/>
      <c r="C99" s="1061"/>
      <c r="D99" s="1061"/>
      <c r="E99" s="1061"/>
      <c r="F99" s="1061"/>
      <c r="G99" s="1061"/>
      <c r="H99" s="1061"/>
      <c r="I99" s="1061"/>
      <c r="J99" s="1061"/>
      <c r="K99" s="1062"/>
      <c r="L99" s="1063"/>
      <c r="M99" s="1061"/>
      <c r="N99" s="2942"/>
      <c r="O99" s="2942"/>
      <c r="P99" s="2942"/>
      <c r="Q99" s="2942"/>
      <c r="R99" s="2942"/>
      <c r="S99" s="2942"/>
      <c r="T99" s="2942"/>
      <c r="U99" s="2942"/>
      <c r="V99" s="2942"/>
      <c r="W99" s="2942"/>
      <c r="X99" s="2942"/>
      <c r="Y99" s="2942"/>
      <c r="Z99" s="2942"/>
      <c r="AA99" s="2942"/>
      <c r="AB99" s="2942"/>
      <c r="AC99" s="2942"/>
      <c r="AD99" s="2942"/>
    </row>
    <row r="100" spans="1:30">
      <c r="A100" s="1061"/>
      <c r="B100" s="1061"/>
      <c r="C100" s="1061"/>
      <c r="D100" s="1061"/>
      <c r="E100" s="1061"/>
      <c r="F100" s="1061"/>
      <c r="G100" s="1061"/>
      <c r="H100" s="1061"/>
      <c r="I100" s="1061"/>
      <c r="J100" s="1061"/>
      <c r="K100" s="1062"/>
      <c r="L100" s="1063"/>
      <c r="M100" s="1061"/>
      <c r="N100" s="2942"/>
      <c r="O100" s="2942"/>
      <c r="P100" s="2942"/>
      <c r="Q100" s="2942"/>
      <c r="R100" s="2942"/>
      <c r="S100" s="2942"/>
      <c r="T100" s="2942"/>
      <c r="U100" s="2942"/>
      <c r="V100" s="2942"/>
      <c r="W100" s="2942"/>
      <c r="X100" s="2942"/>
      <c r="Y100" s="2942"/>
      <c r="Z100" s="2942"/>
      <c r="AA100" s="2942"/>
      <c r="AB100" s="2942"/>
      <c r="AC100" s="2942"/>
      <c r="AD100" s="2942"/>
    </row>
    <row r="101" spans="1:30">
      <c r="A101" s="1061"/>
      <c r="B101" s="1061"/>
      <c r="C101" s="1061"/>
      <c r="D101" s="1061"/>
      <c r="E101" s="1061"/>
      <c r="F101" s="1061"/>
      <c r="G101" s="1061"/>
      <c r="H101" s="1061"/>
      <c r="I101" s="1061"/>
      <c r="J101" s="1061"/>
      <c r="K101" s="1062"/>
      <c r="L101" s="1063"/>
      <c r="M101" s="1061"/>
      <c r="N101" s="2942"/>
      <c r="O101" s="2942"/>
      <c r="P101" s="2942"/>
      <c r="Q101" s="2942"/>
      <c r="R101" s="2942"/>
      <c r="S101" s="2942"/>
      <c r="T101" s="2942"/>
      <c r="U101" s="2942"/>
      <c r="V101" s="2942"/>
      <c r="W101" s="2942"/>
      <c r="X101" s="2942"/>
      <c r="Y101" s="2942"/>
      <c r="Z101" s="2942"/>
      <c r="AA101" s="2942"/>
      <c r="AB101" s="2942"/>
      <c r="AC101" s="2942"/>
      <c r="AD101" s="2942"/>
    </row>
    <row r="102" spans="1:30">
      <c r="A102" s="1061"/>
      <c r="B102" s="1061"/>
      <c r="C102" s="1061"/>
      <c r="D102" s="1061"/>
      <c r="E102" s="1061"/>
      <c r="F102" s="1061"/>
      <c r="G102" s="1061"/>
      <c r="H102" s="1061"/>
      <c r="I102" s="1061"/>
      <c r="J102" s="1061"/>
      <c r="K102" s="1062"/>
      <c r="L102" s="1063"/>
      <c r="M102" s="1061"/>
      <c r="N102" s="2942"/>
      <c r="O102" s="2942"/>
      <c r="P102" s="2942"/>
      <c r="Q102" s="2942"/>
      <c r="R102" s="2942"/>
      <c r="S102" s="2942"/>
      <c r="T102" s="2942"/>
      <c r="U102" s="2942"/>
      <c r="V102" s="2942"/>
      <c r="W102" s="2942"/>
      <c r="X102" s="2942"/>
      <c r="Y102" s="2942"/>
      <c r="Z102" s="2942"/>
      <c r="AA102" s="2942"/>
      <c r="AB102" s="2942"/>
      <c r="AC102" s="2942"/>
      <c r="AD102" s="2942"/>
    </row>
    <row r="103" spans="1:30">
      <c r="A103" s="1061"/>
      <c r="B103" s="1061"/>
      <c r="C103" s="1061"/>
      <c r="D103" s="1061"/>
      <c r="E103" s="1061"/>
      <c r="F103" s="1061"/>
      <c r="G103" s="1061"/>
      <c r="H103" s="1061"/>
      <c r="I103" s="1061"/>
      <c r="J103" s="1061"/>
      <c r="K103" s="1062"/>
      <c r="L103" s="1063"/>
      <c r="M103" s="1061"/>
      <c r="N103" s="1061"/>
      <c r="O103" s="1061"/>
      <c r="P103" s="2942"/>
      <c r="Q103" s="2942"/>
      <c r="R103" s="2942"/>
      <c r="S103" s="2942"/>
      <c r="T103" s="2942"/>
      <c r="U103" s="2942"/>
      <c r="V103" s="2942"/>
      <c r="W103" s="2942"/>
      <c r="X103" s="2942"/>
      <c r="Y103" s="2942"/>
      <c r="Z103" s="2942"/>
      <c r="AA103" s="2942"/>
      <c r="AB103" s="2942"/>
      <c r="AC103" s="2942"/>
      <c r="AD103" s="2942"/>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2" priority="18" stopIfTrue="1" operator="containsText" text="超过">
      <formula>NOT(ISERROR(SEARCH("超过",F40)))</formula>
    </cfRule>
  </conditionalFormatting>
  <conditionalFormatting sqref="J42">
    <cfRule type="containsText" dxfId="101" priority="17" stopIfTrue="1" operator="containsText" text="超过">
      <formula>NOT(ISERROR(SEARCH("超过",J42)))</formula>
    </cfRule>
  </conditionalFormatting>
  <conditionalFormatting sqref="H42">
    <cfRule type="containsText" dxfId="100" priority="16" stopIfTrue="1" operator="containsText" text="超过">
      <formula>NOT(ISERROR(SEARCH("超过",H42)))</formula>
    </cfRule>
  </conditionalFormatting>
  <conditionalFormatting sqref="F42">
    <cfRule type="containsText" dxfId="99" priority="15" stopIfTrue="1" operator="containsText" text="超过">
      <formula>NOT(ISERROR(SEARCH("超过",F42)))</formula>
    </cfRule>
  </conditionalFormatting>
  <conditionalFormatting sqref="F41 H41 J41">
    <cfRule type="containsText" dxfId="98" priority="14" stopIfTrue="1" operator="containsText" text="超过">
      <formula>NOT(ISERROR(SEARCH("超过",F41)))</formula>
    </cfRule>
  </conditionalFormatting>
  <conditionalFormatting sqref="E40">
    <cfRule type="expression" dxfId="97" priority="13" stopIfTrue="1">
      <formula>$F$40="超过30%"</formula>
    </cfRule>
  </conditionalFormatting>
  <conditionalFormatting sqref="G42">
    <cfRule type="expression" dxfId="96" priority="12" stopIfTrue="1">
      <formula>$H$54+$H$42="超过30%"</formula>
    </cfRule>
  </conditionalFormatting>
  <conditionalFormatting sqref="E41">
    <cfRule type="expression" dxfId="95" priority="11" stopIfTrue="1">
      <formula>$F$41="超过20%"</formula>
    </cfRule>
  </conditionalFormatting>
  <conditionalFormatting sqref="E42">
    <cfRule type="expression" dxfId="94" priority="10" stopIfTrue="1">
      <formula>$F$42="超过30%"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I40">
    <cfRule type="expression" dxfId="91" priority="7" stopIfTrue="1">
      <formula>$J$40="超过30%"</formula>
    </cfRule>
  </conditionalFormatting>
  <conditionalFormatting sqref="I41">
    <cfRule type="expression" dxfId="90" priority="6" stopIfTrue="1">
      <formula>$J$41="超过20%"</formula>
    </cfRule>
  </conditionalFormatting>
  <conditionalFormatting sqref="I42">
    <cfRule type="expression" dxfId="89" priority="5" stopIfTrue="1">
      <formula>$J$42="超过30%"</formula>
    </cfRule>
  </conditionalFormatting>
  <conditionalFormatting sqref="F36">
    <cfRule type="expression" dxfId="88" priority="4">
      <formula>$D$36="简单平均"</formula>
    </cfRule>
  </conditionalFormatting>
  <conditionalFormatting sqref="H36">
    <cfRule type="expression" dxfId="87" priority="3">
      <formula>$D$36="简单平均"</formula>
    </cfRule>
  </conditionalFormatting>
  <conditionalFormatting sqref="J36">
    <cfRule type="expression" dxfId="86" priority="2">
      <formula>$D$36="简单平均"</formula>
    </cfRule>
  </conditionalFormatting>
  <conditionalFormatting sqref="F7:F34 H7:H34 J7:J34">
    <cfRule type="cellIs" dxfId="85" priority="1" operator="notEqual">
      <formula>100</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J512"/>
  <sheetViews>
    <sheetView view="pageBreakPreview" zoomScale="80" zoomScaleNormal="100" zoomScaleSheetLayoutView="80" zoomScalePageLayoutView="80" workbookViewId="0">
      <selection activeCell="D25" sqref="D25"/>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t="s">
        <v>48</v>
      </c>
      <c r="D1" s="1925"/>
      <c r="E1" s="1925"/>
      <c r="F1" s="1927" t="s">
        <v>1948</v>
      </c>
      <c r="G1" s="1739" t="s">
        <v>3250</v>
      </c>
      <c r="H1" s="1928" t="str">
        <f>IF(G1="现房","——","估价对象范围")</f>
        <v>——</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3415</v>
      </c>
      <c r="D4" s="1934" t="s">
        <v>3255</v>
      </c>
      <c r="E4" s="3529" t="s">
        <v>1952</v>
      </c>
      <c r="F4" s="3530"/>
      <c r="G4" s="3530"/>
      <c r="H4" s="3530"/>
      <c r="I4" s="3531"/>
      <c r="K4" s="146" t="str">
        <f>IF(ISNUMBER(FIND("比较法",'结果表 (车位)'!C4)),"比较法",IF(ISNUMBER(FIND("成本法",'结果表 (车位)'!C4)),"成本法",IF(ISNUMBER(FIND("假设开发法",'结果表 (车位)'!C4)),"假设开发法",IF(ISNUMBER(FIND("收益法",'结果表 (车位)'!C4)),"收益法","基准地价系数修正法"))))</f>
        <v>成本法</v>
      </c>
      <c r="L4" s="146" t="str">
        <f>IF(ISNUMBER(FIND("比较法",'结果表 (车位)'!D4)),"比较法",IF(ISNUMBER(FIND("成本法",'结果表 (车位)'!D4)),"成本法",IF(ISNUMBER(FIND("假设开发法",'结果表 (车位)'!D4)),"假设开发法",IF(ISNUMBER(FIND("收益法",'结果表 (车位)'!D4)),"收益法","基准地价系数修正法"))))</f>
        <v>比较法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26">
        <v>5</v>
      </c>
      <c r="D14" s="3523">
        <f>10-C14</f>
        <v>5</v>
      </c>
      <c r="E14" s="131" t="s">
        <v>1967</v>
      </c>
      <c r="F14" s="1935"/>
      <c r="G14" s="1935"/>
      <c r="H14" s="1935"/>
      <c r="I14" s="1550"/>
    </row>
    <row r="15" spans="1:12" ht="12.75">
      <c r="A15" s="3464"/>
      <c r="B15" s="3522"/>
      <c r="C15" s="3528"/>
      <c r="D15" s="3523"/>
      <c r="E15" s="131" t="s">
        <v>1968</v>
      </c>
      <c r="F15" s="1935"/>
      <c r="G15" s="1935"/>
      <c r="H15" s="1935"/>
      <c r="I15" s="1550"/>
    </row>
    <row r="16" spans="1:12" ht="12.75">
      <c r="A16" s="3464"/>
      <c r="B16" s="3522"/>
      <c r="C16" s="3527"/>
      <c r="D16" s="3523"/>
      <c r="E16" s="131" t="s">
        <v>1969</v>
      </c>
      <c r="F16" s="1935"/>
      <c r="G16" s="1935"/>
      <c r="H16" s="1935"/>
      <c r="I16" s="1550"/>
    </row>
    <row r="17" spans="1:36" ht="15">
      <c r="A17" s="1936" t="s">
        <v>1970</v>
      </c>
      <c r="B17" s="56"/>
      <c r="C17" s="132">
        <f>SUM(C5:C16)</f>
        <v>5</v>
      </c>
      <c r="D17" s="132">
        <f>SUM(D5:D16)</f>
        <v>5</v>
      </c>
      <c r="E17" s="129"/>
      <c r="F17" s="129"/>
      <c r="G17" s="129"/>
      <c r="H17" s="129"/>
      <c r="I17" s="129"/>
      <c r="K17" s="303"/>
      <c r="L17" s="303" t="s">
        <v>1971</v>
      </c>
      <c r="M17" s="303" t="s">
        <v>1972</v>
      </c>
    </row>
    <row r="18" spans="1:36" ht="31.9" customHeight="1" thickBot="1">
      <c r="A18" s="1937" t="s">
        <v>1973</v>
      </c>
      <c r="B18" s="1938"/>
      <c r="C18" s="133">
        <f>ROUND(C17/SUM(C17:D17),2)</f>
        <v>0.5</v>
      </c>
      <c r="D18" s="133">
        <f>1-C18</f>
        <v>0.5</v>
      </c>
      <c r="E18" s="3548" t="s">
        <v>2870</v>
      </c>
      <c r="F18" s="3549"/>
      <c r="G18" s="3549"/>
      <c r="H18" s="3549"/>
      <c r="I18" s="3549"/>
      <c r="K18" s="303" t="s">
        <v>1974</v>
      </c>
      <c r="L18" s="303">
        <f>IF(C1="",'数据-汇总表'!E3,SUMIF(项目类型,C1,'数据-汇总表'!E17:E26)+SUMIF(项目类型,C1,'数据-汇总表'!I17:I26))</f>
        <v>10771.04</v>
      </c>
      <c r="M18" s="303">
        <f>IF(C1="",'数据-汇总表'!E3,SUMIF(项目类型,C1,'数据-汇总表'!E17:E26))</f>
        <v>10771.04</v>
      </c>
    </row>
    <row r="19" spans="1:36" ht="15">
      <c r="A19" s="1939" t="s">
        <v>1975</v>
      </c>
      <c r="B19" s="1940" t="s">
        <v>1976</v>
      </c>
      <c r="C19" s="134">
        <f ca="1">SUMIF(INDIRECT("'"&amp;C4&amp;"'"&amp;"!A:A"),'结果表 (车位)'!B19,INDIRECT("'"&amp;C4&amp;"'"&amp;"!B:B"))</f>
        <v>4082</v>
      </c>
      <c r="D19" s="135">
        <f ca="1">SUMIF(INDIRECT("'"&amp;D4&amp;"'"&amp;"!A:A"),'结果表 (车位)'!B19,INDIRECT("'"&amp;D4&amp;"'"&amp;"!B:B"))</f>
        <v>8695</v>
      </c>
      <c r="E19" s="1939" t="s">
        <v>1977</v>
      </c>
      <c r="F19" s="1940" t="s">
        <v>1976</v>
      </c>
      <c r="G19" s="136">
        <f ca="1">ROUND(C19*$C$18+D19*$D$18,0)</f>
        <v>6389</v>
      </c>
      <c r="H19" s="1941" t="s">
        <v>1978</v>
      </c>
      <c r="I19" s="129"/>
      <c r="K19" s="303" t="s">
        <v>1979</v>
      </c>
      <c r="L19" s="303">
        <f>IF(C1="",'数据-汇总表'!D3,SUMIF(项目类型,C1,'数据-汇总表'!D17:D26)+SUMIF(项目类型,C1,'数据-汇总表'!H17:H27))</f>
        <v>4391.12</v>
      </c>
      <c r="M19" s="303">
        <f>IF(C1="",'数据-汇总表'!D3,SUMIF(项目类型,C1,'数据-汇总表'!D17:D26))</f>
        <v>4391.12</v>
      </c>
    </row>
    <row r="20" spans="1:36" ht="15">
      <c r="A20" s="1942"/>
      <c r="B20" s="1151" t="s">
        <v>1980</v>
      </c>
      <c r="C20" s="137">
        <f ca="1">SUMIF(INDIRECT("'"&amp;C4&amp;"'"&amp;"!A:A"),'结果表 (车位)'!B20,INDIRECT("'"&amp;C4&amp;"'"&amp;"!B:B"))</f>
        <v>3790</v>
      </c>
      <c r="D20" s="138">
        <f ca="1">SUMIF(INDIRECT("'"&amp;D4&amp;"'"&amp;"!A:A"),'结果表 (车位)'!B20,INDIRECT("'"&amp;D4&amp;"'"&amp;"!B:B"))</f>
        <v>8073</v>
      </c>
      <c r="E20" s="1942"/>
      <c r="F20" s="1151" t="s">
        <v>1980</v>
      </c>
      <c r="G20" s="139">
        <f ca="1">ROUND(C20*$C$18+D20*$D$18,0)</f>
        <v>5932</v>
      </c>
      <c r="H20" s="911" t="s">
        <v>1981</v>
      </c>
      <c r="I20" s="129"/>
    </row>
    <row r="21" spans="1:36" ht="15" customHeight="1" thickBot="1">
      <c r="A21" s="931"/>
      <c r="B21" s="1943" t="s">
        <v>1982</v>
      </c>
      <c r="C21" s="723">
        <f ca="1">ROUND(C19*10000/L19,0)</f>
        <v>9296</v>
      </c>
      <c r="D21" s="724">
        <f ca="1">ROUND(D19*10000/L19,0)</f>
        <v>19801</v>
      </c>
      <c r="E21" s="931"/>
      <c r="F21" s="1943" t="s">
        <v>1982</v>
      </c>
      <c r="G21" s="140">
        <f ca="1">ROUND(G19*10000/L19,0)</f>
        <v>14550</v>
      </c>
      <c r="H21" s="1944" t="s">
        <v>1981</v>
      </c>
      <c r="I21" s="129"/>
    </row>
    <row r="22" spans="1:36" ht="15" thickBot="1">
      <c r="A22" s="1866" t="s">
        <v>1983</v>
      </c>
      <c r="B22" s="1945"/>
      <c r="C22" s="1946"/>
      <c r="D22" s="725">
        <f ca="1">IF(C19&lt;D19,D19/C19-1,C19/D19-1)</f>
        <v>1.1300832925036746</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t="e">
        <f ca="1">ROUND(G20*#REF!,0)</f>
        <v>#REF!</v>
      </c>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f ca="1">IF(D32="总价",G19-C24,G20-C25)</f>
        <v>6389</v>
      </c>
      <c r="D32" s="1953" t="s">
        <v>3253</v>
      </c>
      <c r="E32" s="129"/>
      <c r="F32" s="129"/>
      <c r="G32" s="129"/>
      <c r="H32" s="129"/>
      <c r="I32" s="129"/>
    </row>
    <row r="33" spans="1:15" ht="15">
      <c r="A33" s="888" t="s">
        <v>1991</v>
      </c>
      <c r="B33" s="1954"/>
      <c r="C33" s="1955" t="s">
        <v>3252</v>
      </c>
      <c r="D33" s="1956" t="s">
        <v>3249</v>
      </c>
      <c r="E33" s="1957" t="s">
        <v>1992</v>
      </c>
      <c r="F33" s="1958" t="str">
        <f>IF(D32="楼面单价","取值（单价）","取值（总价）")</f>
        <v>取值（总价）</v>
      </c>
      <c r="G33" s="129"/>
      <c r="H33" s="129"/>
      <c r="I33" s="129"/>
    </row>
    <row r="34" spans="1:15" ht="15">
      <c r="A34" s="1959"/>
      <c r="B34" s="1960" t="s">
        <v>1993</v>
      </c>
      <c r="C34" s="148" t="e">
        <f ca="1">IF(C33="自定义",F34,C32-C35)</f>
        <v>#REF!</v>
      </c>
      <c r="D34" s="964" t="e">
        <f ca="1">IF(C33="自定义",ROUND(C34/C32,3),IF(C33="收益比率",SUMIF(INDIRECT("'"&amp;D33&amp;"'"&amp;"!b:b"),"土地收益比率",INDIRECT("'"&amp;D33&amp;"'"&amp;"!c:c")),SUMIF(INDIRECT("'"&amp;D33&amp;"'"&amp;"!b:b"),"土地成本比率",INDIRECT("'"&amp;D33&amp;"'"&amp;"!c:c"))))</f>
        <v>#REF!</v>
      </c>
      <c r="E34" s="1961" t="s">
        <v>1994</v>
      </c>
      <c r="F34" s="1491"/>
      <c r="G34" s="129"/>
      <c r="H34" s="129"/>
      <c r="I34" s="129"/>
    </row>
    <row r="35" spans="1:15" ht="15.75" thickBot="1">
      <c r="A35" s="1962"/>
      <c r="B35" s="1963"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4" t="s">
        <v>1996</v>
      </c>
      <c r="F35" s="154"/>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1986</v>
      </c>
      <c r="C39" s="1972" t="s">
        <v>1987</v>
      </c>
      <c r="D39" s="1972" t="s">
        <v>2005</v>
      </c>
      <c r="E39" s="1973" t="s">
        <v>1988</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f ca="1">ROUND(H101*F45,0)</f>
        <v>6389</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3054">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3054">
        <v>2</v>
      </c>
      <c r="K47" s="3452" t="s">
        <v>2022</v>
      </c>
      <c r="L47" s="3452"/>
      <c r="M47" s="3454">
        <f>'数据-取费表'!B2</f>
        <v>44568</v>
      </c>
      <c r="N47" s="3454"/>
      <c r="O47" s="3454"/>
    </row>
    <row r="48" spans="1:15" ht="25.5">
      <c r="A48" s="3517" t="s">
        <v>2023</v>
      </c>
      <c r="B48" s="3518"/>
      <c r="C48" s="3518"/>
      <c r="D48" s="3051" t="b">
        <f>IF(H48="情况1",0,IF(H48="情况2",D52,IF(H48="情况3",D53,IF(H48="情况4",D54))))</f>
        <v>0</v>
      </c>
      <c r="E48" s="3064" t="str">
        <f>IF(H48="情况4","(销售额-原购置价)×税（费）率","销售额×税（费）率")</f>
        <v>销售额×税（费）率</v>
      </c>
      <c r="F48" s="2763">
        <f>IF(H48="情况1","免征",'数据-取费表'!B41)</f>
        <v>5.5000000000000007E-2</v>
      </c>
      <c r="G48" s="2764" t="s">
        <v>2024</v>
      </c>
      <c r="H48" s="2765"/>
      <c r="I48" s="1984"/>
      <c r="J48" s="3054">
        <v>3</v>
      </c>
      <c r="K48" s="3452" t="s">
        <v>2025</v>
      </c>
      <c r="L48" s="3452"/>
      <c r="M48" s="3455">
        <f ca="1">H101</f>
        <v>6389</v>
      </c>
      <c r="N48" s="3455"/>
      <c r="O48" s="3455"/>
    </row>
    <row r="49" spans="1:35" ht="25.5" customHeight="1">
      <c r="A49" s="3063" t="s">
        <v>2026</v>
      </c>
      <c r="B49" s="3500" t="s">
        <v>2027</v>
      </c>
      <c r="C49" s="3500"/>
      <c r="D49" s="1768">
        <v>0</v>
      </c>
      <c r="E49" s="325" t="s">
        <v>2028</v>
      </c>
      <c r="F49" s="3049" t="s">
        <v>34</v>
      </c>
      <c r="G49" s="3483"/>
      <c r="H49" s="2520" t="s">
        <v>2873</v>
      </c>
      <c r="I49" s="2521"/>
      <c r="J49" s="3054">
        <v>4</v>
      </c>
      <c r="K49" s="3452" t="str">
        <f>IF(项目基本情况!E8="房地产抵押价值","房地产抵押价值","抵押担保权已注销时的房地产抵押价值")</f>
        <v>房地产抵押价值</v>
      </c>
      <c r="L49" s="3452"/>
      <c r="M49" s="3455">
        <f ca="1">IF(项目基本情况!E8="房地产抵押价值",H107,H109)</f>
        <v>6389</v>
      </c>
      <c r="N49" s="3455"/>
      <c r="O49" s="3455"/>
    </row>
    <row r="50" spans="1:35" ht="25.5" customHeight="1">
      <c r="A50" s="2766"/>
      <c r="B50" s="3500" t="s">
        <v>2029</v>
      </c>
      <c r="C50" s="3500"/>
      <c r="D50" s="2767"/>
      <c r="E50" s="333"/>
      <c r="F50" s="3049"/>
      <c r="G50" s="3484"/>
      <c r="H50" s="2522" t="s">
        <v>2874</v>
      </c>
      <c r="I50" s="2521"/>
      <c r="J50" s="3451" t="s">
        <v>2030</v>
      </c>
      <c r="K50" s="3451"/>
      <c r="L50" s="3451"/>
      <c r="M50" s="3451"/>
      <c r="N50" s="3451"/>
      <c r="O50" s="3451"/>
    </row>
    <row r="51" spans="1:35" ht="20.45" customHeight="1">
      <c r="A51" s="2768"/>
      <c r="B51" s="3500" t="s">
        <v>2031</v>
      </c>
      <c r="C51" s="3500"/>
      <c r="D51" s="1241"/>
      <c r="E51" s="328"/>
      <c r="F51" s="3049"/>
      <c r="G51" s="3485"/>
      <c r="H51" s="2522" t="s">
        <v>2875</v>
      </c>
      <c r="I51" s="2521"/>
      <c r="J51" s="3050" t="s">
        <v>2032</v>
      </c>
      <c r="K51" s="3452" t="s">
        <v>2033</v>
      </c>
      <c r="L51" s="3452"/>
      <c r="M51" s="3050" t="s">
        <v>2034</v>
      </c>
      <c r="N51" s="3050" t="s">
        <v>2035</v>
      </c>
      <c r="O51" s="3050" t="s">
        <v>2036</v>
      </c>
    </row>
    <row r="52" spans="1:35" ht="24" customHeight="1">
      <c r="A52" s="3065" t="s">
        <v>2037</v>
      </c>
      <c r="B52" s="3500" t="s">
        <v>2038</v>
      </c>
      <c r="C52" s="3500"/>
      <c r="D52" s="1241">
        <f ca="1">ROUND(D45*'数据-取费表'!B41/(1+'数据-取费表'!C42),0)</f>
        <v>335</v>
      </c>
      <c r="E52" s="3064" t="s">
        <v>2039</v>
      </c>
      <c r="F52" s="2769">
        <f>'数据-取费表'!B41</f>
        <v>5.5000000000000007E-2</v>
      </c>
      <c r="G52" s="2770"/>
      <c r="H52" s="2759"/>
      <c r="I52" s="1985"/>
      <c r="J52" s="3054">
        <v>1</v>
      </c>
      <c r="K52" s="3477" t="s">
        <v>2040</v>
      </c>
      <c r="L52" s="3477"/>
      <c r="M52" s="2740" t="b">
        <f>D48</f>
        <v>0</v>
      </c>
      <c r="N52" s="3054" t="str">
        <f>E48</f>
        <v>销售额×税（费）率</v>
      </c>
      <c r="O52" s="2741">
        <f>F48</f>
        <v>5.5000000000000007E-2</v>
      </c>
    </row>
    <row r="53" spans="1:35" ht="12" customHeight="1">
      <c r="A53" s="3065" t="s">
        <v>2041</v>
      </c>
      <c r="B53" s="3501" t="s">
        <v>3028</v>
      </c>
      <c r="C53" s="3502"/>
      <c r="D53" s="1241">
        <f ca="1">ROUND(D45*'数据-取费表'!B41/(1+'数据-取费表'!C42),0)</f>
        <v>335</v>
      </c>
      <c r="E53" s="3064" t="s">
        <v>2039</v>
      </c>
      <c r="F53" s="2769">
        <f>'数据-取费表'!B41</f>
        <v>5.5000000000000007E-2</v>
      </c>
      <c r="G53" s="2770"/>
      <c r="H53" s="2759"/>
      <c r="I53" s="1985"/>
      <c r="J53" s="3054">
        <v>2</v>
      </c>
      <c r="K53" s="3477" t="s">
        <v>2042</v>
      </c>
      <c r="L53" s="3477"/>
      <c r="M53" s="2740">
        <f t="shared" ref="M53:O54" ca="1" si="0">D55</f>
        <v>3</v>
      </c>
      <c r="N53" s="3054" t="str">
        <f t="shared" si="0"/>
        <v>销售额×税（费）率</v>
      </c>
      <c r="O53" s="2741" t="str">
        <f t="shared" si="0"/>
        <v>免征</v>
      </c>
    </row>
    <row r="54" spans="1:35" ht="12" customHeight="1">
      <c r="A54" s="3065" t="s">
        <v>2043</v>
      </c>
      <c r="B54" s="3501" t="s">
        <v>3029</v>
      </c>
      <c r="C54" s="3502"/>
      <c r="D54" s="1241">
        <f ca="1">C68</f>
        <v>335</v>
      </c>
      <c r="E54" s="328" t="s">
        <v>2044</v>
      </c>
      <c r="F54" s="2769">
        <f>'数据-取费表'!B41</f>
        <v>5.5000000000000007E-2</v>
      </c>
      <c r="G54" s="2770"/>
      <c r="H54" s="2771"/>
      <c r="I54" s="1985"/>
      <c r="J54" s="3054">
        <v>3</v>
      </c>
      <c r="K54" s="3477" t="s">
        <v>2045</v>
      </c>
      <c r="L54" s="3477"/>
      <c r="M54" s="2740">
        <f t="shared" ca="1" si="0"/>
        <v>3623</v>
      </c>
      <c r="N54" s="3054" t="str">
        <f t="shared" si="0"/>
        <v>增值额×税（费）率</v>
      </c>
      <c r="O54" s="2742" t="str">
        <f t="shared" si="0"/>
        <v>免征</v>
      </c>
    </row>
    <row r="55" spans="1:35" ht="24" customHeight="1">
      <c r="A55" s="3541" t="s">
        <v>2046</v>
      </c>
      <c r="B55" s="3518"/>
      <c r="C55" s="3518"/>
      <c r="D55" s="3051">
        <f ca="1">IF(H55="个人住宅",0,ROUND(D45*I55,0))</f>
        <v>3</v>
      </c>
      <c r="E55" s="3064" t="s">
        <v>2047</v>
      </c>
      <c r="F55" s="2769" t="str">
        <f>IF(H55="正常",I55,"免征")</f>
        <v>免征</v>
      </c>
      <c r="G55" s="2770"/>
      <c r="H55" s="2765"/>
      <c r="I55" s="165">
        <f>'数据-取费表'!B49</f>
        <v>5.0000000000000001E-4</v>
      </c>
      <c r="J55" s="3054">
        <f>IF(H59="非个人房产","",4)</f>
        <v>4</v>
      </c>
      <c r="K55" s="3477" t="str">
        <f>IF(H59="非个人房产","——","个人所得税")</f>
        <v>个人所得税</v>
      </c>
      <c r="L55" s="3477"/>
      <c r="M55" s="2743">
        <f ca="1">D59</f>
        <v>61</v>
      </c>
      <c r="N55" s="3055" t="str">
        <f>E59</f>
        <v>差额计税</v>
      </c>
      <c r="O55" s="2744">
        <f>F59</f>
        <v>0.01</v>
      </c>
    </row>
    <row r="56" spans="1:35" ht="24.75">
      <c r="A56" s="3541" t="s">
        <v>2048</v>
      </c>
      <c r="B56" s="3518"/>
      <c r="C56" s="3518"/>
      <c r="D56" s="3051">
        <f ca="1">IF(H56="个人住宅",D57,D58)</f>
        <v>3623</v>
      </c>
      <c r="E56" s="3064" t="s">
        <v>2049</v>
      </c>
      <c r="F56" s="2769" t="str">
        <f>IF(H56="正常",F58,"免征")</f>
        <v>免征</v>
      </c>
      <c r="G56" s="2772" t="s">
        <v>2050</v>
      </c>
      <c r="H56" s="2773"/>
      <c r="I56" s="1986"/>
      <c r="J56" s="3054"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3065" t="s">
        <v>2026</v>
      </c>
      <c r="B57" s="3501" t="s">
        <v>2051</v>
      </c>
      <c r="C57" s="3502"/>
      <c r="D57" s="1768">
        <v>0</v>
      </c>
      <c r="E57" s="325" t="s">
        <v>2028</v>
      </c>
      <c r="F57" s="303"/>
      <c r="G57" s="2770"/>
      <c r="H57" s="2774"/>
      <c r="I57" s="1986"/>
      <c r="J57" s="3477">
        <f>IF(AND(J55="",J56=""),4,IF(项目基本情况!K6="上海银行",'结果表 (车位)'!J56+1,'结果表 (车位)'!J55+1))</f>
        <v>5</v>
      </c>
      <c r="K57" s="3477" t="s">
        <v>2052</v>
      </c>
      <c r="L57" s="2745" t="s">
        <v>2053</v>
      </c>
      <c r="M57" s="2746"/>
      <c r="N57" s="2747">
        <f ca="1">SUMIF(M52:M56,"&lt;9e307")</f>
        <v>3687</v>
      </c>
      <c r="O57" s="2748"/>
      <c r="P57" s="2907">
        <f ca="1">N57/M49</f>
        <v>0.57708561590233209</v>
      </c>
    </row>
    <row r="58" spans="1:35" ht="24.75">
      <c r="A58" s="3065" t="s">
        <v>2037</v>
      </c>
      <c r="B58" s="3501" t="s">
        <v>2054</v>
      </c>
      <c r="C58" s="3500"/>
      <c r="D58" s="3051">
        <f ca="1">IF(H58="转让取得",C81,C97)</f>
        <v>3623</v>
      </c>
      <c r="E58" s="3064" t="s">
        <v>2049</v>
      </c>
      <c r="F58" s="303" t="s">
        <v>34</v>
      </c>
      <c r="G58" s="2770"/>
      <c r="H58" s="2773"/>
      <c r="I58" s="1986"/>
      <c r="J58" s="3477"/>
      <c r="K58" s="3477"/>
      <c r="L58" s="2745" t="s">
        <v>2055</v>
      </c>
      <c r="M58" s="2749"/>
      <c r="N58" s="2750" t="str">
        <f ca="1">NUMBERSTRING(INT(N57*10000),2)&amp;"元整"</f>
        <v>叁仟陆佰捌拾柒万元整</v>
      </c>
      <c r="O58" s="2751"/>
    </row>
    <row r="59" spans="1:35" ht="24.75" thickBot="1">
      <c r="A59" s="3481" t="s">
        <v>2056</v>
      </c>
      <c r="B59" s="3482"/>
      <c r="C59" s="3482"/>
      <c r="D59" s="2775">
        <f ca="1">IF(H59="非个人房产","——",IF(H59="个人住宅（满五唯一有凭证）",0,IF(H59="个人其他（无凭证）",ROUND(D45*F59,0),ROUND(C67*F59,0))))</f>
        <v>61</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3054" t="s">
        <v>2053</v>
      </c>
      <c r="M59" s="2752"/>
      <c r="N59" s="2753">
        <f ca="1">M49-N57</f>
        <v>2702</v>
      </c>
      <c r="O59" s="2754"/>
    </row>
    <row r="60" spans="1:35" ht="12" customHeight="1">
      <c r="A60" s="1987"/>
      <c r="B60" s="1925"/>
      <c r="C60" s="1925"/>
      <c r="D60" s="1925"/>
      <c r="E60" s="1756"/>
      <c r="F60" s="1986"/>
      <c r="G60" s="1986"/>
      <c r="H60" s="1988"/>
      <c r="I60" s="129"/>
      <c r="J60" s="3480"/>
      <c r="K60" s="3477"/>
      <c r="L60" s="2745" t="s">
        <v>2055</v>
      </c>
      <c r="M60" s="2749"/>
      <c r="N60" s="2750" t="str">
        <f ca="1">NUMBERSTRING(INT(N59*10000),2)&amp;"元整"</f>
        <v>贰仟柒佰零贰万元整</v>
      </c>
      <c r="O60" s="2751"/>
    </row>
    <row r="61" spans="1:35" ht="13.5" thickBot="1">
      <c r="A61" s="3540" t="s">
        <v>2058</v>
      </c>
      <c r="B61" s="3540"/>
      <c r="C61" s="3540"/>
      <c r="D61" s="3540"/>
      <c r="E61" s="3540"/>
      <c r="F61" s="1986"/>
      <c r="G61" s="1986"/>
      <c r="H61" s="1988"/>
      <c r="I61" s="129"/>
      <c r="J61" s="3054">
        <f>J59+1</f>
        <v>7</v>
      </c>
      <c r="K61" s="3477" t="s">
        <v>2059</v>
      </c>
      <c r="L61" s="3477"/>
      <c r="M61" s="2755"/>
      <c r="N61" s="2756">
        <f ca="1">ROUND(N59*10000/'数据-汇总表'!E3,0)</f>
        <v>313</v>
      </c>
      <c r="O61" s="2757"/>
    </row>
    <row r="62" spans="1:35" ht="12.75">
      <c r="A62" s="3496" t="s">
        <v>2060</v>
      </c>
      <c r="B62" s="3497"/>
      <c r="C62" s="3059"/>
      <c r="D62" s="3059" t="s">
        <v>2061</v>
      </c>
      <c r="E62" s="166" t="s">
        <v>2062</v>
      </c>
      <c r="F62" s="1986"/>
      <c r="G62" s="1986"/>
      <c r="H62" s="1988"/>
      <c r="I62" s="129"/>
    </row>
    <row r="63" spans="1:35" ht="12.75">
      <c r="A63" s="173" t="s">
        <v>775</v>
      </c>
      <c r="B63" s="167" t="s">
        <v>2063</v>
      </c>
      <c r="C63" s="2779">
        <f ca="1">ROUND((C64+C65)/(1+'数据-取费表'!C42),0)</f>
        <v>6085</v>
      </c>
      <c r="D63" s="167"/>
      <c r="E63" s="168"/>
      <c r="F63" s="1986"/>
      <c r="G63" s="1986"/>
      <c r="H63" s="1988"/>
      <c r="I63" s="129"/>
      <c r="J63" s="3460" t="s">
        <v>2064</v>
      </c>
      <c r="K63" s="3052" t="s">
        <v>2065</v>
      </c>
      <c r="L63" s="3052">
        <f ca="1">IF(M49&gt;10000,M49*0.5%,IF(AND(M49&gt;1000,M49&lt;=10000),M49*1%,IF(AND(M49&gt;100,M49&lt;=1000),M49*3%,IF(AND(M49&gt;10,M49&lt;=100),M49*5%,M49*8%))))</f>
        <v>63.89</v>
      </c>
      <c r="M63" s="303">
        <f ca="1">ROUND(L63,1)</f>
        <v>63.9</v>
      </c>
      <c r="N63" s="2758"/>
      <c r="Z63" s="1930"/>
      <c r="AI63" s="1931"/>
    </row>
    <row r="64" spans="1:35" ht="14.25" customHeight="1">
      <c r="A64" s="169" t="s">
        <v>770</v>
      </c>
      <c r="B64" s="170" t="s">
        <v>2066</v>
      </c>
      <c r="C64" s="2780">
        <f ca="1">D45</f>
        <v>6389</v>
      </c>
      <c r="D64" s="170" t="s">
        <v>32</v>
      </c>
      <c r="E64" s="172"/>
      <c r="F64" s="1986"/>
      <c r="G64" s="1986"/>
      <c r="H64" s="1988"/>
      <c r="I64" s="129"/>
      <c r="J64" s="3460"/>
      <c r="K64" s="3052" t="s">
        <v>2067</v>
      </c>
      <c r="L64" s="3052">
        <f ca="1">IF(M49&gt;2000,M49*0.5%,IF(AND(M49&gt;1000,M49&lt;=2000),M49*0.6%,IF(AND(M49&gt;500,M49&lt;=1000),M49*0.7%,IF(AND(M49&gt;200,M49&lt;=500),M49*0.8%,IF(AND(M49&gt;100,M49&lt;=200),M49*0.9%,IF(AND(M49&gt;50,M49&lt;=100),M49*1%,IF(AND(M49&gt;20,M49&lt;=50),M49*1.5%,IF(AND(M49&gt;10,M49&lt;=20),M49*2%,IF(AND(M49&gt;1,M49&lt;=10),M49*2.5%)))))))))</f>
        <v>31.945</v>
      </c>
      <c r="M64" s="303">
        <f t="shared" ref="M64:M65" ca="1" si="1">ROUND(L64,1)</f>
        <v>31.9</v>
      </c>
      <c r="N64" s="2759" t="s">
        <v>2068</v>
      </c>
      <c r="Z64" s="1930"/>
      <c r="AI64" s="1931"/>
    </row>
    <row r="65" spans="1:35" ht="14.25" customHeight="1">
      <c r="A65" s="169" t="s">
        <v>771</v>
      </c>
      <c r="B65" s="170" t="s">
        <v>2069</v>
      </c>
      <c r="C65" s="2781"/>
      <c r="D65" s="170"/>
      <c r="E65" s="172"/>
      <c r="F65" s="1986"/>
      <c r="G65" s="1986"/>
      <c r="H65" s="1988"/>
      <c r="I65" s="129"/>
      <c r="J65" s="3460"/>
      <c r="K65" s="3052" t="s">
        <v>2070</v>
      </c>
      <c r="L65" s="3052">
        <f ca="1">IF(M49&gt;1000,M49*0.1%,IF(AND(M49&gt;500,M49&lt;=1000),M49*0.5%,IF(AND(M49&gt;50,M49&lt;=500),M49*1%,IF(AND(M49&gt;1,M49&lt;=50),M49*1.5%))))</f>
        <v>6.3890000000000002</v>
      </c>
      <c r="M65" s="303">
        <f t="shared" ca="1" si="1"/>
        <v>6.4</v>
      </c>
      <c r="N65" s="2759" t="s">
        <v>2068</v>
      </c>
      <c r="Z65" s="1930"/>
      <c r="AI65" s="1931"/>
    </row>
    <row r="66" spans="1:35" ht="14.25" customHeight="1">
      <c r="A66" s="173" t="s">
        <v>772</v>
      </c>
      <c r="B66" s="174" t="s">
        <v>2071</v>
      </c>
      <c r="C66" s="2782"/>
      <c r="D66" s="174" t="s">
        <v>32</v>
      </c>
      <c r="E66" s="1502" t="s">
        <v>1337</v>
      </c>
      <c r="F66" s="1986"/>
      <c r="G66" s="1986"/>
      <c r="H66" s="1988"/>
      <c r="I66" s="129"/>
      <c r="J66" s="3460"/>
      <c r="K66" s="3052" t="s">
        <v>2072</v>
      </c>
      <c r="L66" s="3052">
        <f ca="1">M49*0.5%</f>
        <v>31.945</v>
      </c>
      <c r="M66" s="303">
        <f ca="1">IF(L66&gt;0.5,0.5,ROUND(L66,0))</f>
        <v>0.5</v>
      </c>
      <c r="N66" s="2759" t="s">
        <v>2073</v>
      </c>
      <c r="Z66" s="1930"/>
      <c r="AI66" s="1931"/>
    </row>
    <row r="67" spans="1:35" ht="14.25" customHeight="1">
      <c r="A67" s="173" t="s">
        <v>773</v>
      </c>
      <c r="B67" s="174" t="s">
        <v>2074</v>
      </c>
      <c r="C67" s="2783">
        <f ca="1">C63-C66</f>
        <v>6085</v>
      </c>
      <c r="D67" s="170" t="s">
        <v>32</v>
      </c>
      <c r="E67" s="172"/>
      <c r="F67" s="1986"/>
      <c r="G67" s="1986"/>
      <c r="H67" s="1988"/>
      <c r="I67" s="129"/>
      <c r="J67" s="3460"/>
      <c r="K67" s="3052" t="s">
        <v>2075</v>
      </c>
      <c r="L67" s="3052">
        <f ca="1">IF(M49&gt;=10000,(8.25+(M49-10000)*0.01%),IF(AND(M49&gt;=8000,M49&lt;10000),(7.85+(M49-8000)*0.02%),IF(AND(M49&gt;=5000,M49&lt;8000),(6.65+(M49-5000)*0.04%),IF(AND(M49&gt;=2000,M49&lt;5000),(4.25+(PM49-2000)*0.08%),IF(AND(M49&gt;=1000,M49&lt;2000),(2.75+(M49-1000)*0.15%),IF(AND(M49&gt;=100,M49&lt;1000),(0.5+(M49-100)*0.25%),IF(AND(M49&gt;0,M49&lt;100),M49*0.5%)))))))</f>
        <v>7.2056000000000004</v>
      </c>
      <c r="M67" s="303">
        <f ca="1">ROUND(L67*0.9,1)</f>
        <v>6.5</v>
      </c>
      <c r="N67" s="2758"/>
      <c r="Z67" s="1930"/>
      <c r="AI67" s="1931"/>
    </row>
    <row r="68" spans="1:35" ht="14.25" customHeight="1" thickBot="1">
      <c r="A68" s="176" t="s">
        <v>774</v>
      </c>
      <c r="B68" s="177" t="s">
        <v>2076</v>
      </c>
      <c r="C68" s="2784">
        <f ca="1">IF(C67&lt;=0,0,ROUND(C67*D68,0))</f>
        <v>335</v>
      </c>
      <c r="D68" s="2785">
        <f>'数据-取费表'!B41</f>
        <v>5.5000000000000007E-2</v>
      </c>
      <c r="E68" s="179"/>
      <c r="F68" s="1986"/>
      <c r="G68" s="1986"/>
      <c r="H68" s="1988"/>
      <c r="I68" s="129"/>
      <c r="J68" s="3460"/>
      <c r="K68" s="3052" t="s">
        <v>2077</v>
      </c>
      <c r="L68" s="3052">
        <f ca="1">IF(M49&gt;10000,M49*0.5%,IF(AND(M49&gt;5000,M49&lt;=10000),M49*1%,IF(AND(M49&gt;1000,M49&lt;=5000),M49*2%,IF(AND(M49&gt;200,M49&lt;=1000),M49*3%,M49*5%))))</f>
        <v>63.89</v>
      </c>
      <c r="M68" s="303">
        <f ca="1">ROUND(L68,1)</f>
        <v>63.9</v>
      </c>
      <c r="N68" s="2758"/>
      <c r="Z68" s="1930"/>
      <c r="AI68" s="1931"/>
    </row>
    <row r="69" spans="1:35" s="1950" customFormat="1" ht="16.5" customHeight="1">
      <c r="A69" s="1989"/>
      <c r="B69" s="1990"/>
      <c r="C69" s="1991"/>
      <c r="D69" s="1992"/>
      <c r="E69" s="1993"/>
      <c r="F69" s="1756"/>
      <c r="G69" s="1756"/>
      <c r="H69" s="1755"/>
      <c r="I69" s="1925"/>
      <c r="J69" s="3460"/>
      <c r="K69" s="3052" t="s">
        <v>2078</v>
      </c>
      <c r="L69" s="3052"/>
      <c r="M69" s="303">
        <f ca="1">ROUND(SUM(M63:M68),0)</f>
        <v>173</v>
      </c>
      <c r="N69" s="2760">
        <f ca="1">M69/M49</f>
        <v>2.7077789951479105E-2</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3059"/>
      <c r="D71" s="3059"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f ca="1">ROUND(D45/(1+'数据-取费表'!C42),0)</f>
        <v>6085</v>
      </c>
      <c r="D72" s="170" t="s">
        <v>32</v>
      </c>
      <c r="E72" s="3061"/>
      <c r="F72" s="3060"/>
      <c r="G72" s="3060"/>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f ca="1">C74+C78</f>
        <v>30</v>
      </c>
      <c r="D73" s="170" t="s">
        <v>32</v>
      </c>
      <c r="E73" s="3061"/>
      <c r="F73" s="3060"/>
      <c r="G73" s="3060"/>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3061"/>
      <c r="F74" s="3060"/>
      <c r="G74" s="3060"/>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3051" t="s">
        <v>2089</v>
      </c>
      <c r="F77" s="187"/>
      <c r="G77" s="2000"/>
      <c r="H77" s="3062"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f ca="1">ROUND(D45*D78/(1+'数据-取费表'!C42),0)</f>
        <v>30</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773</v>
      </c>
      <c r="B79" s="174" t="s">
        <v>2092</v>
      </c>
      <c r="C79" s="2783">
        <f ca="1">C72-C73</f>
        <v>6055</v>
      </c>
      <c r="D79" s="170" t="s">
        <v>32</v>
      </c>
      <c r="E79" s="3061"/>
      <c r="F79" s="3060"/>
      <c r="G79" s="3060"/>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f ca="1">IF(C79&lt;=0,0,C79/C73)</f>
        <v>201.83333333333334</v>
      </c>
      <c r="D80" s="170" t="s">
        <v>32</v>
      </c>
      <c r="E80" s="3051"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f ca="1">ROUND(IF(C79&lt;=0,0,IF(C80&gt;=200%,C79*60%-C73*35%,IF(C80&gt;=100%,C79*50%-C73*15%,IF(C80&gt;=50%,C79*40%-C73*5%,IF(C80&lt;50%,C79*30%,0))))),0)</f>
        <v>3623</v>
      </c>
      <c r="D81" s="2795"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3059"/>
      <c r="D84" s="3059"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f ca="1">ROUND(D45/(1+'数据-取费表'!C42),0)</f>
        <v>6085</v>
      </c>
      <c r="D85" s="170" t="s">
        <v>32</v>
      </c>
      <c r="E85" s="3061"/>
      <c r="F85" s="3060"/>
      <c r="G85" s="3060"/>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f ca="1">IF(H88="仅含出让金",C87+C90+C91+C92+C93+C94,C87+C91+C92+C93+C94)</f>
        <v>30</v>
      </c>
      <c r="D86" s="2796"/>
      <c r="E86" s="3061"/>
      <c r="F86" s="3060"/>
      <c r="G86" s="3060"/>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3056"/>
      <c r="F87" s="3057"/>
      <c r="G87" s="3057"/>
      <c r="H87" s="3058"/>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3057"/>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3057"/>
      <c r="G89" s="3057"/>
      <c r="H89" s="3058"/>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3057"/>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f ca="1">ROUND(D45*D93/(1+'数据-取费表'!C42),0)</f>
        <v>30</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773</v>
      </c>
      <c r="B95" s="174" t="s">
        <v>2092</v>
      </c>
      <c r="C95" s="2783">
        <f ca="1">ROUND(C85-C86,0)</f>
        <v>6055</v>
      </c>
      <c r="D95" s="170" t="s">
        <v>32</v>
      </c>
      <c r="E95" s="3061"/>
      <c r="F95" s="3060"/>
      <c r="G95" s="3060"/>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f ca="1">IF(C95&lt;=0,0,C95/C86)</f>
        <v>201.83333333333334</v>
      </c>
      <c r="D96" s="170" t="s">
        <v>32</v>
      </c>
      <c r="E96" s="3051"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f ca="1">ROUND(IF(C95&lt;=0,0,IF(C96&gt;=200%,C95*60%-C86*35%,IF(C96&gt;=100%,C95*50%-C86*15%,IF(C96&gt;=50%,C95*40%-C86*5%,IF(C96&lt;50%,C95*30%,0))))),0)</f>
        <v>3623</v>
      </c>
      <c r="D97" s="2795"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 (车位)</v>
      </c>
      <c r="D101" s="2801" t="str">
        <f>D4</f>
        <v>比较法-车位</v>
      </c>
      <c r="E101" s="3456" t="s">
        <v>2116</v>
      </c>
      <c r="F101" s="3457"/>
      <c r="G101" s="2005" t="s">
        <v>2117</v>
      </c>
      <c r="H101" s="2810">
        <f ca="1">H118</f>
        <v>6389</v>
      </c>
      <c r="I101" s="129"/>
    </row>
    <row r="102" spans="1:35" ht="18.75" customHeight="1">
      <c r="A102" s="3488" t="s">
        <v>2118</v>
      </c>
      <c r="B102" s="2799" t="s">
        <v>2117</v>
      </c>
      <c r="C102" s="2800">
        <f ca="1">C19</f>
        <v>4082</v>
      </c>
      <c r="D102" s="2801">
        <f ca="1">D19</f>
        <v>8695</v>
      </c>
      <c r="E102" s="3456"/>
      <c r="F102" s="3457"/>
      <c r="G102" s="2005" t="s">
        <v>2119</v>
      </c>
      <c r="H102" s="2770">
        <f ca="1">I118</f>
        <v>5932</v>
      </c>
      <c r="I102" s="129"/>
    </row>
    <row r="103" spans="1:35" ht="42.75" customHeight="1">
      <c r="A103" s="3488"/>
      <c r="B103" s="2799" t="s">
        <v>2119</v>
      </c>
      <c r="C103" s="2802">
        <f ca="1">C20</f>
        <v>3790</v>
      </c>
      <c r="D103" s="2803">
        <f ca="1">D20</f>
        <v>8073</v>
      </c>
      <c r="E103" s="3449" t="s">
        <v>2120</v>
      </c>
      <c r="F103" s="3450"/>
      <c r="G103" s="2006" t="s">
        <v>2121</v>
      </c>
      <c r="H103" s="2810">
        <f>IF(D36="正常操作",H104+H105+H106,H105+H106)</f>
        <v>0</v>
      </c>
      <c r="I103" s="129"/>
    </row>
    <row r="104" spans="1:35" ht="18.75" customHeight="1">
      <c r="A104" s="3488" t="s">
        <v>2122</v>
      </c>
      <c r="B104" s="2804" t="s">
        <v>2117</v>
      </c>
      <c r="C104" s="2805">
        <f ca="1">H118</f>
        <v>6389</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f ca="1">I118</f>
        <v>5932</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f ca="1">IF(E107="——","——",H101-H103)</f>
        <v>6389</v>
      </c>
      <c r="I107" s="129"/>
    </row>
    <row r="108" spans="1:35" ht="18.75" customHeight="1">
      <c r="A108" s="129"/>
      <c r="B108" s="129"/>
      <c r="C108" s="129"/>
      <c r="D108" s="129"/>
      <c r="E108" s="3489"/>
      <c r="F108" s="3457"/>
      <c r="G108" s="2005" t="s">
        <v>2119</v>
      </c>
      <c r="H108" s="2770">
        <f ca="1">ROUND(H107*10000/'数据-汇总表'!E3,0)</f>
        <v>739</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3053" t="s">
        <v>2134</v>
      </c>
      <c r="E117" s="3053" t="s">
        <v>2135</v>
      </c>
      <c r="F117" s="3053" t="s">
        <v>2134</v>
      </c>
      <c r="G117" s="3053" t="s">
        <v>2136</v>
      </c>
      <c r="H117" s="3053" t="s">
        <v>2134</v>
      </c>
      <c r="I117" s="3053" t="s">
        <v>2136</v>
      </c>
    </row>
    <row r="118" spans="1:27" ht="24.75" customHeight="1">
      <c r="A118" s="2815" t="str">
        <f>项目基本情况!S2</f>
        <v>北京市0331地块部分在建工程出让国有建设用地使用权及在建建筑物房地产</v>
      </c>
      <c r="B118" s="3053">
        <f>M18</f>
        <v>10771.04</v>
      </c>
      <c r="C118" s="3053">
        <f>M19</f>
        <v>4391.12</v>
      </c>
      <c r="D118" s="3053" t="e">
        <f ca="1">ROUND(IF(D32="总价",C34,E118*B118/10000),0)</f>
        <v>#REF!</v>
      </c>
      <c r="E118" s="3053" t="e">
        <f ca="1">ROUND(IF(C33="自定义",IF(D32="楼面单价",C34,D118*10000/B118),I118-G118),0)</f>
        <v>#REF!</v>
      </c>
      <c r="F118" s="3053" t="e">
        <f ca="1">ROUND(IF(D32="总价",C35,G118*B118/10000),0)</f>
        <v>#REF!</v>
      </c>
      <c r="G118" s="3053" t="e">
        <f ca="1">ROUND(IF(D32="楼面单价",C35,F118*10000/B118),0)</f>
        <v>#REF!</v>
      </c>
      <c r="H118" s="3053">
        <f ca="1">ROUND(IF(D32="总价",C32,I118*B118/10000),0)</f>
        <v>6389</v>
      </c>
      <c r="I118" s="3053">
        <f ca="1">ROUND(IF(D32="楼面单价",C32,H118*10000/B118),0)</f>
        <v>5932</v>
      </c>
    </row>
    <row r="119" spans="1:27" ht="18.75" customHeight="1">
      <c r="A119" s="3464" t="s">
        <v>2137</v>
      </c>
      <c r="B119" s="3464"/>
      <c r="C119" s="3464"/>
      <c r="D119" s="3470" t="e">
        <f ca="1">NUMBERSTRING(INT(D118*10000),2)&amp;"元整"</f>
        <v>#REF!</v>
      </c>
      <c r="E119" s="3471"/>
      <c r="F119" s="3470" t="e">
        <f ca="1">NUMBERSTRING(INT(F118*10000),2)&amp;"元整"</f>
        <v>#REF!</v>
      </c>
      <c r="G119" s="3471"/>
      <c r="H119" s="3470" t="str">
        <f ca="1">NUMBERSTRING(INT(H118*10000),2)&amp;"元整"</f>
        <v>陆仟叁佰捌拾玖万元整</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f ca="1">H107</f>
        <v>6389</v>
      </c>
      <c r="E122" s="3466"/>
      <c r="F122" s="3466"/>
      <c r="G122" s="3466"/>
      <c r="H122" s="3466"/>
      <c r="I122" s="3467"/>
      <c r="AA122" s="729"/>
    </row>
    <row r="123" spans="1:27" ht="18.75" customHeight="1">
      <c r="A123" s="3464" t="s">
        <v>2137</v>
      </c>
      <c r="B123" s="3464"/>
      <c r="C123" s="3464"/>
      <c r="D123" s="3470" t="str">
        <f ca="1">NUMBERSTRING(INT(D122*10000),2)&amp;"元整"</f>
        <v>陆仟叁佰捌拾玖万元整</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84" priority="10" stopIfTrue="1" operator="equal">
      <formula>25</formula>
    </cfRule>
  </conditionalFormatting>
  <conditionalFormatting sqref="C8:C9">
    <cfRule type="cellIs" dxfId="83" priority="9" stopIfTrue="1" operator="equal">
      <formula>15</formula>
    </cfRule>
  </conditionalFormatting>
  <conditionalFormatting sqref="C14:C16">
    <cfRule type="cellIs" dxfId="82" priority="8" stopIfTrue="1" operator="equal">
      <formula>30</formula>
    </cfRule>
  </conditionalFormatting>
  <conditionalFormatting sqref="D5:D7">
    <cfRule type="cellIs" dxfId="81" priority="7" stopIfTrue="1" operator="equal">
      <formula>25</formula>
    </cfRule>
  </conditionalFormatting>
  <conditionalFormatting sqref="D8:D9">
    <cfRule type="cellIs" dxfId="80" priority="6" stopIfTrue="1" operator="equal">
      <formula>15</formula>
    </cfRule>
  </conditionalFormatting>
  <conditionalFormatting sqref="C10:D13">
    <cfRule type="cellIs" dxfId="79" priority="5" stopIfTrue="1" operator="equal">
      <formula>15</formula>
    </cfRule>
  </conditionalFormatting>
  <conditionalFormatting sqref="D14:D16">
    <cfRule type="cellIs" dxfId="78" priority="4" stopIfTrue="1" operator="equal">
      <formula>30</formula>
    </cfRule>
  </conditionalFormatting>
  <conditionalFormatting sqref="C90">
    <cfRule type="expression" dxfId="77" priority="3" stopIfTrue="1">
      <formula>$H$88&lt;&gt;"仅含出让金"</formula>
    </cfRule>
  </conditionalFormatting>
  <conditionalFormatting sqref="C91">
    <cfRule type="expression" dxfId="76" priority="2" stopIfTrue="1">
      <formula>$H$91="由企业提供"</formula>
    </cfRule>
  </conditionalFormatting>
  <conditionalFormatting sqref="E36">
    <cfRule type="expression" dxfId="75" priority="1" stopIfTrue="1">
      <formula>$D$36="同一抵押权人同一抵押物续贷"</formula>
    </cfRule>
  </conditionalFormatting>
  <dataValidations count="23">
    <dataValidation type="list" allowBlank="1" showInputMessage="1" showErrorMessage="1" sqref="C4:D4 D33" xr:uid="{00000000-0002-0000-2600-000000000000}">
      <formula1>估价方法</formula1>
    </dataValidation>
    <dataValidation type="list" allowBlank="1" showInputMessage="1" showErrorMessage="1" sqref="H55:H56" xr:uid="{00000000-0002-0000-2600-000001000000}">
      <formula1>"个人住宅,正常"</formula1>
    </dataValidation>
    <dataValidation type="list" allowBlank="1" showInputMessage="1" showErrorMessage="1" sqref="H48" xr:uid="{00000000-0002-0000-2600-000002000000}">
      <formula1>"情况1,情况2,情况3,情况4"</formula1>
    </dataValidation>
    <dataValidation type="list" allowBlank="1" showInputMessage="1" showErrorMessage="1" sqref="H58" xr:uid="{00000000-0002-0000-2600-000003000000}">
      <formula1>"转让取得,自行开发建设"</formula1>
    </dataValidation>
    <dataValidation type="list" allowBlank="1" showInputMessage="1" showErrorMessage="1" sqref="D32" xr:uid="{00000000-0002-0000-2600-000004000000}">
      <formula1>"总价,楼面单价"</formula1>
    </dataValidation>
    <dataValidation type="list" allowBlank="1" showInputMessage="1" showErrorMessage="1" sqref="F45" xr:uid="{00000000-0002-0000-2600-000005000000}">
      <formula1>"100%,80%,60%,64%"</formula1>
    </dataValidation>
    <dataValidation type="list" allowBlank="1" showInputMessage="1" showErrorMessage="1" sqref="C33" xr:uid="{00000000-0002-0000-2600-000006000000}">
      <formula1>"成本比率,收益比率,自定义"</formula1>
    </dataValidation>
    <dataValidation type="list" allowBlank="1" showInputMessage="1" showErrorMessage="1" sqref="H91" xr:uid="{00000000-0002-0000-2600-000007000000}">
      <formula1>"企业提供（在右侧录入）,——"</formula1>
    </dataValidation>
    <dataValidation type="list" allowBlank="1" showInputMessage="1" showErrorMessage="1" sqref="H88" xr:uid="{00000000-0002-0000-2600-000008000000}">
      <formula1>"仅含出让金,出让金+开发费"</formula1>
    </dataValidation>
    <dataValidation type="list" allowBlank="1" showInputMessage="1" showErrorMessage="1" sqref="F75" xr:uid="{00000000-0002-0000-2600-000009000000}">
      <formula1>"买卖合同,购房发票"</formula1>
    </dataValidation>
    <dataValidation type="list" allowBlank="1" showInputMessage="1" showErrorMessage="1" sqref="D36" xr:uid="{00000000-0002-0000-2600-00000A000000}">
      <formula1>"同一抵押权人同一抵押物续贷,注销后放款,正常操作"</formula1>
    </dataValidation>
    <dataValidation type="list" allowBlank="1" showInputMessage="1" showErrorMessage="1" sqref="B116:B117" xr:uid="{00000000-0002-0000-2600-00000B000000}">
      <formula1>"建筑面积,规划建筑面积,（规划）建筑面积"</formula1>
    </dataValidation>
    <dataValidation type="list" allowBlank="1" showInputMessage="1" showErrorMessage="1" sqref="C116:C117" xr:uid="{00000000-0002-0000-2600-00000C000000}">
      <formula1>"土地面积,分摊土地面积,（分摊）土地面积"</formula1>
    </dataValidation>
    <dataValidation type="list" allowBlank="1" showInputMessage="1" showErrorMessage="1" sqref="D116:E116" xr:uid="{00000000-0002-0000-2600-00000D000000}">
      <formula1>"出让国有建设用地使用权价值,划拨国有建设用地使用权价值"</formula1>
    </dataValidation>
    <dataValidation type="list" allowBlank="1" showInputMessage="1" showErrorMessage="1" sqref="F116:G116" xr:uid="{00000000-0002-0000-2600-00000E000000}">
      <formula1>"建筑物价值,在建建筑物价值,建筑物/在建建筑物价值"</formula1>
    </dataValidation>
    <dataValidation type="list" allowBlank="1" showInputMessage="1" showErrorMessage="1" sqref="C129" xr:uid="{00000000-0002-0000-2600-00000F000000}">
      <formula1>"无,有"</formula1>
    </dataValidation>
    <dataValidation type="list" showInputMessage="1" showErrorMessage="1" sqref="G1" xr:uid="{00000000-0002-0000-2600-000010000000}">
      <formula1>"现房,在建,土地,-"</formula1>
    </dataValidation>
    <dataValidation type="list" allowBlank="1" showInputMessage="1" showErrorMessage="1" sqref="I1" xr:uid="{00000000-0002-0000-2600-000011000000}">
      <formula1>"项目局部,项目全部,——"</formula1>
    </dataValidation>
    <dataValidation type="list" allowBlank="1" showInputMessage="1" showErrorMessage="1" sqref="C1" xr:uid="{00000000-0002-0000-2600-000012000000}">
      <formula1>项目类型</formula1>
    </dataValidation>
    <dataValidation type="list" allowBlank="1" showInputMessage="1" showErrorMessage="1" sqref="G77" xr:uid="{00000000-0002-0000-2600-000013000000}">
      <formula1>"个人住宅,2016年5月1日前购买,2016年5月1日后购买"</formula1>
    </dataValidation>
    <dataValidation type="list" allowBlank="1" showInputMessage="1" showErrorMessage="1" sqref="E103" xr:uid="{00000000-0002-0000-2600-000014000000}">
      <formula1>"2.估价师知悉的法定优先受偿款,2.估价师知悉的除抵押担保权以外的法定优先受偿款"</formula1>
    </dataValidation>
    <dataValidation type="list" allowBlank="1" showInputMessage="1" showErrorMessage="1" sqref="H59" xr:uid="{00000000-0002-0000-2600-000015000000}">
      <formula1>"非个人房产,个人住宅（满五唯一有凭证）,个人其他（有凭证）,个人其他（无凭证）"</formula1>
    </dataValidation>
    <dataValidation type="list" allowBlank="1" showInputMessage="1" showErrorMessage="1" sqref="D92" xr:uid="{00000000-0002-0000-26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57"/>
  <sheetViews>
    <sheetView view="pageBreakPreview" zoomScale="80" zoomScaleNormal="70" zoomScaleSheetLayoutView="80" workbookViewId="0">
      <selection activeCell="D25" sqref="D25"/>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t="s">
        <v>48</v>
      </c>
      <c r="C1" s="199"/>
      <c r="D1" s="199"/>
      <c r="E1" s="199"/>
      <c r="F1" s="199"/>
      <c r="G1" s="1282">
        <f>MATCH(B1,'数据-取费表'!A6:A16,0)+5</f>
        <v>8</v>
      </c>
    </row>
    <row r="2" spans="1:9" s="201" customFormat="1" ht="18" customHeight="1">
      <c r="A2" s="202" t="s">
        <v>1359</v>
      </c>
      <c r="B2" s="203">
        <f ca="1">IF(D2="——",C52,C52-E2)</f>
        <v>4082</v>
      </c>
      <c r="C2" s="200" t="s">
        <v>2148</v>
      </c>
      <c r="D2" s="2031" t="s">
        <v>70</v>
      </c>
      <c r="E2" s="1325" t="e">
        <f ca="1">SUMIF(INDIRECT("'"&amp;G2&amp;"'"&amp;"!A:A"),"承租人权益价值",INDIRECT("'"&amp;G2&amp;"'"&amp;"!c:c"))</f>
        <v>#REF!</v>
      </c>
      <c r="F2" s="2032" t="s">
        <v>2148</v>
      </c>
      <c r="G2" s="2033"/>
    </row>
    <row r="3" spans="1:9" s="201" customFormat="1" ht="18" customHeight="1" thickBot="1">
      <c r="A3" s="204" t="s">
        <v>1360</v>
      </c>
      <c r="B3" s="205">
        <f ca="1">ROUND(B2*10000/(IF(B1="",'数据-汇总表'!E3,INDIRECT("'数据-取费表'!k"&amp;$G$1))),0)</f>
        <v>3790</v>
      </c>
      <c r="C3" s="200" t="s">
        <v>2150</v>
      </c>
      <c r="D3" s="200"/>
      <c r="E3" s="200"/>
      <c r="F3" s="200"/>
      <c r="G3" s="200"/>
    </row>
    <row r="4" spans="1:9" s="209" customFormat="1" ht="15.75">
      <c r="A4" s="206" t="s">
        <v>2151</v>
      </c>
      <c r="B4" s="207"/>
      <c r="C4" s="207"/>
      <c r="D4" s="207"/>
      <c r="E4" s="207"/>
      <c r="F4" s="207"/>
      <c r="G4" s="208"/>
    </row>
    <row r="5" spans="1:9" s="215" customFormat="1" ht="13.5" customHeight="1">
      <c r="A5" s="256" t="s">
        <v>782</v>
      </c>
      <c r="B5" s="211" t="s">
        <v>2153</v>
      </c>
      <c r="C5" s="212">
        <f>C6+C7+C8</f>
        <v>1544</v>
      </c>
      <c r="D5" s="212" t="s">
        <v>2154</v>
      </c>
      <c r="E5" s="213" t="s">
        <v>2155</v>
      </c>
      <c r="F5" s="213" t="s">
        <v>2156</v>
      </c>
      <c r="G5" s="214"/>
    </row>
    <row r="6" spans="1:9" s="215" customFormat="1" ht="13.5" customHeight="1">
      <c r="A6" s="880" t="s">
        <v>791</v>
      </c>
      <c r="B6" s="216" t="s">
        <v>2158</v>
      </c>
      <c r="C6" s="217">
        <f>'土地比较法-住宅、综合'!F63</f>
        <v>1498</v>
      </c>
      <c r="D6" s="218"/>
      <c r="E6" s="219"/>
      <c r="F6" s="219"/>
      <c r="G6" s="220"/>
    </row>
    <row r="7" spans="1:9" s="215" customFormat="1" ht="13.5" customHeight="1">
      <c r="A7" s="880" t="s">
        <v>792</v>
      </c>
      <c r="B7" s="216" t="s">
        <v>2160</v>
      </c>
      <c r="C7" s="221">
        <f>ROUND(C6*F7,0)</f>
        <v>46</v>
      </c>
      <c r="D7" s="221"/>
      <c r="E7" s="219"/>
      <c r="F7" s="222">
        <f>IF(项目基本情况!B8="出让",0,'数据-取费表'!B48+'数据-取费表'!B49)</f>
        <v>3.0499999999999999E-2</v>
      </c>
      <c r="G7" s="220"/>
    </row>
    <row r="8" spans="1:9" s="224" customFormat="1">
      <c r="A8" s="880" t="s">
        <v>793</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f ca="1">ROUND(D9*E9/10000,0)</f>
        <v>0</v>
      </c>
      <c r="D9" s="948">
        <f ca="1">IF(B1="",'数据-汇总表'!E5,IF(INDIRECT("'数据-取费表'!c"&amp;$G$1)="住宅",INDIRECT("'数据-取费表'!k"&amp;$G$1),0))</f>
        <v>0</v>
      </c>
      <c r="E9" s="226">
        <f>'数据-取费表'!B27</f>
        <v>0</v>
      </c>
      <c r="F9" s="222"/>
      <c r="G9" s="2035"/>
      <c r="H9" s="1293"/>
      <c r="I9" s="2036" t="s">
        <v>2164</v>
      </c>
    </row>
    <row r="10" spans="1:9" s="215" customFormat="1" ht="13.5" customHeight="1">
      <c r="A10" s="881" t="s">
        <v>801</v>
      </c>
      <c r="B10" s="225" t="s">
        <v>2165</v>
      </c>
      <c r="C10" s="226">
        <f ca="1">ROUND(D10*E10/10000,0)</f>
        <v>0</v>
      </c>
      <c r="D10" s="948">
        <f ca="1">IF(B1="",'数据-汇总表'!E6,IF(INDIRECT("'数据-取费表'!c"&amp;$G$1)="住宅",INDIRECT("'数据-取费表'!s"&amp;$G$1),INDIRECT("'数据-取费表'!k"&amp;$G$1)+INDIRECT("'数据-取费表'!s"&amp;$G$1)))</f>
        <v>10771.04</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2162</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2162</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f ca="1">D9+D10</f>
        <v>10771.04</v>
      </c>
      <c r="E19" s="212">
        <f>'数据-取费表'!B31</f>
        <v>200</v>
      </c>
      <c r="F19" s="232"/>
      <c r="G19" s="2034" t="s">
        <v>3256</v>
      </c>
    </row>
    <row r="20" spans="1:7" s="215" customFormat="1" ht="13.5" customHeight="1">
      <c r="A20" s="256" t="s">
        <v>2178</v>
      </c>
      <c r="B20" s="211" t="s">
        <v>2179</v>
      </c>
      <c r="C20" s="233">
        <f>ROUND((C5+C19)*F20,0)</f>
        <v>46</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41</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791</v>
      </c>
      <c r="B23" s="216" t="s">
        <v>2188</v>
      </c>
      <c r="C23" s="1259">
        <f ca="1">ROUND(IF('数据-取费表'!B22&lt;=1,C5*F22*'数据-取费表'!B23,C5*(POWER((1+F22),'数据-取费表'!B23)-1)),0)</f>
        <v>40</v>
      </c>
      <c r="D23" s="239"/>
      <c r="E23" s="239"/>
      <c r="F23" s="240"/>
      <c r="G23" s="241" t="s">
        <v>2189</v>
      </c>
    </row>
    <row r="24" spans="1:7" s="215" customFormat="1" ht="13.5" customHeight="1">
      <c r="A24" s="882" t="s">
        <v>792</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793</v>
      </c>
      <c r="B25" s="216" t="s">
        <v>2194</v>
      </c>
      <c r="C25" s="1259">
        <f ca="1">ROUND(IF('数据-取费表'!B22&lt;=1,C20*F22*'数据-取费表'!B23/2,C20*(POWER((1+F22),'数据-取费表'!B23/2)-1)),0)</f>
        <v>1</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f ca="1">C28</f>
        <v>24</v>
      </c>
      <c r="D27" s="236">
        <f ca="1">C29</f>
        <v>5.0000000000000001E-4</v>
      </c>
      <c r="E27" s="237" t="s">
        <v>2183</v>
      </c>
      <c r="F27" s="247">
        <f ca="1">IF(B1="",'数据-取费表'!Q16,INDIRECT("'数据-取费表'!q"&amp;$G$1))</f>
        <v>0.05</v>
      </c>
      <c r="G27" s="248" t="s">
        <v>2200</v>
      </c>
    </row>
    <row r="28" spans="1:7" s="215" customFormat="1" ht="13.5" customHeight="1">
      <c r="A28" s="882" t="s">
        <v>791</v>
      </c>
      <c r="B28" s="249" t="s">
        <v>2201</v>
      </c>
      <c r="C28" s="250">
        <f ca="1">ROUND((C5+C19+C20)*F27*'数据-取费表'!B21/'数据-取费表'!B20,0)</f>
        <v>24</v>
      </c>
      <c r="D28" s="236"/>
      <c r="E28" s="237"/>
      <c r="F28" s="247"/>
      <c r="G28" s="248"/>
    </row>
    <row r="29" spans="1:7" s="215" customFormat="1" ht="13.5" customHeight="1">
      <c r="A29" s="882" t="s">
        <v>792</v>
      </c>
      <c r="B29" s="249" t="s">
        <v>2202</v>
      </c>
      <c r="C29" s="239">
        <f ca="1">ROUND(C21*F27*'数据-取费表'!B21/'数据-取费表'!B20,4)</f>
        <v>5.0000000000000001E-4</v>
      </c>
      <c r="D29" s="236"/>
      <c r="E29" s="237"/>
      <c r="F29" s="247"/>
      <c r="G29" s="248"/>
    </row>
    <row r="30" spans="1:7" s="215" customFormat="1" ht="13.5" customHeight="1">
      <c r="A30" s="256" t="s">
        <v>2203</v>
      </c>
      <c r="B30" s="211" t="s">
        <v>2204</v>
      </c>
      <c r="C30" s="236">
        <f>ROUND(F30/(1+'数据-取费表'!C42),4)</f>
        <v>5.2400000000000002E-2</v>
      </c>
      <c r="D30" s="237" t="s">
        <v>2183</v>
      </c>
      <c r="E30" s="242"/>
      <c r="F30" s="238">
        <f>'数据-取费表'!B41</f>
        <v>5.5000000000000007E-2</v>
      </c>
      <c r="G30" s="235" t="s">
        <v>2205</v>
      </c>
    </row>
    <row r="31" spans="1:7" ht="16.5" customHeight="1">
      <c r="A31" s="210">
        <v>1</v>
      </c>
      <c r="B31" s="211" t="s">
        <v>2206</v>
      </c>
      <c r="C31" s="212">
        <f ca="1">ROUND((C5+C19+C20+C22+C27)/(1-C21-D22-D27-C30),0)</f>
        <v>1805</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f ca="1">SUM(C34:C38)</f>
        <v>1905</v>
      </c>
      <c r="D33" s="233"/>
      <c r="E33" s="213"/>
      <c r="F33" s="242"/>
      <c r="G33" s="235"/>
    </row>
    <row r="34" spans="1:7" s="259" customFormat="1" ht="13.5" customHeight="1">
      <c r="A34" s="882" t="s">
        <v>791</v>
      </c>
      <c r="B34" s="216" t="s">
        <v>2210</v>
      </c>
      <c r="C34" s="221">
        <f ca="1">IF(B1="",IF(F34=100%,'数据-取费表'!M16,'数据-取费表'!O16),IF(F34=100%,INDIRECT("'数据-取费表'!m"&amp;$G$1)+INDIRECT("'数据-取费表'!t"&amp;$G$1),INDIRECT("'数据-取费表'!o"&amp;$G$1)+INDIRECT("'数据-取费表'!aq"&amp;$G$1)))</f>
        <v>1724</v>
      </c>
      <c r="D34" s="218"/>
      <c r="E34" s="221"/>
      <c r="F34" s="258">
        <f ca="1">IF('数据-取费表'!B24=0,1,IF(B1="",'数据-取费表'!N16,INDIRECT("'数据-取费表'!n"&amp;$G$1)))</f>
        <v>0.32</v>
      </c>
      <c r="G34" s="220" t="s">
        <v>2211</v>
      </c>
    </row>
    <row r="35" spans="1:7" ht="13.5" customHeight="1">
      <c r="A35" s="882" t="s">
        <v>796</v>
      </c>
      <c r="B35" s="216" t="s">
        <v>2212</v>
      </c>
      <c r="C35" s="221">
        <f ca="1">ROUND(C34*F35,0)</f>
        <v>86</v>
      </c>
      <c r="D35" s="221"/>
      <c r="E35" s="221"/>
      <c r="F35" s="260">
        <f>'数据-取费表'!B33</f>
        <v>0.05</v>
      </c>
      <c r="G35" s="220" t="s">
        <v>2213</v>
      </c>
    </row>
    <row r="36" spans="1:7" ht="24">
      <c r="A36" s="882" t="s">
        <v>797</v>
      </c>
      <c r="B36" s="216" t="s">
        <v>2214</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0.05</v>
      </c>
      <c r="G36" s="261" t="s">
        <v>2215</v>
      </c>
    </row>
    <row r="37" spans="1:7" s="259" customFormat="1" ht="13.5" customHeight="1">
      <c r="A37" s="882" t="s">
        <v>798</v>
      </c>
      <c r="B37" s="216" t="s">
        <v>2216</v>
      </c>
      <c r="C37" s="250">
        <f ca="1">ROUND(E37*D37*F34/10000,0)</f>
        <v>69</v>
      </c>
      <c r="D37" s="218">
        <f ca="1">D19</f>
        <v>10771.04</v>
      </c>
      <c r="E37" s="250">
        <f>'数据-取费表'!B35</f>
        <v>200</v>
      </c>
      <c r="F37" s="260"/>
      <c r="G37" s="262" t="s">
        <v>2217</v>
      </c>
    </row>
    <row r="38" spans="1:7" ht="13.5" customHeight="1">
      <c r="A38" s="882" t="s">
        <v>799</v>
      </c>
      <c r="B38" s="216" t="s">
        <v>2218</v>
      </c>
      <c r="C38" s="221">
        <f ca="1">ROUND(C34*F38,0)</f>
        <v>26</v>
      </c>
      <c r="D38" s="221"/>
      <c r="E38" s="221"/>
      <c r="F38" s="260">
        <f>'数据-取费表'!B36</f>
        <v>1.4999999999999999E-2</v>
      </c>
      <c r="G38" s="220" t="s">
        <v>2213</v>
      </c>
    </row>
    <row r="39" spans="1:7" s="215" customFormat="1" ht="13.5" customHeight="1">
      <c r="A39" s="256" t="s">
        <v>2176</v>
      </c>
      <c r="B39" s="211" t="s">
        <v>2179</v>
      </c>
      <c r="C39" s="233">
        <f ca="1">ROUND(C33*F20,0)</f>
        <v>57</v>
      </c>
      <c r="D39" s="233"/>
      <c r="E39" s="233"/>
      <c r="F39" s="2527">
        <f>F20</f>
        <v>0.03</v>
      </c>
      <c r="G39" s="235" t="s">
        <v>2221</v>
      </c>
    </row>
    <row r="40" spans="1:7" s="215" customFormat="1" ht="13.5" customHeight="1">
      <c r="A40" s="256" t="s">
        <v>2178</v>
      </c>
      <c r="B40" s="211" t="s">
        <v>2182</v>
      </c>
      <c r="C40" s="1488">
        <f>F21</f>
        <v>0.03</v>
      </c>
      <c r="D40" s="237" t="s">
        <v>2224</v>
      </c>
      <c r="E40" s="233"/>
      <c r="F40" s="2527">
        <f>F21</f>
        <v>0.03</v>
      </c>
      <c r="G40" s="235" t="s">
        <v>2225</v>
      </c>
    </row>
    <row r="41" spans="1:7" s="215" customFormat="1" ht="13.5" customHeight="1">
      <c r="A41" s="256" t="s">
        <v>2181</v>
      </c>
      <c r="B41" s="211" t="s">
        <v>2186</v>
      </c>
      <c r="C41" s="233">
        <f ca="1">ROUND(SUM(C42:C43),0)</f>
        <v>25</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2188</v>
      </c>
      <c r="C42" s="239">
        <f ca="1">ROUND(IF('数据-取费表'!B22&lt;=1,C33*F22*'数据-取费表'!B21/2,C33*(POWER((1+F22),'数据-取费表'!B21/2)-1)),0)</f>
        <v>24</v>
      </c>
      <c r="D42" s="239"/>
      <c r="E42" s="239"/>
      <c r="F42" s="240"/>
      <c r="G42" s="3550" t="s">
        <v>2229</v>
      </c>
    </row>
    <row r="43" spans="1:7" ht="13.5" customHeight="1">
      <c r="A43" s="882" t="s">
        <v>792</v>
      </c>
      <c r="B43" s="216" t="s">
        <v>2191</v>
      </c>
      <c r="C43" s="239">
        <f ca="1">ROUND(IF('数据-取费表'!B22&lt;=1,C39*F22*'数据-取费表'!B21/2,C39*(POWER((1+F22),'数据-取费表'!B21/2)-1)),0)</f>
        <v>1</v>
      </c>
      <c r="D43" s="239"/>
      <c r="E43" s="239"/>
      <c r="F43" s="240"/>
      <c r="G43" s="3551"/>
    </row>
    <row r="44" spans="1:7" ht="13.5" customHeight="1">
      <c r="A44" s="882" t="s">
        <v>793</v>
      </c>
      <c r="B44" s="216" t="s">
        <v>2194</v>
      </c>
      <c r="C44" s="239">
        <f ca="1">ROUND(IF('数据-取费表'!B22&lt;=1,C40*F22*'数据-取费表'!B21/2,C40*(POWER((1+F22),'数据-取费表'!B21/2)-1)),4)</f>
        <v>4.0000000000000002E-4</v>
      </c>
      <c r="D44" s="239"/>
      <c r="E44" s="239"/>
      <c r="F44" s="240"/>
      <c r="G44" s="3552"/>
    </row>
    <row r="45" spans="1:7" s="215" customFormat="1" ht="13.5" customHeight="1">
      <c r="A45" s="256" t="s">
        <v>2185</v>
      </c>
      <c r="B45" s="245" t="s">
        <v>2198</v>
      </c>
      <c r="C45" s="246">
        <f ca="1">C46</f>
        <v>98</v>
      </c>
      <c r="D45" s="236">
        <f ca="1">C47</f>
        <v>1.5E-3</v>
      </c>
      <c r="E45" s="237" t="s">
        <v>2224</v>
      </c>
      <c r="F45" s="2529">
        <f ca="1">F27</f>
        <v>0.05</v>
      </c>
      <c r="G45" s="248" t="s">
        <v>2233</v>
      </c>
    </row>
    <row r="46" spans="1:7" s="215" customFormat="1" ht="13.5" customHeight="1">
      <c r="A46" s="882" t="s">
        <v>791</v>
      </c>
      <c r="B46" s="249" t="s">
        <v>2234</v>
      </c>
      <c r="C46" s="250">
        <f ca="1">ROUND((C33+C39)*F27,0)</f>
        <v>98</v>
      </c>
      <c r="D46" s="264"/>
      <c r="E46" s="237"/>
      <c r="F46" s="247"/>
      <c r="G46" s="248"/>
    </row>
    <row r="47" spans="1:7" s="215" customFormat="1" ht="13.5" customHeight="1">
      <c r="A47" s="882" t="s">
        <v>792</v>
      </c>
      <c r="B47" s="249" t="s">
        <v>2235</v>
      </c>
      <c r="C47" s="239">
        <f ca="1">ROUND(C40*F27,4)</f>
        <v>1.5E-3</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f ca="1">ROUND((C33+C39+C41+C45)/(1-C40-D41-D45-C48),0)</f>
        <v>2277</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f ca="1">ROUND(C49*F50,0)</f>
        <v>2277</v>
      </c>
      <c r="D51" s="233"/>
      <c r="E51" s="233"/>
      <c r="F51" s="265"/>
      <c r="G51" s="235" t="s">
        <v>2245</v>
      </c>
    </row>
    <row r="52" spans="1:7" s="209" customFormat="1" ht="16.5" thickBot="1">
      <c r="A52" s="266" t="s">
        <v>2246</v>
      </c>
      <c r="B52" s="267"/>
      <c r="C52" s="268">
        <f ca="1">C31+C51</f>
        <v>4082</v>
      </c>
      <c r="D52" s="267"/>
      <c r="E52" s="267"/>
      <c r="F52" s="267"/>
      <c r="G52" s="269"/>
    </row>
    <row r="55" spans="1:7" ht="15">
      <c r="B55" s="271" t="s">
        <v>2247</v>
      </c>
      <c r="C55" s="272"/>
    </row>
    <row r="56" spans="1:7">
      <c r="B56" s="274" t="s">
        <v>1478</v>
      </c>
      <c r="C56" s="276">
        <f ca="1">1-C57</f>
        <v>0.44199999999999995</v>
      </c>
    </row>
    <row r="57" spans="1:7">
      <c r="B57" s="274" t="s">
        <v>1479</v>
      </c>
      <c r="C57" s="275">
        <f ca="1">ROUND(C51/C52,3)</f>
        <v>0.55800000000000005</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9" xr:uid="{00000000-0002-0000-2700-000003000000}">
      <formula1>"部分缴纳,全部缴纳"</formula1>
    </dataValidation>
    <dataValidation type="list" allowBlank="1" showInputMessage="1" showErrorMessage="1" sqref="G2" xr:uid="{00000000-0002-0000-2700-000004000000}">
      <formula1>估价方法</formula1>
    </dataValidation>
    <dataValidation type="list" allowBlank="1" showInputMessage="1" showErrorMessage="1" sqref="D2" xr:uid="{00000000-0002-0000-2700-000005000000}">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topLeftCell="A19" zoomScale="80" zoomScaleNormal="60" zoomScaleSheetLayoutView="80" workbookViewId="0">
      <selection activeCell="D30" sqref="D30"/>
    </sheetView>
  </sheetViews>
  <sheetFormatPr defaultColWidth="9" defaultRowHeight="14.25"/>
  <cols>
    <col min="1" max="1" width="10.5" style="358" customWidth="1"/>
    <col min="2" max="2" width="15.75" style="358" customWidth="1"/>
    <col min="3" max="3" width="16.125" style="358" customWidth="1"/>
    <col min="4" max="4" width="12.25" style="358" customWidth="1"/>
    <col min="5" max="5" width="16.375" style="358" customWidth="1"/>
    <col min="6" max="6" width="12.25" style="358" customWidth="1"/>
    <col min="7" max="7" width="16.2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103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2524</v>
      </c>
      <c r="B1" s="1384" t="s">
        <v>3058</v>
      </c>
      <c r="C1" s="1385" t="s">
        <v>2347</v>
      </c>
      <c r="D1" s="1386" t="s">
        <v>48</v>
      </c>
      <c r="E1" s="1387"/>
      <c r="F1" s="2057" t="s">
        <v>3257</v>
      </c>
      <c r="G1" s="1388" t="s">
        <v>2460</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3" customFormat="1" ht="28.5" customHeight="1" thickTop="1">
      <c r="A2" s="1382" t="s">
        <v>2147</v>
      </c>
      <c r="B2" s="1320">
        <f>IF(C2="——",IF(B37="元/平方米",ROUND(C39*D3/10000,0),ROUND(F3*C39/10000,0)),IF(B37="元/平方米",ROUND(C39*D3/10000,0),ROUND(F3*C39/10000,0))-D2)</f>
        <v>8695</v>
      </c>
      <c r="C2" s="2059" t="s">
        <v>70</v>
      </c>
      <c r="D2" s="1032" t="e">
        <f ca="1">SUMIF(INDIRECT("'"&amp;F2&amp;"'"&amp;"!A:A"),"承租人权益价值",INDIRECT("'"&amp;F2&amp;"'"&amp;"!c:c"))</f>
        <v>#REF!</v>
      </c>
      <c r="E2" s="2060" t="s">
        <v>2148</v>
      </c>
      <c r="F2" s="2061"/>
      <c r="G2" s="1033"/>
      <c r="H2" s="1033"/>
      <c r="I2" s="1033"/>
      <c r="J2" s="1033"/>
      <c r="K2" s="1035"/>
      <c r="L2" s="2951"/>
      <c r="M2" s="2952"/>
      <c r="N2" s="2952"/>
      <c r="O2" s="2952"/>
      <c r="P2" s="1321"/>
      <c r="Q2" s="703"/>
      <c r="R2" s="703"/>
      <c r="S2" s="703"/>
      <c r="T2" s="703"/>
      <c r="U2" s="703"/>
      <c r="V2" s="703"/>
      <c r="W2" s="703"/>
      <c r="X2" s="703"/>
      <c r="Y2" s="703"/>
      <c r="Z2" s="703"/>
      <c r="AA2" s="703"/>
      <c r="AB2" s="703"/>
      <c r="AC2" s="704"/>
    </row>
    <row r="3" spans="1:29" s="353" customFormat="1" ht="28.5" customHeight="1" thickBot="1">
      <c r="A3" s="204" t="s">
        <v>2149</v>
      </c>
      <c r="B3" s="561">
        <f>IF(AND(C2="——",B37="元/平方米"),C39,ROUND(B2*10000/D3,0))</f>
        <v>8073</v>
      </c>
      <c r="C3" s="355" t="s">
        <v>2461</v>
      </c>
      <c r="D3" s="354">
        <f>SUMIF('数据-汇总表'!$C19:$C33,D1,'数据-汇总表'!$E19:$E33)</f>
        <v>10771.04</v>
      </c>
      <c r="E3" s="355" t="s">
        <v>2525</v>
      </c>
      <c r="F3" s="354">
        <f>SUMIF('数据-取费表'!A5:A15,D1,'数据-取费表'!AH5:AH15)</f>
        <v>236</v>
      </c>
      <c r="G3" s="1033"/>
      <c r="H3" s="1033"/>
      <c r="I3" s="1033"/>
      <c r="J3" s="1033"/>
      <c r="K3" s="1035"/>
      <c r="L3" s="2951"/>
      <c r="M3" s="2952"/>
      <c r="N3" s="2952"/>
      <c r="O3" s="2952"/>
      <c r="P3" s="1321"/>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tr">
        <f>车库案例!A1</f>
        <v>诺德阅墅</v>
      </c>
      <c r="F5" s="3625"/>
      <c r="G5" s="3626" t="str">
        <f>车库案例!A4</f>
        <v>建邦·顺颐府</v>
      </c>
      <c r="H5" s="3627"/>
      <c r="I5" s="3626" t="str">
        <f>车库案例!A10</f>
        <v>公园十七区</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SUMIF(48:48,YEAR(E7)&amp;"-"&amp;MONTH(E7),49:49)</f>
        <v>100</v>
      </c>
      <c r="G7" s="367">
        <f>C7</f>
        <v>44568</v>
      </c>
      <c r="H7" s="366">
        <f>SUMIF(48:48,YEAR(G7)&amp;"-"&amp;MONTH(G7),49:49)</f>
        <v>100</v>
      </c>
      <c r="I7" s="367">
        <f>C7</f>
        <v>44568</v>
      </c>
      <c r="J7" s="366">
        <f>SUMIF(48:48,YEAR(I7)&amp;"-"&amp;MONTH(I7),49:49)</f>
        <v>100</v>
      </c>
      <c r="K7" s="563"/>
      <c r="L7" s="2934"/>
      <c r="M7" s="2935"/>
      <c r="N7" s="2935"/>
      <c r="O7" s="2935"/>
      <c r="P7" s="3584" t="s">
        <v>2366</v>
      </c>
      <c r="Q7" s="3612"/>
      <c r="R7" s="705" t="s">
        <v>17</v>
      </c>
      <c r="S7" s="706">
        <f t="shared" ref="S7:S14" si="0">F7</f>
        <v>100</v>
      </c>
      <c r="T7" s="705" t="s">
        <v>17</v>
      </c>
      <c r="U7" s="706">
        <f t="shared" ref="U7:U14" si="1">H7</f>
        <v>100</v>
      </c>
      <c r="V7" s="705" t="s">
        <v>17</v>
      </c>
      <c r="W7" s="706">
        <f t="shared" ref="W7:W14" si="2">J7</f>
        <v>100</v>
      </c>
      <c r="X7" s="707"/>
      <c r="Y7" s="3584" t="s">
        <v>2366</v>
      </c>
      <c r="Z7" s="3585"/>
      <c r="AA7" s="708">
        <f>D7/F7</f>
        <v>1</v>
      </c>
      <c r="AB7" s="708">
        <f>D7/H7</f>
        <v>1</v>
      </c>
      <c r="AC7" s="708">
        <f>D7/J7</f>
        <v>1</v>
      </c>
    </row>
    <row r="8" spans="1:29" s="108" customFormat="1" ht="15.75" thickBot="1">
      <c r="A8" s="363" t="s">
        <v>2367</v>
      </c>
      <c r="B8" s="364"/>
      <c r="C8" s="369" t="s">
        <v>2469</v>
      </c>
      <c r="D8" s="366">
        <v>100</v>
      </c>
      <c r="E8" s="369" t="s">
        <v>3258</v>
      </c>
      <c r="F8" s="368">
        <f>SUMIF(51:51,E8,52:52)-SUMIF(51:51,C8,52:52)+100</f>
        <v>100</v>
      </c>
      <c r="G8" s="369" t="s">
        <v>3258</v>
      </c>
      <c r="H8" s="366">
        <f>SUMIF(51:51,G8,52:52)-SUMIF(51:51,C8,52:52)+100</f>
        <v>100</v>
      </c>
      <c r="I8" s="369" t="s">
        <v>3258</v>
      </c>
      <c r="J8" s="366">
        <f>SUMIF(51:51,I8,52:52)-SUMIF(51:51,C8,52:52)+100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36" si="3">D8/F8</f>
        <v>1</v>
      </c>
      <c r="AB8" s="708">
        <f t="shared" ref="AB8:AB36" si="4">D8/H8</f>
        <v>1</v>
      </c>
      <c r="AC8" s="708">
        <f t="shared" ref="AC8:AC36" si="5">D8/J8</f>
        <v>1</v>
      </c>
    </row>
    <row r="9" spans="1:29" s="108" customFormat="1">
      <c r="A9" s="60" t="s">
        <v>2370</v>
      </c>
      <c r="B9" s="591" t="s">
        <v>2371</v>
      </c>
      <c r="C9" s="3104" t="s">
        <v>3420</v>
      </c>
      <c r="D9" s="126">
        <v>100</v>
      </c>
      <c r="E9" s="374" t="s">
        <v>48</v>
      </c>
      <c r="F9" s="126">
        <f>SUMIF(53:53,E9,54:54)-SUMIF(53:53,C9,54:54)+100</f>
        <v>100</v>
      </c>
      <c r="G9" s="372" t="s">
        <v>48</v>
      </c>
      <c r="H9" s="126">
        <f>SUMIF(53:53,G9,54:54)-SUMIF(53:53,C9,54:54)+100</f>
        <v>100</v>
      </c>
      <c r="I9" s="372" t="s">
        <v>48</v>
      </c>
      <c r="J9" s="126">
        <f>SUMIF(53:53,I9,54:54)-SUMIF(53:53,C9,54:54)+100</f>
        <v>100</v>
      </c>
      <c r="K9" s="563"/>
      <c r="L9" s="2934"/>
      <c r="M9" s="2935"/>
      <c r="N9" s="2935"/>
      <c r="O9" s="2935"/>
      <c r="P9" s="3598" t="s">
        <v>2372</v>
      </c>
      <c r="Q9" s="1520" t="str">
        <f t="shared" ref="Q9:Q14" si="6">B9</f>
        <v>用途</v>
      </c>
      <c r="R9" s="705" t="s">
        <v>17</v>
      </c>
      <c r="S9" s="706">
        <f t="shared" si="0"/>
        <v>100</v>
      </c>
      <c r="T9" s="705" t="s">
        <v>17</v>
      </c>
      <c r="U9" s="706">
        <f t="shared" si="1"/>
        <v>100</v>
      </c>
      <c r="V9" s="705" t="s">
        <v>17</v>
      </c>
      <c r="W9" s="706">
        <f t="shared" si="2"/>
        <v>100</v>
      </c>
      <c r="X9" s="707"/>
      <c r="Y9" s="3522" t="s">
        <v>2373</v>
      </c>
      <c r="Z9" s="53" t="str">
        <f t="shared" ref="Z9:Z14" si="7">Q9</f>
        <v>用途</v>
      </c>
      <c r="AA9" s="708">
        <f t="shared" si="3"/>
        <v>1</v>
      </c>
      <c r="AB9" s="708">
        <f t="shared" si="4"/>
        <v>1</v>
      </c>
      <c r="AC9" s="708">
        <f t="shared" si="5"/>
        <v>1</v>
      </c>
    </row>
    <row r="10" spans="1:29" s="381" customFormat="1" ht="27">
      <c r="A10" s="592"/>
      <c r="B10" s="593" t="s">
        <v>2374</v>
      </c>
      <c r="C10" s="377" t="s">
        <v>3419</v>
      </c>
      <c r="D10" s="127">
        <v>100</v>
      </c>
      <c r="E10" s="377" t="s">
        <v>3419</v>
      </c>
      <c r="F10" s="127">
        <f>SUMIF(55:55,E10,56:56)-SUMIF(55:55,C10,56:56)+100</f>
        <v>100</v>
      </c>
      <c r="G10" s="378" t="s">
        <v>3419</v>
      </c>
      <c r="H10" s="127">
        <f>SUMIF(55:55,G10,56:56)-SUMIF(55:55,C10,56:56)+100</f>
        <v>100</v>
      </c>
      <c r="I10" s="377" t="s">
        <v>3419</v>
      </c>
      <c r="J10" s="127">
        <f>SUMIF(55:55,I10,56:56)-SUMIF(55:55,C10,56:56)+100</f>
        <v>100</v>
      </c>
      <c r="K10" s="564">
        <v>2</v>
      </c>
      <c r="L10" s="2936"/>
      <c r="M10" s="2937"/>
      <c r="N10" s="2937"/>
      <c r="O10" s="2937"/>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594"/>
      <c r="B11" s="595">
        <v>111</v>
      </c>
      <c r="C11" s="386"/>
      <c r="D11" s="127">
        <v>100</v>
      </c>
      <c r="E11" s="386"/>
      <c r="F11" s="127">
        <f>SUMIF(57:57,E11,58:58)-SUMIF(57:57,C11,58:58)+100</f>
        <v>100</v>
      </c>
      <c r="G11" s="386"/>
      <c r="H11" s="127">
        <f>SUMIF(57:57,G11,58:58)-SUMIF(57:57,C11,58:58)+100</f>
        <v>100</v>
      </c>
      <c r="I11" s="386"/>
      <c r="J11" s="127">
        <f>SUMIF(57:57,I11,58:58)-SUMIF(57:57,C11,58:58)+100</f>
        <v>100</v>
      </c>
      <c r="K11" s="565"/>
      <c r="L11" s="2938"/>
      <c r="M11" s="2933"/>
      <c r="N11" s="2933"/>
      <c r="O11" s="2933"/>
      <c r="P11" s="3598"/>
      <c r="Q11" s="1520">
        <f t="shared" si="6"/>
        <v>111</v>
      </c>
      <c r="R11" s="705" t="s">
        <v>17</v>
      </c>
      <c r="S11" s="706">
        <f t="shared" si="0"/>
        <v>100</v>
      </c>
      <c r="T11" s="705" t="s">
        <v>17</v>
      </c>
      <c r="U11" s="706">
        <f t="shared" si="1"/>
        <v>100</v>
      </c>
      <c r="V11" s="705" t="s">
        <v>17</v>
      </c>
      <c r="W11" s="706">
        <f t="shared" si="2"/>
        <v>100</v>
      </c>
      <c r="X11" s="707"/>
      <c r="Y11" s="3522"/>
      <c r="Z11" s="53">
        <f t="shared" si="7"/>
        <v>111</v>
      </c>
      <c r="AA11" s="708">
        <f t="shared" si="3"/>
        <v>1</v>
      </c>
      <c r="AB11" s="708">
        <f t="shared" si="4"/>
        <v>1</v>
      </c>
      <c r="AC11" s="708">
        <f t="shared" si="5"/>
        <v>1</v>
      </c>
    </row>
    <row r="12" spans="1:29" s="108" customFormat="1" ht="15">
      <c r="A12" s="596"/>
      <c r="B12" s="595">
        <v>111</v>
      </c>
      <c r="C12" s="386"/>
      <c r="D12" s="387">
        <v>100</v>
      </c>
      <c r="E12" s="386"/>
      <c r="F12" s="127">
        <f>SUMIF(59:59,E12,60:60)-SUMIF(59:59,C12,60:60)+100</f>
        <v>100</v>
      </c>
      <c r="G12" s="386"/>
      <c r="H12" s="127">
        <f>SUMIF(59:59,G12,60:60)-SUMIF(59:59,C12,60:60)+100</f>
        <v>100</v>
      </c>
      <c r="I12" s="386"/>
      <c r="J12" s="127">
        <f>SUMIF(59:59,I12,60:60)-SUMIF(59:59,C12,60:60)+100</f>
        <v>100</v>
      </c>
      <c r="K12" s="565"/>
      <c r="L12" s="2934"/>
      <c r="M12" s="2935"/>
      <c r="N12" s="2935"/>
      <c r="O12" s="2935"/>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75" thickBot="1">
      <c r="A13" s="597"/>
      <c r="B13" s="595">
        <v>111</v>
      </c>
      <c r="C13" s="388"/>
      <c r="D13" s="389">
        <v>100</v>
      </c>
      <c r="E13" s="386"/>
      <c r="F13" s="127">
        <f>SUMIF(61:61,E13,62:62)-SUMIF(61:61,C13,62:62)+100</f>
        <v>100</v>
      </c>
      <c r="G13" s="386"/>
      <c r="H13" s="389">
        <f>SUMIF(61:61,G13,62:62)-SUMIF(61:61,C13,62:62)+100</f>
        <v>100</v>
      </c>
      <c r="I13" s="386"/>
      <c r="J13" s="389">
        <f>SUMIF(61:61,I13,62:62)-SUMIF(61:61,C13,62:62)+100</f>
        <v>100</v>
      </c>
      <c r="K13" s="565"/>
      <c r="L13" s="2939"/>
      <c r="M13" s="2933"/>
      <c r="N13" s="2933"/>
      <c r="O13" s="2933"/>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
      <c r="A14" s="356" t="s">
        <v>2376</v>
      </c>
      <c r="B14" s="580" t="s">
        <v>2526</v>
      </c>
      <c r="C14" s="2149" t="str">
        <f>IF(B1="工业",估价对象房地状况!G4,估价对象房地状况!C6)</f>
        <v>一般</v>
      </c>
      <c r="D14" s="395">
        <v>100</v>
      </c>
      <c r="E14" s="396"/>
      <c r="F14" s="397">
        <f>SUMIF(63:63,E15,64:64)-SUMIF(63:63,C15,64:64)+100</f>
        <v>100</v>
      </c>
      <c r="G14" s="398"/>
      <c r="H14" s="395">
        <f>SUMIF(63:63,G15,64:64)-SUMIF(63:63,C15,64:64)+100</f>
        <v>100</v>
      </c>
      <c r="I14" s="396"/>
      <c r="J14" s="395">
        <f>SUMIF(63:63,I15,64:64)-SUMIF(63:63,C15,64:64)+100</f>
        <v>100</v>
      </c>
      <c r="K14" s="566">
        <v>5</v>
      </c>
      <c r="L14" s="2939"/>
      <c r="M14" s="2933"/>
      <c r="N14" s="2933"/>
      <c r="O14" s="2933"/>
      <c r="P14" s="3613" t="s">
        <v>2377</v>
      </c>
      <c r="Q14" s="1529" t="str">
        <f t="shared" si="6"/>
        <v>交通便捷度</v>
      </c>
      <c r="R14" s="709" t="s">
        <v>17</v>
      </c>
      <c r="S14" s="710">
        <f t="shared" si="0"/>
        <v>100</v>
      </c>
      <c r="T14" s="709" t="s">
        <v>17</v>
      </c>
      <c r="U14" s="710">
        <f t="shared" si="1"/>
        <v>100</v>
      </c>
      <c r="V14" s="709" t="s">
        <v>17</v>
      </c>
      <c r="W14" s="710">
        <f t="shared" si="2"/>
        <v>100</v>
      </c>
      <c r="X14" s="1532"/>
      <c r="Y14" s="3613" t="s">
        <v>2377</v>
      </c>
      <c r="Z14" s="1533" t="str">
        <f t="shared" si="7"/>
        <v>交通便捷度</v>
      </c>
      <c r="AA14" s="1530">
        <f t="shared" si="3"/>
        <v>1</v>
      </c>
      <c r="AB14" s="1530">
        <f t="shared" si="4"/>
        <v>1</v>
      </c>
      <c r="AC14" s="1530">
        <f t="shared" si="5"/>
        <v>1</v>
      </c>
    </row>
    <row r="15" spans="1:29" ht="15">
      <c r="A15" s="359"/>
      <c r="B15" s="598"/>
      <c r="C15" s="401" t="s">
        <v>3393</v>
      </c>
      <c r="D15" s="402"/>
      <c r="E15" s="401" t="s">
        <v>3393</v>
      </c>
      <c r="F15" s="403"/>
      <c r="G15" s="401" t="s">
        <v>3393</v>
      </c>
      <c r="H15" s="404"/>
      <c r="I15" s="401" t="s">
        <v>3393</v>
      </c>
      <c r="J15" s="402"/>
      <c r="K15" s="567"/>
      <c r="L15" s="2939"/>
      <c r="M15" s="2933"/>
      <c r="N15" s="2933"/>
      <c r="O15" s="2933"/>
      <c r="P15" s="3614"/>
      <c r="Q15" s="1529"/>
      <c r="R15" s="709"/>
      <c r="S15" s="710"/>
      <c r="T15" s="709"/>
      <c r="U15" s="710"/>
      <c r="V15" s="709"/>
      <c r="W15" s="710"/>
      <c r="X15" s="1532"/>
      <c r="Y15" s="3614"/>
      <c r="Z15" s="1533"/>
      <c r="AA15" s="1530">
        <v>1</v>
      </c>
      <c r="AB15" s="1530">
        <v>1</v>
      </c>
      <c r="AC15" s="1530">
        <v>1</v>
      </c>
    </row>
    <row r="16" spans="1:29" ht="15">
      <c r="A16" s="359"/>
      <c r="B16" s="582" t="s">
        <v>2505</v>
      </c>
      <c r="C16" s="2078" t="str">
        <f>IF(B1="工业",估价对象房地状况!G5,估价对象房地状况!C7)</f>
        <v>一般</v>
      </c>
      <c r="D16" s="409">
        <v>100</v>
      </c>
      <c r="E16" s="411"/>
      <c r="F16" s="412">
        <f>SUMIF(65:65,E17,66:66)-SUMIF(65:65,C17,66:66)+100</f>
        <v>102</v>
      </c>
      <c r="G16" s="413"/>
      <c r="H16" s="409">
        <f>SUMIF(65:65,G17,66:66)-SUMIF(65:65,C17,66:66)+100</f>
        <v>102</v>
      </c>
      <c r="I16" s="411"/>
      <c r="J16" s="409">
        <f>SUMIF(65:65,I17,66:66)-SUMIF(65:65,C17,66:66)+100</f>
        <v>102</v>
      </c>
      <c r="K16" s="566">
        <v>2</v>
      </c>
      <c r="L16" s="2939"/>
      <c r="M16" s="2933"/>
      <c r="N16" s="2933"/>
      <c r="O16" s="2933"/>
      <c r="P16" s="3614"/>
      <c r="Q16" s="1529" t="str">
        <f>B16</f>
        <v>公共配套设施</v>
      </c>
      <c r="R16" s="709" t="s">
        <v>17</v>
      </c>
      <c r="S16" s="710">
        <f>F16</f>
        <v>102</v>
      </c>
      <c r="T16" s="709" t="s">
        <v>17</v>
      </c>
      <c r="U16" s="710">
        <f>H16</f>
        <v>102</v>
      </c>
      <c r="V16" s="709" t="s">
        <v>17</v>
      </c>
      <c r="W16" s="710">
        <f>J16</f>
        <v>102</v>
      </c>
      <c r="X16" s="1532"/>
      <c r="Y16" s="3614"/>
      <c r="Z16" s="1533" t="str">
        <f>Q16</f>
        <v>公共配套设施</v>
      </c>
      <c r="AA16" s="1530">
        <f t="shared" si="3"/>
        <v>0.98039215686274506</v>
      </c>
      <c r="AB16" s="1530">
        <f t="shared" si="4"/>
        <v>0.98039215686274506</v>
      </c>
      <c r="AC16" s="1530">
        <f t="shared" si="5"/>
        <v>0.98039215686274506</v>
      </c>
    </row>
    <row r="17" spans="1:29" ht="15">
      <c r="A17" s="359"/>
      <c r="B17" s="583"/>
      <c r="C17" s="2079" t="s">
        <v>3393</v>
      </c>
      <c r="D17" s="402"/>
      <c r="E17" s="401" t="s">
        <v>3394</v>
      </c>
      <c r="F17" s="403"/>
      <c r="G17" s="401" t="s">
        <v>3394</v>
      </c>
      <c r="H17" s="402"/>
      <c r="I17" s="401" t="s">
        <v>3394</v>
      </c>
      <c r="J17" s="402"/>
      <c r="K17" s="567"/>
      <c r="L17" s="2939"/>
      <c r="M17" s="2933"/>
      <c r="N17" s="2933"/>
      <c r="O17" s="2933"/>
      <c r="P17" s="3614"/>
      <c r="Q17" s="1529"/>
      <c r="R17" s="709"/>
      <c r="S17" s="710"/>
      <c r="T17" s="709"/>
      <c r="U17" s="710"/>
      <c r="V17" s="709"/>
      <c r="W17" s="710"/>
      <c r="X17" s="1532"/>
      <c r="Y17" s="3614"/>
      <c r="Z17" s="1533"/>
      <c r="AA17" s="1530">
        <v>1</v>
      </c>
      <c r="AB17" s="1530">
        <v>1</v>
      </c>
      <c r="AC17" s="1530">
        <v>1</v>
      </c>
    </row>
    <row r="18" spans="1:29" ht="15">
      <c r="A18" s="359"/>
      <c r="B18" s="584" t="s">
        <v>2506</v>
      </c>
      <c r="C18" s="2078" t="str">
        <f>IF(B1="工业",估价对象房地状况!G6,估价对象房地状况!C8)</f>
        <v>七通</v>
      </c>
      <c r="D18" s="404">
        <v>100</v>
      </c>
      <c r="E18" s="406"/>
      <c r="F18" s="412">
        <f>SUMIF(67:67,E19,68:68)-SUMIF(67:67,C19,68:68)+100</f>
        <v>100</v>
      </c>
      <c r="G18" s="408"/>
      <c r="H18" s="409">
        <f>SUMIF(67:67,G19,68:68)-SUMIF(67:67,C19,68:68)+100</f>
        <v>100</v>
      </c>
      <c r="I18" s="406"/>
      <c r="J18" s="409">
        <f>SUMIF(67:67,I19,68:68)-SUMIF(67:67,C19,68:68)+100</f>
        <v>100</v>
      </c>
      <c r="K18" s="566">
        <v>2</v>
      </c>
      <c r="L18" s="2939"/>
      <c r="M18" s="2933"/>
      <c r="N18" s="2933"/>
      <c r="O18" s="2933"/>
      <c r="P18" s="3614"/>
      <c r="Q18" s="1529" t="str">
        <f>B18</f>
        <v>基础设施水平</v>
      </c>
      <c r="R18" s="709" t="s">
        <v>17</v>
      </c>
      <c r="S18" s="710">
        <f>F18</f>
        <v>100</v>
      </c>
      <c r="T18" s="709" t="s">
        <v>17</v>
      </c>
      <c r="U18" s="710">
        <f>H18</f>
        <v>100</v>
      </c>
      <c r="V18" s="709" t="s">
        <v>17</v>
      </c>
      <c r="W18" s="710">
        <f>J18</f>
        <v>100</v>
      </c>
      <c r="X18" s="1532"/>
      <c r="Y18" s="3614"/>
      <c r="Z18" s="1533" t="str">
        <f>Q18</f>
        <v>基础设施水平</v>
      </c>
      <c r="AA18" s="1530">
        <f t="shared" ref="AA18" si="8">D18/F18</f>
        <v>1</v>
      </c>
      <c r="AB18" s="1530">
        <f t="shared" ref="AB18" si="9">D18/H18</f>
        <v>1</v>
      </c>
      <c r="AC18" s="1530">
        <f t="shared" ref="AC18" si="10">D18/J18</f>
        <v>1</v>
      </c>
    </row>
    <row r="19" spans="1:29" ht="15">
      <c r="A19" s="359"/>
      <c r="B19" s="584"/>
      <c r="C19" s="2079" t="s">
        <v>3359</v>
      </c>
      <c r="D19" s="404"/>
      <c r="E19" s="2079" t="s">
        <v>3359</v>
      </c>
      <c r="F19" s="407"/>
      <c r="G19" s="2079" t="s">
        <v>3359</v>
      </c>
      <c r="H19" s="402"/>
      <c r="I19" s="401" t="s">
        <v>3359</v>
      </c>
      <c r="J19" s="402"/>
      <c r="K19" s="1286"/>
      <c r="L19" s="2939"/>
      <c r="M19" s="2933"/>
      <c r="N19" s="2933"/>
      <c r="O19" s="2933"/>
      <c r="P19" s="3614"/>
      <c r="Q19" s="1529"/>
      <c r="R19" s="709"/>
      <c r="S19" s="710"/>
      <c r="T19" s="709"/>
      <c r="U19" s="710"/>
      <c r="V19" s="709"/>
      <c r="W19" s="710"/>
      <c r="X19" s="1532"/>
      <c r="Y19" s="3614"/>
      <c r="Z19" s="1533"/>
      <c r="AA19" s="1530">
        <v>1</v>
      </c>
      <c r="AB19" s="1530">
        <v>1</v>
      </c>
      <c r="AC19" s="1530">
        <v>1</v>
      </c>
    </row>
    <row r="20" spans="1:29" ht="15">
      <c r="A20" s="359"/>
      <c r="B20" s="582" t="s">
        <v>2527</v>
      </c>
      <c r="C20" s="2078" t="str">
        <f>IF(B1="工业",估价对象房地状况!G7,估价对象房地状况!C9)</f>
        <v>一般</v>
      </c>
      <c r="D20" s="409">
        <v>100</v>
      </c>
      <c r="E20" s="411"/>
      <c r="F20" s="412">
        <f>SUMIF(69:69,E21,70:70)-SUMIF(69:69,C21,70:70)+100</f>
        <v>100</v>
      </c>
      <c r="G20" s="413"/>
      <c r="H20" s="404">
        <f>SUMIF(69:69,G21,70:70)-SUMIF(69:69,C21,70:70)+100</f>
        <v>100</v>
      </c>
      <c r="I20" s="406"/>
      <c r="J20" s="404">
        <f>SUMIF(69:69,I21,70:70)-SUMIF(69:69,C21,70:70)+100</f>
        <v>100</v>
      </c>
      <c r="K20" s="566">
        <v>2</v>
      </c>
      <c r="L20" s="2939"/>
      <c r="M20" s="2933"/>
      <c r="N20" s="2933"/>
      <c r="O20" s="2933"/>
      <c r="P20" s="3614"/>
      <c r="Q20" s="1529" t="str">
        <f>B20</f>
        <v>自然及人文环境</v>
      </c>
      <c r="R20" s="709" t="s">
        <v>17</v>
      </c>
      <c r="S20" s="710">
        <f>F20</f>
        <v>100</v>
      </c>
      <c r="T20" s="709" t="s">
        <v>17</v>
      </c>
      <c r="U20" s="710">
        <f>H20</f>
        <v>100</v>
      </c>
      <c r="V20" s="709" t="s">
        <v>17</v>
      </c>
      <c r="W20" s="710">
        <f>J20</f>
        <v>100</v>
      </c>
      <c r="X20" s="1532"/>
      <c r="Y20" s="3614"/>
      <c r="Z20" s="1533" t="str">
        <f>Q20</f>
        <v>自然及人文环境</v>
      </c>
      <c r="AA20" s="1530">
        <f t="shared" si="3"/>
        <v>1</v>
      </c>
      <c r="AB20" s="1530">
        <f t="shared" si="4"/>
        <v>1</v>
      </c>
      <c r="AC20" s="1530">
        <f t="shared" si="5"/>
        <v>1</v>
      </c>
    </row>
    <row r="21" spans="1:29" ht="15">
      <c r="A21" s="359"/>
      <c r="B21" s="583"/>
      <c r="C21" s="401" t="s">
        <v>3393</v>
      </c>
      <c r="D21" s="402"/>
      <c r="E21" s="401" t="s">
        <v>3393</v>
      </c>
      <c r="F21" s="403"/>
      <c r="G21" s="401" t="s">
        <v>3393</v>
      </c>
      <c r="H21" s="402"/>
      <c r="I21" s="401" t="s">
        <v>3393</v>
      </c>
      <c r="J21" s="402"/>
      <c r="K21" s="567"/>
      <c r="L21" s="2939"/>
      <c r="M21" s="2933"/>
      <c r="N21" s="2933"/>
      <c r="O21" s="2933"/>
      <c r="P21" s="3614"/>
      <c r="Q21" s="1529"/>
      <c r="R21" s="709"/>
      <c r="S21" s="710"/>
      <c r="T21" s="709"/>
      <c r="U21" s="710"/>
      <c r="V21" s="709"/>
      <c r="W21" s="710"/>
      <c r="X21" s="1532"/>
      <c r="Y21" s="3614"/>
      <c r="Z21" s="1533"/>
      <c r="AA21" s="1530">
        <v>1</v>
      </c>
      <c r="AB21" s="1530">
        <v>1</v>
      </c>
      <c r="AC21" s="1530">
        <v>1</v>
      </c>
    </row>
    <row r="22" spans="1:29" ht="15">
      <c r="A22" s="359"/>
      <c r="B22" s="582" t="s">
        <v>2528</v>
      </c>
      <c r="C22" s="568"/>
      <c r="D22" s="404">
        <v>100</v>
      </c>
      <c r="E22" s="568"/>
      <c r="F22" s="415">
        <f>SUMIF(71:71,E22,72:72)-SUMIF(71:71,C22,72:72)+100</f>
        <v>100</v>
      </c>
      <c r="G22" s="568"/>
      <c r="H22" s="389">
        <f>SUMIF(71:71,G22,72:72)-SUMIF(71:71,C22,72:72)+100</f>
        <v>100</v>
      </c>
      <c r="I22" s="568"/>
      <c r="J22" s="389">
        <f>SUMIF(71:71,I22,72:72)-SUMIF(71:71,C22,72:72)+100</f>
        <v>100</v>
      </c>
      <c r="K22" s="564"/>
      <c r="L22" s="2939"/>
      <c r="M22" s="2933"/>
      <c r="N22" s="2933"/>
      <c r="O22" s="2933"/>
      <c r="P22" s="3614"/>
      <c r="Q22" s="1529" t="str">
        <f>B22</f>
        <v>楼层</v>
      </c>
      <c r="R22" s="709" t="s">
        <v>17</v>
      </c>
      <c r="S22" s="710">
        <f>F22</f>
        <v>100</v>
      </c>
      <c r="T22" s="709" t="s">
        <v>17</v>
      </c>
      <c r="U22" s="710">
        <f>H22</f>
        <v>100</v>
      </c>
      <c r="V22" s="709" t="s">
        <v>17</v>
      </c>
      <c r="W22" s="710">
        <f>J22</f>
        <v>100</v>
      </c>
      <c r="X22" s="1532"/>
      <c r="Y22" s="3614"/>
      <c r="Z22" s="1533" t="str">
        <f>Q22</f>
        <v>楼层</v>
      </c>
      <c r="AA22" s="1530">
        <f t="shared" si="3"/>
        <v>1</v>
      </c>
      <c r="AB22" s="1530">
        <f t="shared" si="4"/>
        <v>1</v>
      </c>
      <c r="AC22" s="1530">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939"/>
      <c r="M23" s="2933"/>
      <c r="N23" s="2933"/>
      <c r="O23" s="2933"/>
      <c r="P23" s="3614"/>
      <c r="Q23" s="1529">
        <f>B23</f>
        <v>111</v>
      </c>
      <c r="R23" s="709" t="s">
        <v>17</v>
      </c>
      <c r="S23" s="710">
        <f>F23</f>
        <v>100</v>
      </c>
      <c r="T23" s="709" t="s">
        <v>17</v>
      </c>
      <c r="U23" s="710">
        <f>H23</f>
        <v>100</v>
      </c>
      <c r="V23" s="709" t="s">
        <v>17</v>
      </c>
      <c r="W23" s="710">
        <f>J23</f>
        <v>100</v>
      </c>
      <c r="X23" s="1532"/>
      <c r="Y23" s="3614"/>
      <c r="Z23" s="1533">
        <f>Q23</f>
        <v>111</v>
      </c>
      <c r="AA23" s="1530">
        <f t="shared" si="3"/>
        <v>1</v>
      </c>
      <c r="AB23" s="1530">
        <f t="shared" si="4"/>
        <v>1</v>
      </c>
      <c r="AC23" s="1530">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939"/>
      <c r="M24" s="2933"/>
      <c r="N24" s="2933"/>
      <c r="O24" s="2933"/>
      <c r="P24" s="3614"/>
      <c r="Q24" s="1529">
        <f t="shared" ref="Q24:Q36" si="11">B24</f>
        <v>111</v>
      </c>
      <c r="R24" s="709" t="s">
        <v>17</v>
      </c>
      <c r="S24" s="710">
        <f>F24</f>
        <v>100</v>
      </c>
      <c r="T24" s="709" t="s">
        <v>17</v>
      </c>
      <c r="U24" s="710">
        <f>H24</f>
        <v>100</v>
      </c>
      <c r="V24" s="709" t="s">
        <v>17</v>
      </c>
      <c r="W24" s="710">
        <f>J24</f>
        <v>100</v>
      </c>
      <c r="X24" s="1532"/>
      <c r="Y24" s="3614"/>
      <c r="Z24" s="1533">
        <f>Q24</f>
        <v>111</v>
      </c>
      <c r="AA24" s="1530">
        <f t="shared" si="3"/>
        <v>1</v>
      </c>
      <c r="AB24" s="1530">
        <f t="shared" si="4"/>
        <v>1</v>
      </c>
      <c r="AC24" s="1530">
        <f t="shared" si="5"/>
        <v>1</v>
      </c>
    </row>
    <row r="25" spans="1:29" s="108"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934"/>
      <c r="M25" s="2935"/>
      <c r="N25" s="2935"/>
      <c r="O25" s="2935"/>
      <c r="P25" s="3614"/>
      <c r="Q25" s="1520">
        <f t="shared" si="11"/>
        <v>111</v>
      </c>
      <c r="R25" s="705" t="s">
        <v>17</v>
      </c>
      <c r="S25" s="706">
        <f>F25</f>
        <v>100</v>
      </c>
      <c r="T25" s="705" t="s">
        <v>17</v>
      </c>
      <c r="U25" s="706">
        <f>H25</f>
        <v>100</v>
      </c>
      <c r="V25" s="705" t="s">
        <v>17</v>
      </c>
      <c r="W25" s="706">
        <f>J25</f>
        <v>100</v>
      </c>
      <c r="X25" s="707"/>
      <c r="Y25" s="3614"/>
      <c r="Z25" s="53">
        <f>Q25</f>
        <v>111</v>
      </c>
      <c r="AA25" s="1530">
        <f>D25/F25</f>
        <v>1</v>
      </c>
      <c r="AB25" s="1530">
        <f>D25/H25</f>
        <v>1</v>
      </c>
      <c r="AC25" s="1530">
        <f>D25/J25</f>
        <v>1</v>
      </c>
    </row>
    <row r="26" spans="1:29" ht="28.5">
      <c r="A26" s="603" t="s">
        <v>2380</v>
      </c>
      <c r="B26" s="62" t="s">
        <v>2529</v>
      </c>
      <c r="C26" s="2150" t="str">
        <f>B1</f>
        <v>住宅</v>
      </c>
      <c r="D26" s="402">
        <v>100</v>
      </c>
      <c r="E26" s="401" t="s">
        <v>3058</v>
      </c>
      <c r="F26" s="403">
        <f>SUMIF(79:79,E26,80:80)-SUMIF(79:79,C26,80:80)+100</f>
        <v>100</v>
      </c>
      <c r="G26" s="401" t="s">
        <v>3058</v>
      </c>
      <c r="H26" s="402">
        <f>SUMIF(79:79,G26,80:80)-SUMIF(79:79,C26,80:80)+100</f>
        <v>100</v>
      </c>
      <c r="I26" s="401" t="s">
        <v>3058</v>
      </c>
      <c r="J26" s="402">
        <f>SUMIF(79:79,I26,80:80)-SUMIF(79:79,C26,80:80)+100</f>
        <v>100</v>
      </c>
      <c r="K26" s="564">
        <v>2</v>
      </c>
      <c r="L26" s="2939"/>
      <c r="M26" s="2933"/>
      <c r="N26" s="2933"/>
      <c r="O26" s="2933"/>
      <c r="P26" s="3615" t="s">
        <v>2382</v>
      </c>
      <c r="Q26" s="1529" t="str">
        <f t="shared" si="11"/>
        <v>配套类型</v>
      </c>
      <c r="R26" s="709" t="s">
        <v>17</v>
      </c>
      <c r="S26" s="710">
        <f t="shared" ref="S26:S36" si="12">F26</f>
        <v>100</v>
      </c>
      <c r="T26" s="709" t="s">
        <v>17</v>
      </c>
      <c r="U26" s="710">
        <f t="shared" ref="U26:U36" si="13">H26</f>
        <v>100</v>
      </c>
      <c r="V26" s="709" t="s">
        <v>17</v>
      </c>
      <c r="W26" s="710">
        <f t="shared" ref="W26:W36" si="14">J26</f>
        <v>100</v>
      </c>
      <c r="X26" s="1532"/>
      <c r="Y26" s="3616" t="s">
        <v>2382</v>
      </c>
      <c r="Z26" s="1533" t="str">
        <f t="shared" ref="Z26:Z36" si="15">Q26</f>
        <v>配套类型</v>
      </c>
      <c r="AA26" s="1530">
        <f t="shared" si="3"/>
        <v>1</v>
      </c>
      <c r="AB26" s="1530">
        <f t="shared" si="4"/>
        <v>1</v>
      </c>
      <c r="AC26" s="1530">
        <f t="shared" si="5"/>
        <v>1</v>
      </c>
    </row>
    <row r="27" spans="1:29" s="425" customFormat="1" ht="15">
      <c r="A27" s="604"/>
      <c r="B27" s="605" t="s">
        <v>2530</v>
      </c>
      <c r="C27" s="606" t="s">
        <v>3430</v>
      </c>
      <c r="D27" s="127">
        <v>100</v>
      </c>
      <c r="E27" s="606" t="s">
        <v>3434</v>
      </c>
      <c r="F27" s="415">
        <f>SUMIF(81:81,E27,82:82)-SUMIF(81:81,C27,82:82)+100</f>
        <v>97.5</v>
      </c>
      <c r="G27" s="606" t="s">
        <v>3434</v>
      </c>
      <c r="H27" s="389">
        <f>SUMIF(81:81,G27,82:82)-SUMIF(81:81,C27,82:82)+100</f>
        <v>97.5</v>
      </c>
      <c r="I27" s="606" t="s">
        <v>3432</v>
      </c>
      <c r="J27" s="389">
        <f>SUMIF(81:81,I27,82:82)-SUMIF(81:81,C27,82:82)+100</f>
        <v>96</v>
      </c>
      <c r="K27" s="565"/>
      <c r="L27" s="2938"/>
      <c r="M27" s="2940"/>
      <c r="N27" s="2940"/>
      <c r="O27" s="2940"/>
      <c r="P27" s="3616"/>
      <c r="Q27" s="711" t="str">
        <f t="shared" si="11"/>
        <v>项目停车位配比</v>
      </c>
      <c r="R27" s="712" t="s">
        <v>17</v>
      </c>
      <c r="S27" s="713">
        <f t="shared" si="12"/>
        <v>97.5</v>
      </c>
      <c r="T27" s="712" t="s">
        <v>17</v>
      </c>
      <c r="U27" s="713">
        <f t="shared" si="13"/>
        <v>97.5</v>
      </c>
      <c r="V27" s="712" t="s">
        <v>17</v>
      </c>
      <c r="W27" s="713">
        <f t="shared" si="14"/>
        <v>96</v>
      </c>
      <c r="X27" s="714"/>
      <c r="Y27" s="3616"/>
      <c r="Z27" s="715" t="str">
        <f t="shared" si="15"/>
        <v>项目停车位配比</v>
      </c>
      <c r="AA27" s="1530">
        <f t="shared" si="3"/>
        <v>1.0256410256410255</v>
      </c>
      <c r="AB27" s="1530">
        <f t="shared" si="4"/>
        <v>1.0256410256410255</v>
      </c>
      <c r="AC27" s="1530">
        <f t="shared" si="5"/>
        <v>1.0416666666666667</v>
      </c>
    </row>
    <row r="28" spans="1:29" ht="15">
      <c r="A28" s="607"/>
      <c r="B28" s="605" t="s">
        <v>2531</v>
      </c>
      <c r="C28" s="414"/>
      <c r="D28" s="389">
        <v>100</v>
      </c>
      <c r="E28" s="414"/>
      <c r="F28" s="415">
        <f>SUMIF(83:83,E28,84:84)-SUMIF(83:83,C28,84:84)+100</f>
        <v>100</v>
      </c>
      <c r="G28" s="414"/>
      <c r="H28" s="389">
        <f>SUMIF(83:83,G28,84:84)-SUMIF(83:83,C28,84:84)+100</f>
        <v>100</v>
      </c>
      <c r="I28" s="414"/>
      <c r="J28" s="389">
        <f>SUMIF(83:83,I28,84:84)-SUMIF(83:83,C28,84:84)+100</f>
        <v>100</v>
      </c>
      <c r="K28" s="564"/>
      <c r="L28" s="2939"/>
      <c r="M28" s="2933"/>
      <c r="N28" s="2933"/>
      <c r="O28" s="2933"/>
      <c r="P28" s="3616"/>
      <c r="Q28" s="1529" t="str">
        <f t="shared" si="11"/>
        <v>公共部分装修</v>
      </c>
      <c r="R28" s="709" t="s">
        <v>17</v>
      </c>
      <c r="S28" s="710">
        <f t="shared" si="12"/>
        <v>100</v>
      </c>
      <c r="T28" s="709" t="s">
        <v>17</v>
      </c>
      <c r="U28" s="710">
        <f t="shared" si="13"/>
        <v>100</v>
      </c>
      <c r="V28" s="709" t="s">
        <v>17</v>
      </c>
      <c r="W28" s="710">
        <f t="shared" si="14"/>
        <v>100</v>
      </c>
      <c r="X28" s="1532"/>
      <c r="Y28" s="3616"/>
      <c r="Z28" s="1533" t="str">
        <f t="shared" si="15"/>
        <v>公共部分装修</v>
      </c>
      <c r="AA28" s="1530">
        <f t="shared" si="3"/>
        <v>1</v>
      </c>
      <c r="AB28" s="1530">
        <f t="shared" si="4"/>
        <v>1</v>
      </c>
      <c r="AC28" s="1530">
        <f t="shared" si="5"/>
        <v>1</v>
      </c>
    </row>
    <row r="29" spans="1:29" ht="15">
      <c r="A29" s="607"/>
      <c r="B29" s="605" t="s">
        <v>2532</v>
      </c>
      <c r="C29" s="428">
        <v>1</v>
      </c>
      <c r="D29" s="389">
        <v>100</v>
      </c>
      <c r="E29" s="428">
        <v>1</v>
      </c>
      <c r="F29" s="415">
        <f>LOOKUP(E29,86:86,87:87)-LOOKUP(C29,86:86,87:87)+100</f>
        <v>100</v>
      </c>
      <c r="G29" s="428">
        <v>1</v>
      </c>
      <c r="H29" s="415">
        <f>LOOKUP(G29,86:86,87:87)-LOOKUP(C29,86:86,87:87)+100</f>
        <v>100</v>
      </c>
      <c r="I29" s="428">
        <v>1</v>
      </c>
      <c r="J29" s="389">
        <f>LOOKUP(I29,86:86,87:87)-LOOKUP(C29,86:86,87:87)+100</f>
        <v>100</v>
      </c>
      <c r="K29" s="564">
        <v>2</v>
      </c>
      <c r="L29" s="2939"/>
      <c r="M29" s="2933"/>
      <c r="N29" s="2933"/>
      <c r="O29" s="2933"/>
      <c r="P29" s="3616"/>
      <c r="Q29" s="1529" t="str">
        <f t="shared" si="11"/>
        <v>成新率</v>
      </c>
      <c r="R29" s="709" t="s">
        <v>17</v>
      </c>
      <c r="S29" s="710">
        <f t="shared" si="12"/>
        <v>100</v>
      </c>
      <c r="T29" s="709" t="s">
        <v>17</v>
      </c>
      <c r="U29" s="710">
        <f t="shared" si="13"/>
        <v>100</v>
      </c>
      <c r="V29" s="709" t="s">
        <v>17</v>
      </c>
      <c r="W29" s="710">
        <f t="shared" si="14"/>
        <v>100</v>
      </c>
      <c r="X29" s="1532"/>
      <c r="Y29" s="3616"/>
      <c r="Z29" s="1533" t="str">
        <f t="shared" si="15"/>
        <v>成新率</v>
      </c>
      <c r="AA29" s="1530">
        <f t="shared" si="3"/>
        <v>1</v>
      </c>
      <c r="AB29" s="1530">
        <f t="shared" si="4"/>
        <v>1</v>
      </c>
      <c r="AC29" s="1530">
        <f t="shared" si="5"/>
        <v>1</v>
      </c>
    </row>
    <row r="30" spans="1:29" ht="15">
      <c r="A30" s="607"/>
      <c r="B30" s="605" t="s">
        <v>2533</v>
      </c>
      <c r="C30" s="608"/>
      <c r="D30" s="389">
        <v>100</v>
      </c>
      <c r="E30" s="608"/>
      <c r="F30" s="415">
        <f>SUMIF(88:88,E30,89:89)-SUMIF(88:88,C30,89:89)+100</f>
        <v>100</v>
      </c>
      <c r="G30" s="608"/>
      <c r="H30" s="389">
        <f>SUMIF(88:88,E30,89:89)-SUMIF(88:88,C30,89:89)+100</f>
        <v>100</v>
      </c>
      <c r="I30" s="608"/>
      <c r="J30" s="389">
        <f>SUMIF(88:88,E30,89:89)-SUMIF(88:88,C30,89:89)+100</f>
        <v>100</v>
      </c>
      <c r="K30" s="564">
        <v>2</v>
      </c>
      <c r="L30" s="2939"/>
      <c r="M30" s="2933"/>
      <c r="N30" s="2933"/>
      <c r="O30" s="2933"/>
      <c r="P30" s="3616"/>
      <c r="Q30" s="1529" t="str">
        <f t="shared" si="11"/>
        <v>物业等级</v>
      </c>
      <c r="R30" s="709" t="s">
        <v>17</v>
      </c>
      <c r="S30" s="710">
        <f t="shared" si="12"/>
        <v>100</v>
      </c>
      <c r="T30" s="709" t="s">
        <v>17</v>
      </c>
      <c r="U30" s="710">
        <f t="shared" si="13"/>
        <v>100</v>
      </c>
      <c r="V30" s="709" t="s">
        <v>17</v>
      </c>
      <c r="W30" s="710">
        <f t="shared" si="14"/>
        <v>100</v>
      </c>
      <c r="X30" s="1532"/>
      <c r="Y30" s="3616"/>
      <c r="Z30" s="1533" t="str">
        <f t="shared" si="15"/>
        <v>物业等级</v>
      </c>
      <c r="AA30" s="1530">
        <f t="shared" si="3"/>
        <v>1</v>
      </c>
      <c r="AB30" s="1530">
        <f t="shared" si="4"/>
        <v>1</v>
      </c>
      <c r="AC30" s="1530">
        <f t="shared" si="5"/>
        <v>1</v>
      </c>
    </row>
    <row r="31" spans="1:29" s="108" customFormat="1" ht="15">
      <c r="A31" s="609"/>
      <c r="B31" s="605" t="s">
        <v>2534</v>
      </c>
      <c r="C31" s="423"/>
      <c r="D31" s="127">
        <v>100</v>
      </c>
      <c r="E31" s="423"/>
      <c r="F31" s="415">
        <f>LOOKUP(E31,91:91,92:92)-LOOKUP(C31,91:91,92:92)+100</f>
        <v>100</v>
      </c>
      <c r="G31" s="423"/>
      <c r="H31" s="389">
        <f>LOOKUP(G31,91:91,92:92)-LOOKUP(C31,91:91,92:92)+100</f>
        <v>100</v>
      </c>
      <c r="I31" s="423"/>
      <c r="J31" s="389">
        <f>LOOKUP(I31,91:91,92:92)-LOOKUP(C31,91:91,92:92)+100</f>
        <v>100</v>
      </c>
      <c r="K31" s="564"/>
      <c r="L31" s="2934"/>
      <c r="M31" s="2935"/>
      <c r="N31" s="2935"/>
      <c r="O31" s="2935"/>
      <c r="P31" s="3616"/>
      <c r="Q31" s="1520" t="str">
        <f t="shared" si="11"/>
        <v>停车位面积</v>
      </c>
      <c r="R31" s="705" t="s">
        <v>17</v>
      </c>
      <c r="S31" s="706">
        <f t="shared" si="12"/>
        <v>100</v>
      </c>
      <c r="T31" s="705" t="s">
        <v>17</v>
      </c>
      <c r="U31" s="706">
        <f t="shared" si="13"/>
        <v>100</v>
      </c>
      <c r="V31" s="705" t="s">
        <v>17</v>
      </c>
      <c r="W31" s="706">
        <f t="shared" si="14"/>
        <v>100</v>
      </c>
      <c r="X31" s="707"/>
      <c r="Y31" s="3616"/>
      <c r="Z31" s="53" t="str">
        <f t="shared" si="15"/>
        <v>停车位面积</v>
      </c>
      <c r="AA31" s="708">
        <f t="shared" si="3"/>
        <v>1</v>
      </c>
      <c r="AB31" s="708">
        <f t="shared" si="4"/>
        <v>1</v>
      </c>
      <c r="AC31" s="708">
        <f t="shared" si="5"/>
        <v>1</v>
      </c>
    </row>
    <row r="32" spans="1:29" ht="15">
      <c r="A32" s="607"/>
      <c r="B32" s="605" t="s">
        <v>2535</v>
      </c>
      <c r="C32" s="414" t="s">
        <v>3425</v>
      </c>
      <c r="D32" s="389">
        <v>100</v>
      </c>
      <c r="E32" s="414" t="s">
        <v>3425</v>
      </c>
      <c r="F32" s="415">
        <f>SUMIF(93:93,E32,94:94)-SUMIF(93:93,C32,94:94)+100</f>
        <v>100</v>
      </c>
      <c r="G32" s="414" t="s">
        <v>3425</v>
      </c>
      <c r="H32" s="389">
        <f>SUMIF(93:93,G32,94:94)-SUMIF(93:93,C32,94:94)+100</f>
        <v>100</v>
      </c>
      <c r="I32" s="414" t="s">
        <v>3425</v>
      </c>
      <c r="J32" s="389">
        <f>SUMIF(93:93,I32,94:94)-SUMIF(93:93,C32,94:94)+100</f>
        <v>100</v>
      </c>
      <c r="K32" s="564"/>
      <c r="L32" s="2939"/>
      <c r="M32" s="2933"/>
      <c r="N32" s="2933"/>
      <c r="O32" s="2933"/>
      <c r="P32" s="3616" t="s">
        <v>2382</v>
      </c>
      <c r="Q32" s="1529" t="str">
        <f t="shared" si="11"/>
        <v>车位类型</v>
      </c>
      <c r="R32" s="709" t="s">
        <v>17</v>
      </c>
      <c r="S32" s="710">
        <f t="shared" si="12"/>
        <v>100</v>
      </c>
      <c r="T32" s="709" t="s">
        <v>17</v>
      </c>
      <c r="U32" s="710">
        <f t="shared" si="13"/>
        <v>100</v>
      </c>
      <c r="V32" s="709" t="s">
        <v>17</v>
      </c>
      <c r="W32" s="710">
        <f t="shared" si="14"/>
        <v>100</v>
      </c>
      <c r="X32" s="1532"/>
      <c r="Y32" s="3616" t="s">
        <v>2382</v>
      </c>
      <c r="Z32" s="1533" t="str">
        <f t="shared" si="15"/>
        <v>车位类型</v>
      </c>
      <c r="AA32" s="1530">
        <f t="shared" si="3"/>
        <v>1</v>
      </c>
      <c r="AB32" s="1530">
        <f t="shared" si="4"/>
        <v>1</v>
      </c>
      <c r="AC32" s="1530">
        <f t="shared" si="5"/>
        <v>1</v>
      </c>
    </row>
    <row r="33" spans="1:29" ht="15">
      <c r="A33" s="607"/>
      <c r="B33" s="605" t="s">
        <v>2536</v>
      </c>
      <c r="C33" s="414" t="s">
        <v>3229</v>
      </c>
      <c r="D33" s="389">
        <v>100</v>
      </c>
      <c r="E33" s="414" t="s">
        <v>3229</v>
      </c>
      <c r="F33" s="415">
        <f>SUMIF(95:95,E33,96:96)-SUMIF(95:95,C33,96:96)+100</f>
        <v>100</v>
      </c>
      <c r="G33" s="414" t="s">
        <v>3428</v>
      </c>
      <c r="H33" s="389">
        <f>SUMIF(95:95,G33,96:96)-SUMIF(95:95,C33,96:96)+100</f>
        <v>95</v>
      </c>
      <c r="I33" s="414" t="s">
        <v>3428</v>
      </c>
      <c r="J33" s="389">
        <f>SUMIF(95:95,I33,96:96)-SUMIF(95:95,C33,96:96)+100</f>
        <v>95</v>
      </c>
      <c r="K33" s="564">
        <v>5</v>
      </c>
      <c r="L33" s="2939"/>
      <c r="M33" s="2933"/>
      <c r="N33" s="2933"/>
      <c r="O33" s="2933"/>
      <c r="P33" s="3616"/>
      <c r="Q33" s="1529" t="str">
        <f t="shared" si="11"/>
        <v>是否直接入户</v>
      </c>
      <c r="R33" s="709" t="s">
        <v>17</v>
      </c>
      <c r="S33" s="710">
        <f t="shared" si="12"/>
        <v>100</v>
      </c>
      <c r="T33" s="709" t="s">
        <v>17</v>
      </c>
      <c r="U33" s="710">
        <f t="shared" si="13"/>
        <v>95</v>
      </c>
      <c r="V33" s="709" t="s">
        <v>17</v>
      </c>
      <c r="W33" s="710">
        <f t="shared" si="14"/>
        <v>95</v>
      </c>
      <c r="X33" s="1532"/>
      <c r="Y33" s="3616"/>
      <c r="Z33" s="1533" t="str">
        <f t="shared" si="15"/>
        <v>是否直接入户</v>
      </c>
      <c r="AA33" s="1530">
        <f t="shared" si="3"/>
        <v>1</v>
      </c>
      <c r="AB33" s="1530">
        <f t="shared" si="4"/>
        <v>1.0526315789473684</v>
      </c>
      <c r="AC33" s="1530">
        <f t="shared" si="5"/>
        <v>1.0526315789473684</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939"/>
      <c r="M34" s="2933"/>
      <c r="N34" s="2933"/>
      <c r="O34" s="2933"/>
      <c r="P34" s="3616"/>
      <c r="Q34" s="1529">
        <f t="shared" si="11"/>
        <v>111</v>
      </c>
      <c r="R34" s="709" t="s">
        <v>17</v>
      </c>
      <c r="S34" s="710">
        <f t="shared" si="12"/>
        <v>100</v>
      </c>
      <c r="T34" s="709" t="s">
        <v>17</v>
      </c>
      <c r="U34" s="710">
        <f t="shared" si="13"/>
        <v>100</v>
      </c>
      <c r="V34" s="709" t="s">
        <v>17</v>
      </c>
      <c r="W34" s="710">
        <f t="shared" si="14"/>
        <v>100</v>
      </c>
      <c r="X34" s="1532"/>
      <c r="Y34" s="3616"/>
      <c r="Z34" s="1533">
        <f t="shared" si="15"/>
        <v>111</v>
      </c>
      <c r="AA34" s="1530">
        <f t="shared" si="3"/>
        <v>1</v>
      </c>
      <c r="AB34" s="1530">
        <f t="shared" si="4"/>
        <v>1</v>
      </c>
      <c r="AC34" s="1530">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938"/>
      <c r="M35" s="2940"/>
      <c r="N35" s="2940"/>
      <c r="O35" s="2940"/>
      <c r="P35" s="3616"/>
      <c r="Q35" s="711">
        <f t="shared" si="11"/>
        <v>111</v>
      </c>
      <c r="R35" s="712" t="s">
        <v>17</v>
      </c>
      <c r="S35" s="713">
        <f t="shared" si="12"/>
        <v>100</v>
      </c>
      <c r="T35" s="712" t="s">
        <v>17</v>
      </c>
      <c r="U35" s="713">
        <f t="shared" si="13"/>
        <v>100</v>
      </c>
      <c r="V35" s="712" t="s">
        <v>17</v>
      </c>
      <c r="W35" s="713">
        <f t="shared" si="14"/>
        <v>100</v>
      </c>
      <c r="X35" s="714"/>
      <c r="Y35" s="3616"/>
      <c r="Z35" s="715">
        <f t="shared" si="15"/>
        <v>111</v>
      </c>
      <c r="AA35" s="1530">
        <f t="shared" si="3"/>
        <v>1</v>
      </c>
      <c r="AB35" s="1530">
        <f t="shared" si="4"/>
        <v>1</v>
      </c>
      <c r="AC35" s="1530">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939"/>
      <c r="M36" s="2933"/>
      <c r="N36" s="2933"/>
      <c r="O36" s="2933"/>
      <c r="P36" s="3616"/>
      <c r="Q36" s="1529">
        <f t="shared" si="11"/>
        <v>111</v>
      </c>
      <c r="R36" s="709" t="s">
        <v>17</v>
      </c>
      <c r="S36" s="710">
        <f t="shared" si="12"/>
        <v>100</v>
      </c>
      <c r="T36" s="709" t="s">
        <v>17</v>
      </c>
      <c r="U36" s="710">
        <f t="shared" si="13"/>
        <v>100</v>
      </c>
      <c r="V36" s="709" t="s">
        <v>17</v>
      </c>
      <c r="W36" s="710">
        <f t="shared" si="14"/>
        <v>100</v>
      </c>
      <c r="X36" s="1532"/>
      <c r="Y36" s="3616"/>
      <c r="Z36" s="1533">
        <f t="shared" si="15"/>
        <v>111</v>
      </c>
      <c r="AA36" s="1530">
        <f t="shared" si="3"/>
        <v>1</v>
      </c>
      <c r="AB36" s="1530">
        <f t="shared" si="4"/>
        <v>1</v>
      </c>
      <c r="AC36" s="1530">
        <f t="shared" si="5"/>
        <v>1</v>
      </c>
    </row>
    <row r="37" spans="1:29" ht="15">
      <c r="A37" s="433" t="s">
        <v>2537</v>
      </c>
      <c r="B37" s="2151" t="s">
        <v>2538</v>
      </c>
      <c r="C37" s="1310" t="s">
        <v>1</v>
      </c>
      <c r="D37" s="1311"/>
      <c r="E37" s="1312">
        <f>车库案例!F3*10000</f>
        <v>365500</v>
      </c>
      <c r="F37" s="1313"/>
      <c r="G37" s="1314">
        <f>车库案例!F6*10000</f>
        <v>355600</v>
      </c>
      <c r="H37" s="1315"/>
      <c r="I37" s="1312">
        <f>车库案例!F12*10000</f>
        <v>336200</v>
      </c>
      <c r="J37" s="1315"/>
      <c r="K37" s="571"/>
      <c r="L37" s="2941"/>
      <c r="M37" s="2942"/>
      <c r="N37" s="2933"/>
      <c r="O37" s="2942"/>
      <c r="P37" s="3598" t="str">
        <f>A37</f>
        <v>成交单价</v>
      </c>
      <c r="Q37" s="3598"/>
      <c r="R37" s="3633">
        <f>E37</f>
        <v>365500</v>
      </c>
      <c r="S37" s="3633"/>
      <c r="T37" s="3633">
        <f>G37</f>
        <v>355600</v>
      </c>
      <c r="U37" s="3633"/>
      <c r="V37" s="3633">
        <f>I37</f>
        <v>336200</v>
      </c>
      <c r="W37" s="3633"/>
      <c r="X37" s="694"/>
      <c r="Y37" s="716"/>
      <c r="Z37" s="694"/>
      <c r="AA37" s="694"/>
      <c r="AB37" s="694"/>
      <c r="AC37" s="694"/>
    </row>
    <row r="38" spans="1:29" ht="15.75" thickBot="1">
      <c r="A38" s="440" t="s">
        <v>2539</v>
      </c>
      <c r="B38" s="441" t="str">
        <f>B37</f>
        <v>元/车位</v>
      </c>
      <c r="C38" s="1316">
        <f>R39</f>
        <v>368440</v>
      </c>
      <c r="D38" s="2530" t="s">
        <v>2877</v>
      </c>
      <c r="E38" s="1317">
        <f>R38</f>
        <v>367521</v>
      </c>
      <c r="F38" s="2531"/>
      <c r="G38" s="1316">
        <f>T38</f>
        <v>376386</v>
      </c>
      <c r="H38" s="2531"/>
      <c r="I38" s="1317">
        <f>V38</f>
        <v>361412</v>
      </c>
      <c r="J38" s="2531"/>
      <c r="K38" s="2533">
        <f>F38+H38+J38</f>
        <v>0</v>
      </c>
      <c r="L38" s="2941"/>
      <c r="M38" s="2942"/>
      <c r="N38" s="2942"/>
      <c r="O38" s="2942"/>
      <c r="P38" s="3598" t="str">
        <f>A38</f>
        <v>比较价值（元/平方米）</v>
      </c>
      <c r="Q38" s="3598"/>
      <c r="R38" s="3633">
        <f>IF(F1="售价",ROUND(PRODUCT(R37,AA7:AA36),0),ROUND(PRODUCT(R37,AA7:AA36),1))</f>
        <v>367521</v>
      </c>
      <c r="S38" s="3633"/>
      <c r="T38" s="3633">
        <f>IF(F1="售价",ROUND(PRODUCT(T37,AB7:AB36),0),ROUND(PRODUCT(T37,AB7:AB36),1))</f>
        <v>376386</v>
      </c>
      <c r="U38" s="3633"/>
      <c r="V38" s="3633">
        <f>IF(F1="售价",ROUND(PRODUCT(V37,AC7:AC36),0),ROUND(PRODUCT(V37,AC7:AC36),1))</f>
        <v>361412</v>
      </c>
      <c r="W38" s="3633"/>
      <c r="X38" s="694"/>
      <c r="Y38" s="694"/>
      <c r="Z38" s="694"/>
      <c r="AA38" s="694"/>
      <c r="AB38" s="694"/>
      <c r="AC38" s="694"/>
    </row>
    <row r="39" spans="1:29" ht="15.75" thickBot="1">
      <c r="A39" s="444" t="s">
        <v>2540</v>
      </c>
      <c r="B39" s="445"/>
      <c r="C39" s="1319">
        <f>R39</f>
        <v>368440</v>
      </c>
      <c r="D39" s="1319"/>
      <c r="E39" s="1319"/>
      <c r="F39" s="1319"/>
      <c r="G39" s="1319"/>
      <c r="H39" s="1319"/>
      <c r="I39" s="1319"/>
      <c r="J39" s="1319"/>
      <c r="K39" s="572"/>
      <c r="L39" s="2941"/>
      <c r="M39" s="2942"/>
      <c r="N39" s="2942"/>
      <c r="O39" s="2942"/>
      <c r="P39" s="3618" t="str">
        <f>A39</f>
        <v>估价对象XX用房的比较价值（楼面单价，元/平方米）</v>
      </c>
      <c r="Q39" s="3619"/>
      <c r="R39" s="3656">
        <f>IF(F1="售价",ROUND(IF(D38="简单平均",AVERAGE(R38:W38),R38*F38+T38*H38+V38*J38),0),ROUND(IF(D38="简单平均",AVERAGE(R38:V38),R38*F38+T38*H38+V38*J38),1))</f>
        <v>368440</v>
      </c>
      <c r="S39" s="3656"/>
      <c r="T39" s="3656"/>
      <c r="U39" s="3656"/>
      <c r="V39" s="3656"/>
      <c r="W39" s="3656"/>
      <c r="X39" s="694"/>
      <c r="Y39" s="694"/>
      <c r="Z39" s="694"/>
      <c r="AA39" s="694"/>
      <c r="AB39" s="694"/>
      <c r="AC39" s="694"/>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49" t="s">
        <v>2541</v>
      </c>
      <c r="D42" s="450"/>
      <c r="E42" s="451">
        <f>IF(E37&lt;E38,E38/E37-1,E37/E38-1)</f>
        <v>5.5294117647057828E-3</v>
      </c>
      <c r="F42" s="452" t="str">
        <f>IF(OR(E42&gt;=0.3,E42&lt;=-0.3),"超过30%","")</f>
        <v/>
      </c>
      <c r="G42" s="451">
        <f>IF(G37&lt;G38,G38/G37-1,G37/G38-1)</f>
        <v>5.845331833520806E-2</v>
      </c>
      <c r="H42" s="452" t="str">
        <f>IF(OR(G42&gt;=0.3,G42&lt;=-0.3),"超过30%","")</f>
        <v/>
      </c>
      <c r="I42" s="451">
        <f>IF(I37&lt;I38,I38/I37-1,I37/I38-1)</f>
        <v>7.4991076740035689E-2</v>
      </c>
      <c r="J42" s="452" t="str">
        <f>IF(OR(I42&gt;=0.3,I42&lt;=-0.3),"超过30%","")</f>
        <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49" t="s">
        <v>2542</v>
      </c>
      <c r="D43" s="453"/>
      <c r="E43" s="451">
        <f>IF(E38&lt;G38,G38/E38-1,E38/G38-1)</f>
        <v>2.4121070632698638E-2</v>
      </c>
      <c r="F43" s="452" t="str">
        <f>IF(OR(E43&gt;=0.2,E43&lt;=-0.2),"超过20%","")</f>
        <v/>
      </c>
      <c r="G43" s="451">
        <f>IF(G38&lt;I38,I38/G38-1,G38/I38-1)</f>
        <v>4.1431939171914678E-2</v>
      </c>
      <c r="H43" s="452" t="str">
        <f>IF(OR(G43&gt;=0.2,G43&lt;=-0.2),"超过20%","")</f>
        <v/>
      </c>
      <c r="I43" s="451">
        <f>IF(I38&lt;E38,E38/I38-1,I38/E38-1)</f>
        <v>1.6903146547430525E-2</v>
      </c>
      <c r="J43" s="452" t="str">
        <f>IF(OR(I43&gt;=0.2,I43&lt;=-0.2),"超过20%","")</f>
        <v/>
      </c>
      <c r="K43" s="2947"/>
      <c r="L43" s="2943"/>
      <c r="M43" s="2942"/>
      <c r="N43" s="2942"/>
      <c r="O43" s="2942"/>
      <c r="P43" s="2973"/>
      <c r="Q43" s="2942"/>
      <c r="R43" s="2942"/>
      <c r="S43" s="2942"/>
      <c r="T43" s="2942"/>
      <c r="U43" s="2942"/>
      <c r="V43" s="2942"/>
      <c r="W43" s="2942"/>
      <c r="X43" s="2942"/>
      <c r="Y43" s="2942"/>
      <c r="Z43" s="2942"/>
      <c r="AA43" s="2942"/>
      <c r="AB43" s="2942"/>
      <c r="AC43" s="2942"/>
    </row>
    <row r="44" spans="1:29" s="454" customFormat="1" ht="13.5" customHeight="1">
      <c r="A44" s="2945"/>
      <c r="B44" s="2945"/>
      <c r="C44" s="449" t="s">
        <v>2543</v>
      </c>
      <c r="D44" s="453"/>
      <c r="E44" s="451">
        <f>IF(E37&lt;G37,G37/E37-1,E37/G37-1)</f>
        <v>2.7840269966254327E-2</v>
      </c>
      <c r="F44" s="452" t="str">
        <f>IF(OR(E44&gt;=0.3,E44&lt;=-0.3),"超过30%","")</f>
        <v/>
      </c>
      <c r="G44" s="451">
        <f>IF(G37&lt;I37,I37/G37-1,G37/I37-1)</f>
        <v>5.7703747769185076E-2</v>
      </c>
      <c r="H44" s="452" t="str">
        <f>IF(OR(G44&gt;=0.3,G44&lt;=-0.3),"超过30%","")</f>
        <v/>
      </c>
      <c r="I44" s="451">
        <f>IF(I37&lt;E37,E37/I37-1,I37/E37-1)</f>
        <v>8.7150505651397925E-2</v>
      </c>
      <c r="J44" s="452" t="str">
        <f>IF(OR(I44&gt;=0.3,I44&lt;=-0.3),"超过30%","")</f>
        <v/>
      </c>
      <c r="K44" s="2950"/>
      <c r="L44" s="2944"/>
      <c r="M44" s="2945"/>
      <c r="N44" s="2945"/>
      <c r="O44" s="2945"/>
      <c r="P44" s="2974"/>
      <c r="Q44" s="2945"/>
      <c r="R44" s="2945"/>
      <c r="S44" s="2945"/>
      <c r="T44" s="2945"/>
      <c r="U44" s="2945"/>
      <c r="V44" s="2945"/>
      <c r="W44" s="2945"/>
      <c r="X44" s="2945"/>
      <c r="Y44" s="2945"/>
      <c r="Z44" s="2945"/>
      <c r="AA44" s="2945"/>
      <c r="AB44" s="2945"/>
      <c r="AC44" s="2945"/>
    </row>
    <row r="45" spans="1:29" s="454"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2" t="s">
        <v>2544</v>
      </c>
      <c r="B47" s="1052"/>
      <c r="C47" s="1065"/>
      <c r="D47" s="1065"/>
      <c r="E47" s="1065"/>
      <c r="F47" s="1323"/>
      <c r="G47" s="1323"/>
      <c r="H47" s="1065"/>
      <c r="I47" s="1065"/>
      <c r="J47" s="1065"/>
      <c r="K47" s="1066"/>
      <c r="L47" s="1067"/>
      <c r="M47" s="1065"/>
      <c r="N47" s="2986"/>
      <c r="O47" s="2986"/>
      <c r="P47" s="2975"/>
      <c r="Q47" s="2956"/>
      <c r="R47" s="2942"/>
      <c r="S47" s="2942"/>
      <c r="T47" s="2942"/>
      <c r="U47" s="2942"/>
      <c r="V47" s="2942"/>
      <c r="W47" s="2942"/>
      <c r="X47" s="2942"/>
      <c r="Y47" s="2942"/>
      <c r="Z47" s="2942"/>
      <c r="AA47" s="2942"/>
      <c r="AB47" s="2942"/>
      <c r="AC47" s="2942"/>
    </row>
    <row r="48" spans="1:29" s="460" customFormat="1" ht="15">
      <c r="A48" s="457" t="s">
        <v>2545</v>
      </c>
      <c r="B48" s="458"/>
      <c r="C48" s="1339" t="str">
        <f>YEAR(C7)&amp;"-"&amp;MONTH(C7)</f>
        <v>2022-1</v>
      </c>
      <c r="D48" s="1340">
        <f>EDATE(C48,-1)</f>
        <v>44531</v>
      </c>
      <c r="E48" s="1340">
        <f t="shared" ref="E48:O48" si="16">EDATE(D48,-1)</f>
        <v>44501</v>
      </c>
      <c r="F48" s="1340">
        <f t="shared" si="16"/>
        <v>44470</v>
      </c>
      <c r="G48" s="1340">
        <f t="shared" si="16"/>
        <v>44440</v>
      </c>
      <c r="H48" s="1340">
        <f t="shared" si="16"/>
        <v>44409</v>
      </c>
      <c r="I48" s="1340">
        <f t="shared" si="16"/>
        <v>44378</v>
      </c>
      <c r="J48" s="1340">
        <f t="shared" si="16"/>
        <v>44348</v>
      </c>
      <c r="K48" s="1340">
        <f t="shared" si="16"/>
        <v>44317</v>
      </c>
      <c r="L48" s="1340">
        <f t="shared" si="16"/>
        <v>44287</v>
      </c>
      <c r="M48" s="1340">
        <f t="shared" si="16"/>
        <v>44256</v>
      </c>
      <c r="N48" s="1340">
        <f t="shared" si="16"/>
        <v>44228</v>
      </c>
      <c r="O48" s="1340">
        <f t="shared" si="16"/>
        <v>44197</v>
      </c>
      <c r="P48" s="2976"/>
      <c r="Q48" s="2958"/>
      <c r="R48" s="2958"/>
      <c r="S48" s="2958"/>
      <c r="T48" s="2958"/>
      <c r="U48" s="2958"/>
      <c r="V48" s="2958"/>
      <c r="W48" s="2958"/>
      <c r="X48" s="2958"/>
      <c r="Y48" s="2958"/>
      <c r="Z48" s="2958"/>
      <c r="AA48" s="2958"/>
      <c r="AB48" s="2958"/>
      <c r="AC48" s="2958"/>
    </row>
    <row r="49" spans="1:29" s="108" customFormat="1" ht="15">
      <c r="A49" s="461"/>
      <c r="B49" s="462"/>
      <c r="C49" s="1333">
        <v>100</v>
      </c>
      <c r="D49" s="464"/>
      <c r="E49" s="464"/>
      <c r="F49" s="464"/>
      <c r="G49" s="464"/>
      <c r="H49" s="464"/>
      <c r="I49" s="464"/>
      <c r="J49" s="464"/>
      <c r="K49" s="464"/>
      <c r="L49" s="464"/>
      <c r="M49" s="465"/>
      <c r="N49" s="464"/>
      <c r="O49" s="465"/>
      <c r="P49" s="2977"/>
      <c r="Q49" s="2877"/>
      <c r="R49" s="2877"/>
      <c r="S49" s="2877"/>
      <c r="T49" s="2877"/>
      <c r="U49" s="2877"/>
      <c r="V49" s="2877"/>
      <c r="W49" s="2877"/>
      <c r="X49" s="2877"/>
      <c r="Y49" s="2877"/>
      <c r="Z49" s="2877"/>
      <c r="AA49" s="2877"/>
      <c r="AB49" s="2877"/>
      <c r="AC49" s="2877"/>
    </row>
    <row r="50" spans="1:29" s="108" customFormat="1" ht="15.75" thickBot="1">
      <c r="A50" s="467" t="s">
        <v>2402</v>
      </c>
      <c r="B50" s="468"/>
      <c r="C50" s="469"/>
      <c r="D50" s="470"/>
      <c r="E50" s="470"/>
      <c r="F50" s="470"/>
      <c r="G50" s="470"/>
      <c r="H50" s="470"/>
      <c r="I50" s="470"/>
      <c r="J50" s="470"/>
      <c r="K50" s="470"/>
      <c r="L50" s="470"/>
      <c r="M50" s="471"/>
      <c r="N50" s="470"/>
      <c r="O50" s="471"/>
      <c r="P50" s="2977"/>
      <c r="Q50" s="2956"/>
      <c r="R50" s="2877"/>
      <c r="S50" s="2877"/>
      <c r="T50" s="2877"/>
      <c r="U50" s="2877"/>
      <c r="V50" s="2877"/>
      <c r="W50" s="2877"/>
      <c r="X50" s="2877"/>
      <c r="Y50" s="2877"/>
      <c r="Z50" s="2877"/>
      <c r="AA50" s="2877"/>
      <c r="AB50" s="2877"/>
      <c r="AC50" s="2877"/>
    </row>
    <row r="51" spans="1:29" s="108" customFormat="1" ht="15">
      <c r="A51" s="473" t="s">
        <v>2367</v>
      </c>
      <c r="B51" s="462"/>
      <c r="C51" s="474" t="s">
        <v>2469</v>
      </c>
      <c r="D51" s="475"/>
      <c r="E51" s="475"/>
      <c r="F51" s="475"/>
      <c r="G51" s="475"/>
      <c r="H51" s="475"/>
      <c r="I51" s="475"/>
      <c r="J51" s="475"/>
      <c r="K51" s="475"/>
      <c r="L51" s="476"/>
      <c r="M51" s="477"/>
      <c r="N51" s="2969"/>
      <c r="O51" s="2969"/>
      <c r="P51" s="2978"/>
      <c r="Q51" s="2956"/>
      <c r="R51" s="2877"/>
      <c r="S51" s="2877"/>
      <c r="T51" s="2877"/>
      <c r="U51" s="2877"/>
      <c r="V51" s="2877"/>
      <c r="W51" s="2877"/>
      <c r="X51" s="2877"/>
      <c r="Y51" s="2877"/>
      <c r="Z51" s="2877"/>
      <c r="AA51" s="2877"/>
      <c r="AB51" s="2877"/>
      <c r="AC51" s="2877"/>
    </row>
    <row r="52" spans="1:29" s="108" customFormat="1" ht="15.75" thickBot="1">
      <c r="A52" s="473"/>
      <c r="B52" s="462"/>
      <c r="C52" s="590">
        <v>100</v>
      </c>
      <c r="D52" s="464"/>
      <c r="E52" s="464"/>
      <c r="F52" s="464"/>
      <c r="G52" s="464"/>
      <c r="H52" s="464"/>
      <c r="I52" s="464"/>
      <c r="J52" s="464"/>
      <c r="K52" s="464"/>
      <c r="L52" s="464"/>
      <c r="M52" s="466"/>
      <c r="N52" s="2969"/>
      <c r="O52" s="2969"/>
      <c r="P52" s="2977"/>
      <c r="Q52" s="2956"/>
      <c r="R52" s="2877"/>
      <c r="S52" s="2877"/>
      <c r="T52" s="2877"/>
      <c r="U52" s="2877"/>
      <c r="V52" s="2877"/>
      <c r="W52" s="2877"/>
      <c r="X52" s="2877"/>
      <c r="Y52" s="2877"/>
      <c r="Z52" s="2877"/>
      <c r="AA52" s="2877"/>
      <c r="AB52" s="2877"/>
      <c r="AC52" s="2877"/>
    </row>
    <row r="53" spans="1:29">
      <c r="A53" s="479" t="s">
        <v>2405</v>
      </c>
      <c r="B53" s="480" t="s">
        <v>2371</v>
      </c>
      <c r="C53" s="481" t="str">
        <f>C9</f>
        <v>地下车库</v>
      </c>
      <c r="D53" s="482"/>
      <c r="E53" s="482"/>
      <c r="F53" s="482"/>
      <c r="G53" s="482"/>
      <c r="H53" s="482"/>
      <c r="I53" s="482"/>
      <c r="J53" s="482"/>
      <c r="K53" s="483"/>
      <c r="L53" s="484"/>
      <c r="M53" s="485"/>
      <c r="N53" s="2970"/>
      <c r="O53" s="2970"/>
      <c r="P53" s="2979"/>
      <c r="Q53" s="2956"/>
      <c r="R53" s="2942"/>
      <c r="S53" s="2942"/>
      <c r="T53" s="2942"/>
      <c r="U53" s="2942"/>
      <c r="V53" s="2942"/>
      <c r="W53" s="2942"/>
      <c r="X53" s="2942"/>
      <c r="Y53" s="2942"/>
      <c r="Z53" s="2942"/>
      <c r="AA53" s="2942"/>
      <c r="AB53" s="2942"/>
      <c r="AC53" s="2942"/>
    </row>
    <row r="54" spans="1:29" ht="15.75" thickBot="1">
      <c r="A54" s="486"/>
      <c r="B54" s="487"/>
      <c r="C54" s="488">
        <v>100</v>
      </c>
      <c r="D54" s="488"/>
      <c r="E54" s="488"/>
      <c r="F54" s="488"/>
      <c r="G54" s="488"/>
      <c r="H54" s="488"/>
      <c r="I54" s="488"/>
      <c r="J54" s="488"/>
      <c r="K54" s="488"/>
      <c r="L54" s="488"/>
      <c r="M54" s="489"/>
      <c r="N54" s="2971"/>
      <c r="O54" s="2971"/>
      <c r="P54" s="2979"/>
      <c r="Q54" s="2956"/>
      <c r="R54" s="2942"/>
      <c r="S54" s="2942"/>
      <c r="T54" s="2942"/>
      <c r="U54" s="2942"/>
      <c r="V54" s="2942"/>
      <c r="W54" s="2942"/>
      <c r="X54" s="2942"/>
      <c r="Y54" s="2942"/>
      <c r="Z54" s="2942"/>
      <c r="AA54" s="2942"/>
      <c r="AB54" s="2942"/>
      <c r="AC54" s="2942"/>
    </row>
    <row r="55" spans="1:29" ht="27.75" thickTop="1">
      <c r="A55" s="486"/>
      <c r="B55" s="490" t="s">
        <v>2374</v>
      </c>
      <c r="C55" s="491" t="s">
        <v>2406</v>
      </c>
      <c r="D55" s="491" t="s">
        <v>2407</v>
      </c>
      <c r="E55" s="491" t="s">
        <v>2408</v>
      </c>
      <c r="F55" s="491" t="s">
        <v>2409</v>
      </c>
      <c r="G55" s="491" t="s">
        <v>2410</v>
      </c>
      <c r="H55" s="491" t="s">
        <v>2411</v>
      </c>
      <c r="I55" s="491" t="s">
        <v>2412</v>
      </c>
      <c r="J55" s="491"/>
      <c r="K55" s="492"/>
      <c r="L55" s="493"/>
      <c r="M55" s="494"/>
      <c r="N55" s="2970"/>
      <c r="O55" s="2970"/>
      <c r="P55" s="2979"/>
      <c r="Q55" s="2956"/>
      <c r="R55" s="2942"/>
      <c r="S55" s="2942"/>
      <c r="T55" s="2942"/>
      <c r="U55" s="2942"/>
      <c r="V55" s="2942"/>
      <c r="W55" s="2942"/>
      <c r="X55" s="2942"/>
      <c r="Y55" s="2942"/>
      <c r="Z55" s="2942"/>
      <c r="AA55" s="2942"/>
      <c r="AB55" s="2942"/>
      <c r="AC55" s="2942"/>
    </row>
    <row r="56" spans="1:29" ht="15.75" thickBot="1">
      <c r="A56" s="486"/>
      <c r="B56" s="495"/>
      <c r="C56" s="496" t="s">
        <v>24</v>
      </c>
      <c r="D56" s="496" t="s">
        <v>25</v>
      </c>
      <c r="E56" s="496">
        <v>100</v>
      </c>
      <c r="F56" s="496">
        <f>E56-$K10</f>
        <v>98</v>
      </c>
      <c r="G56" s="496">
        <f>F56-$K10</f>
        <v>96</v>
      </c>
      <c r="H56" s="496">
        <f>G56-$K10</f>
        <v>94</v>
      </c>
      <c r="I56" s="496">
        <f>H56-$K10</f>
        <v>92</v>
      </c>
      <c r="J56" s="496"/>
      <c r="K56" s="496"/>
      <c r="L56" s="496"/>
      <c r="M56" s="497"/>
      <c r="N56" s="2971"/>
      <c r="O56" s="2971"/>
      <c r="P56" s="2979"/>
      <c r="Q56" s="2956"/>
      <c r="R56" s="2942"/>
      <c r="S56" s="2942"/>
      <c r="T56" s="2942"/>
      <c r="U56" s="2942"/>
      <c r="V56" s="2942"/>
      <c r="W56" s="2942"/>
      <c r="X56" s="2942"/>
      <c r="Y56" s="2942"/>
      <c r="Z56" s="2942"/>
      <c r="AA56" s="2942"/>
      <c r="AB56" s="2942"/>
      <c r="AC56" s="2942"/>
    </row>
    <row r="57" spans="1:29" ht="15.75" thickTop="1">
      <c r="A57" s="486"/>
      <c r="B57" s="611">
        <f>B11</f>
        <v>111</v>
      </c>
      <c r="C57" s="501"/>
      <c r="D57" s="501"/>
      <c r="E57" s="501"/>
      <c r="F57" s="501"/>
      <c r="G57" s="501"/>
      <c r="H57" s="501"/>
      <c r="I57" s="501"/>
      <c r="J57" s="501"/>
      <c r="K57" s="502"/>
      <c r="L57" s="503"/>
      <c r="M57" s="504"/>
      <c r="N57" s="2970"/>
      <c r="O57" s="2970"/>
      <c r="P57" s="2979"/>
      <c r="Q57" s="2956"/>
      <c r="R57" s="2942"/>
      <c r="S57" s="2942"/>
      <c r="T57" s="2942"/>
      <c r="U57" s="2942"/>
      <c r="V57" s="2942"/>
      <c r="W57" s="2942"/>
      <c r="X57" s="2942"/>
      <c r="Y57" s="2942"/>
      <c r="Z57" s="2942"/>
      <c r="AA57" s="2942"/>
      <c r="AB57" s="2942"/>
      <c r="AC57" s="2942"/>
    </row>
    <row r="58" spans="1:29" ht="15.75" thickBot="1">
      <c r="A58" s="486"/>
      <c r="B58" s="487"/>
      <c r="C58" s="512"/>
      <c r="D58" s="488"/>
      <c r="E58" s="488"/>
      <c r="F58" s="488"/>
      <c r="G58" s="488"/>
      <c r="H58" s="488"/>
      <c r="I58" s="488"/>
      <c r="J58" s="488"/>
      <c r="K58" s="488"/>
      <c r="L58" s="488"/>
      <c r="M58" s="489"/>
      <c r="N58" s="2971"/>
      <c r="O58" s="2971"/>
      <c r="P58" s="2979"/>
      <c r="Q58" s="2956"/>
      <c r="R58" s="2942"/>
      <c r="S58" s="2942"/>
      <c r="T58" s="2942"/>
      <c r="U58" s="2942"/>
      <c r="V58" s="2942"/>
      <c r="W58" s="2942"/>
      <c r="X58" s="2942"/>
      <c r="Y58" s="2942"/>
      <c r="Z58" s="2942"/>
      <c r="AA58" s="2942"/>
      <c r="AB58" s="2942"/>
      <c r="AC58" s="2942"/>
    </row>
    <row r="59" spans="1:29" s="425" customFormat="1" ht="15.75" thickTop="1">
      <c r="A59" s="505"/>
      <c r="B59" s="490">
        <f>B12</f>
        <v>111</v>
      </c>
      <c r="C59" s="501"/>
      <c r="D59" s="501"/>
      <c r="E59" s="501"/>
      <c r="F59" s="501"/>
      <c r="G59" s="506"/>
      <c r="H59" s="507"/>
      <c r="I59" s="507"/>
      <c r="J59" s="507"/>
      <c r="K59" s="507"/>
      <c r="L59" s="508"/>
      <c r="M59" s="509"/>
      <c r="N59" s="2972"/>
      <c r="O59" s="2972"/>
      <c r="P59" s="2980"/>
      <c r="Q59" s="2963"/>
      <c r="R59" s="2964"/>
      <c r="S59" s="2964"/>
      <c r="T59" s="2964"/>
      <c r="U59" s="2964"/>
      <c r="V59" s="2964"/>
      <c r="W59" s="2964"/>
      <c r="X59" s="2964"/>
      <c r="Y59" s="2964"/>
      <c r="Z59" s="2964"/>
      <c r="AA59" s="2964"/>
      <c r="AB59" s="2964"/>
      <c r="AC59" s="2964"/>
    </row>
    <row r="60" spans="1:29" s="425" customFormat="1" ht="15.75" thickBot="1">
      <c r="A60" s="505"/>
      <c r="B60" s="495"/>
      <c r="C60" s="512"/>
      <c r="D60" s="488"/>
      <c r="E60" s="488"/>
      <c r="F60" s="488"/>
      <c r="G60" s="488"/>
      <c r="H60" s="488"/>
      <c r="I60" s="488"/>
      <c r="J60" s="488"/>
      <c r="K60" s="488"/>
      <c r="L60" s="488"/>
      <c r="M60" s="489"/>
      <c r="N60" s="2971"/>
      <c r="O60" s="2971"/>
      <c r="P60" s="2980"/>
      <c r="Q60" s="2963"/>
      <c r="R60" s="2964"/>
      <c r="S60" s="2964"/>
      <c r="T60" s="2964"/>
      <c r="U60" s="2964"/>
      <c r="V60" s="2964"/>
      <c r="W60" s="2964"/>
      <c r="X60" s="2964"/>
      <c r="Y60" s="2964"/>
      <c r="Z60" s="2964"/>
      <c r="AA60" s="2964"/>
      <c r="AB60" s="2964"/>
      <c r="AC60" s="2964"/>
    </row>
    <row r="61" spans="1:29" s="425" customFormat="1" ht="15.75" thickTop="1">
      <c r="A61" s="505"/>
      <c r="B61" s="490">
        <f>B13</f>
        <v>111</v>
      </c>
      <c r="C61" s="506"/>
      <c r="D61" s="506"/>
      <c r="E61" s="506"/>
      <c r="F61" s="506"/>
      <c r="G61" s="506"/>
      <c r="H61" s="507"/>
      <c r="I61" s="507"/>
      <c r="J61" s="507"/>
      <c r="K61" s="507"/>
      <c r="L61" s="508"/>
      <c r="M61" s="509"/>
      <c r="N61" s="2972"/>
      <c r="O61" s="2972"/>
      <c r="P61" s="2981"/>
      <c r="Q61" s="2966"/>
      <c r="R61" s="2964"/>
      <c r="S61" s="2964"/>
      <c r="T61" s="2964"/>
      <c r="U61" s="2964"/>
      <c r="V61" s="2964"/>
      <c r="W61" s="2964"/>
      <c r="X61" s="2964"/>
      <c r="Y61" s="2964"/>
      <c r="Z61" s="2964"/>
      <c r="AA61" s="2964"/>
      <c r="AB61" s="2964"/>
      <c r="AC61" s="2964"/>
    </row>
    <row r="62" spans="1:29" s="425" customFormat="1" ht="15.75" thickBot="1">
      <c r="A62" s="505"/>
      <c r="B62" s="495"/>
      <c r="C62" s="512"/>
      <c r="D62" s="512"/>
      <c r="E62" s="512"/>
      <c r="F62" s="512"/>
      <c r="G62" s="512"/>
      <c r="H62" s="514"/>
      <c r="I62" s="514"/>
      <c r="J62" s="514"/>
      <c r="K62" s="514"/>
      <c r="L62" s="514"/>
      <c r="M62" s="515"/>
      <c r="N62" s="2972"/>
      <c r="O62" s="2972"/>
      <c r="P62" s="2980"/>
      <c r="Q62" s="2963"/>
      <c r="R62" s="2964"/>
      <c r="S62" s="2964"/>
      <c r="T62" s="2964"/>
      <c r="U62" s="2964"/>
      <c r="V62" s="2964"/>
      <c r="W62" s="2964"/>
      <c r="X62" s="2964"/>
      <c r="Y62" s="2964"/>
      <c r="Z62" s="2964"/>
      <c r="AA62" s="2964"/>
      <c r="AB62" s="2964"/>
      <c r="AC62" s="2964"/>
    </row>
    <row r="63" spans="1:29" ht="15" thickTop="1">
      <c r="A63" s="479" t="s">
        <v>2376</v>
      </c>
      <c r="B63" s="480" t="s">
        <v>2419</v>
      </c>
      <c r="C63" s="525" t="s">
        <v>2414</v>
      </c>
      <c r="D63" s="525" t="s">
        <v>2415</v>
      </c>
      <c r="E63" s="525" t="s">
        <v>2416</v>
      </c>
      <c r="F63" s="525" t="s">
        <v>2417</v>
      </c>
      <c r="G63" s="525" t="s">
        <v>2418</v>
      </c>
      <c r="H63" s="481"/>
      <c r="I63" s="481"/>
      <c r="J63" s="481"/>
      <c r="K63" s="526"/>
      <c r="L63" s="527"/>
      <c r="M63" s="528"/>
      <c r="N63" s="2970"/>
      <c r="O63" s="2970"/>
      <c r="P63" s="2983"/>
      <c r="Q63" s="2956"/>
      <c r="R63" s="2942"/>
      <c r="S63" s="2942"/>
      <c r="T63" s="2942"/>
      <c r="U63" s="2942"/>
      <c r="V63" s="2942"/>
      <c r="W63" s="2942"/>
      <c r="X63" s="2942"/>
      <c r="Y63" s="2942"/>
      <c r="Z63" s="2942"/>
      <c r="AA63" s="2942"/>
      <c r="AB63" s="2942"/>
      <c r="AC63" s="2942"/>
    </row>
    <row r="64" spans="1:29" ht="15.75" thickBot="1">
      <c r="A64" s="486"/>
      <c r="B64" s="495"/>
      <c r="C64" s="496">
        <v>100</v>
      </c>
      <c r="D64" s="496">
        <f>C64-$K14</f>
        <v>95</v>
      </c>
      <c r="E64" s="496">
        <f>D64-$K14</f>
        <v>90</v>
      </c>
      <c r="F64" s="496">
        <f>E64-$K14</f>
        <v>85</v>
      </c>
      <c r="G64" s="496">
        <f>F64-$K14</f>
        <v>80</v>
      </c>
      <c r="H64" s="496"/>
      <c r="I64" s="496"/>
      <c r="J64" s="496"/>
      <c r="K64" s="496"/>
      <c r="L64" s="496"/>
      <c r="M64" s="497"/>
      <c r="N64" s="2971"/>
      <c r="O64" s="2971"/>
      <c r="P64" s="2979"/>
      <c r="Q64" s="2956"/>
      <c r="R64" s="2942"/>
      <c r="S64" s="2942"/>
      <c r="T64" s="2942"/>
      <c r="U64" s="2942"/>
      <c r="V64" s="2942"/>
      <c r="W64" s="2942"/>
      <c r="X64" s="2942"/>
      <c r="Y64" s="2942"/>
      <c r="Z64" s="2942"/>
      <c r="AA64" s="2942"/>
      <c r="AB64" s="2942"/>
      <c r="AC64" s="2942"/>
    </row>
    <row r="65" spans="1:29" ht="15.75" thickTop="1">
      <c r="A65" s="486"/>
      <c r="B65" s="490" t="s">
        <v>2420</v>
      </c>
      <c r="C65" s="530" t="s">
        <v>2414</v>
      </c>
      <c r="D65" s="530" t="s">
        <v>2415</v>
      </c>
      <c r="E65" s="530" t="s">
        <v>2416</v>
      </c>
      <c r="F65" s="530" t="s">
        <v>2417</v>
      </c>
      <c r="G65" s="530" t="s">
        <v>2418</v>
      </c>
      <c r="H65" s="491"/>
      <c r="I65" s="491"/>
      <c r="J65" s="491"/>
      <c r="K65" s="492"/>
      <c r="L65" s="493"/>
      <c r="M65" s="494"/>
      <c r="N65" s="2970"/>
      <c r="O65" s="2970"/>
      <c r="P65" s="2979"/>
      <c r="Q65" s="2956"/>
      <c r="R65" s="2942"/>
      <c r="S65" s="2942"/>
      <c r="T65" s="2942"/>
      <c r="U65" s="2942"/>
      <c r="V65" s="2942"/>
      <c r="W65" s="2942"/>
      <c r="X65" s="2942"/>
      <c r="Y65" s="2942"/>
      <c r="Z65" s="2942"/>
      <c r="AA65" s="2942"/>
      <c r="AB65" s="2942"/>
      <c r="AC65" s="2942"/>
    </row>
    <row r="66" spans="1:29" ht="15.75" thickBot="1">
      <c r="A66" s="486"/>
      <c r="B66" s="495"/>
      <c r="C66" s="496">
        <v>100</v>
      </c>
      <c r="D66" s="496">
        <f>C66-$K16</f>
        <v>98</v>
      </c>
      <c r="E66" s="496">
        <f>D66-$K16</f>
        <v>96</v>
      </c>
      <c r="F66" s="496">
        <f>E66-$K16</f>
        <v>94</v>
      </c>
      <c r="G66" s="496">
        <f>F66-$K16</f>
        <v>92</v>
      </c>
      <c r="H66" s="496"/>
      <c r="I66" s="496"/>
      <c r="J66" s="496"/>
      <c r="K66" s="496"/>
      <c r="L66" s="496"/>
      <c r="M66" s="497"/>
      <c r="N66" s="2971"/>
      <c r="O66" s="2971"/>
      <c r="P66" s="2979"/>
      <c r="Q66" s="2956"/>
      <c r="R66" s="2942"/>
      <c r="S66" s="2942"/>
      <c r="T66" s="2942"/>
      <c r="U66" s="2942"/>
      <c r="V66" s="2942"/>
      <c r="W66" s="2942"/>
      <c r="X66" s="2942"/>
      <c r="Y66" s="2942"/>
      <c r="Z66" s="2942"/>
      <c r="AA66" s="2942"/>
      <c r="AB66" s="2942"/>
      <c r="AC66" s="2942"/>
    </row>
    <row r="67" spans="1:29" ht="15.75" thickTop="1">
      <c r="A67" s="486"/>
      <c r="B67" s="498" t="s">
        <v>2506</v>
      </c>
      <c r="C67" s="611" t="s">
        <v>2492</v>
      </c>
      <c r="D67" s="611" t="s">
        <v>2493</v>
      </c>
      <c r="E67" s="611" t="s">
        <v>2494</v>
      </c>
      <c r="F67" s="611" t="s">
        <v>2495</v>
      </c>
      <c r="G67" s="611" t="s">
        <v>2496</v>
      </c>
      <c r="H67" s="491"/>
      <c r="I67" s="491"/>
      <c r="J67" s="491"/>
      <c r="K67" s="491"/>
      <c r="L67" s="491"/>
      <c r="M67" s="1285"/>
      <c r="N67" s="2971"/>
      <c r="O67" s="2971"/>
      <c r="P67" s="2979"/>
      <c r="Q67" s="2956"/>
      <c r="R67" s="2942"/>
      <c r="S67" s="2942"/>
      <c r="T67" s="2942"/>
      <c r="U67" s="2942"/>
      <c r="V67" s="2942"/>
      <c r="W67" s="2942"/>
      <c r="X67" s="2942"/>
      <c r="Y67" s="2942"/>
      <c r="Z67" s="2942"/>
      <c r="AA67" s="2942"/>
      <c r="AB67" s="2942"/>
      <c r="AC67" s="2942"/>
    </row>
    <row r="68" spans="1:29" ht="15.75" thickBot="1">
      <c r="A68" s="486"/>
      <c r="B68" s="498"/>
      <c r="C68" s="496">
        <v>100</v>
      </c>
      <c r="D68" s="496">
        <f>C68-$K18</f>
        <v>98</v>
      </c>
      <c r="E68" s="496">
        <f>D68-$K18</f>
        <v>96</v>
      </c>
      <c r="F68" s="496">
        <f>E68-$K18</f>
        <v>94</v>
      </c>
      <c r="G68" s="496">
        <f>F68-$K18</f>
        <v>92</v>
      </c>
      <c r="H68" s="611"/>
      <c r="I68" s="611"/>
      <c r="J68" s="611"/>
      <c r="K68" s="611"/>
      <c r="L68" s="611"/>
      <c r="M68" s="404"/>
      <c r="N68" s="2971"/>
      <c r="O68" s="2971"/>
      <c r="P68" s="2979"/>
      <c r="Q68" s="2956"/>
      <c r="R68" s="2942"/>
      <c r="S68" s="2942"/>
      <c r="T68" s="2942"/>
      <c r="U68" s="2942"/>
      <c r="V68" s="2942"/>
      <c r="W68" s="2942"/>
      <c r="X68" s="2942"/>
      <c r="Y68" s="2942"/>
      <c r="Z68" s="2942"/>
      <c r="AA68" s="2942"/>
      <c r="AB68" s="2942"/>
      <c r="AC68" s="2942"/>
    </row>
    <row r="69" spans="1:29" ht="15.75" thickTop="1">
      <c r="A69" s="486"/>
      <c r="B69" s="490" t="s">
        <v>2426</v>
      </c>
      <c r="C69" s="530" t="s">
        <v>2414</v>
      </c>
      <c r="D69" s="530" t="s">
        <v>2415</v>
      </c>
      <c r="E69" s="530" t="s">
        <v>2416</v>
      </c>
      <c r="F69" s="530" t="s">
        <v>2417</v>
      </c>
      <c r="G69" s="530" t="s">
        <v>2418</v>
      </c>
      <c r="H69" s="491"/>
      <c r="I69" s="491"/>
      <c r="J69" s="491"/>
      <c r="K69" s="492"/>
      <c r="L69" s="493"/>
      <c r="M69" s="494"/>
      <c r="N69" s="2970"/>
      <c r="O69" s="2970"/>
      <c r="P69" s="2979"/>
      <c r="Q69" s="2956"/>
      <c r="R69" s="2942"/>
      <c r="S69" s="2942"/>
      <c r="T69" s="2942"/>
      <c r="U69" s="2942"/>
      <c r="V69" s="2942"/>
      <c r="W69" s="2942"/>
      <c r="X69" s="2942"/>
      <c r="Y69" s="2942"/>
      <c r="Z69" s="2942"/>
      <c r="AA69" s="2942"/>
      <c r="AB69" s="2942"/>
      <c r="AC69" s="2942"/>
    </row>
    <row r="70" spans="1:29" ht="15.75" thickBot="1">
      <c r="A70" s="486"/>
      <c r="B70" s="495"/>
      <c r="C70" s="496">
        <v>100</v>
      </c>
      <c r="D70" s="496">
        <f>C70-$K20</f>
        <v>98</v>
      </c>
      <c r="E70" s="496">
        <f>D70-$K20</f>
        <v>96</v>
      </c>
      <c r="F70" s="496">
        <f>E70-$K20</f>
        <v>94</v>
      </c>
      <c r="G70" s="496">
        <f>F70-$K20</f>
        <v>92</v>
      </c>
      <c r="H70" s="496"/>
      <c r="I70" s="496"/>
      <c r="J70" s="496"/>
      <c r="K70" s="496"/>
      <c r="L70" s="496"/>
      <c r="M70" s="497"/>
      <c r="N70" s="2971"/>
      <c r="O70" s="2971"/>
      <c r="P70" s="2979"/>
      <c r="Q70" s="2956"/>
      <c r="R70" s="2942"/>
      <c r="S70" s="2942"/>
      <c r="T70" s="2942"/>
      <c r="U70" s="2942"/>
      <c r="V70" s="2942"/>
      <c r="W70" s="2942"/>
      <c r="X70" s="2942"/>
      <c r="Y70" s="2942"/>
      <c r="Z70" s="2942"/>
      <c r="AA70" s="2942"/>
      <c r="AB70" s="2942"/>
      <c r="AC70" s="2942"/>
    </row>
    <row r="71" spans="1:29" ht="15.75" thickTop="1">
      <c r="A71" s="486"/>
      <c r="B71" s="490" t="s">
        <v>2546</v>
      </c>
      <c r="C71" s="506"/>
      <c r="D71" s="506"/>
      <c r="E71" s="506"/>
      <c r="F71" s="506"/>
      <c r="G71" s="506"/>
      <c r="H71" s="535"/>
      <c r="I71" s="535"/>
      <c r="J71" s="535"/>
      <c r="K71" s="536"/>
      <c r="L71" s="537"/>
      <c r="M71" s="538"/>
      <c r="N71" s="2970"/>
      <c r="O71" s="2970"/>
      <c r="P71" s="2979"/>
      <c r="Q71" s="2956"/>
      <c r="R71" s="2942"/>
      <c r="S71" s="2942"/>
      <c r="T71" s="2942"/>
      <c r="U71" s="2942"/>
      <c r="V71" s="2942"/>
      <c r="W71" s="2942"/>
      <c r="X71" s="2942"/>
      <c r="Y71" s="2942"/>
      <c r="Z71" s="2942"/>
      <c r="AA71" s="2942"/>
      <c r="AB71" s="2942"/>
      <c r="AC71" s="2942"/>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971"/>
      <c r="O72" s="2971"/>
      <c r="P72" s="2979"/>
      <c r="Q72" s="2956"/>
      <c r="R72" s="2942"/>
      <c r="S72" s="2942"/>
      <c r="T72" s="2942"/>
      <c r="U72" s="2942"/>
      <c r="V72" s="2942"/>
      <c r="W72" s="2942"/>
      <c r="X72" s="2942"/>
      <c r="Y72" s="2942"/>
      <c r="Z72" s="2942"/>
      <c r="AA72" s="2942"/>
      <c r="AB72" s="2942"/>
      <c r="AC72" s="2942"/>
    </row>
    <row r="73" spans="1:29" s="108" customFormat="1" ht="15.75" thickTop="1">
      <c r="A73" s="531"/>
      <c r="B73" s="490">
        <f>B23</f>
        <v>111</v>
      </c>
      <c r="C73" s="501"/>
      <c r="D73" s="501"/>
      <c r="E73" s="501"/>
      <c r="F73" s="501"/>
      <c r="G73" s="506"/>
      <c r="H73" s="506"/>
      <c r="I73" s="506"/>
      <c r="J73" s="506"/>
      <c r="K73" s="506"/>
      <c r="L73" s="532"/>
      <c r="M73" s="533"/>
      <c r="N73" s="2969"/>
      <c r="O73" s="2969"/>
      <c r="P73" s="2979"/>
      <c r="Q73" s="2956"/>
      <c r="R73" s="2877"/>
      <c r="S73" s="2877"/>
      <c r="T73" s="2877"/>
      <c r="U73" s="2877"/>
      <c r="V73" s="2877"/>
      <c r="W73" s="2877"/>
      <c r="X73" s="2877"/>
      <c r="Y73" s="2877"/>
      <c r="Z73" s="2877"/>
      <c r="AA73" s="2877"/>
      <c r="AB73" s="2877"/>
      <c r="AC73" s="2877"/>
    </row>
    <row r="74" spans="1:29" s="108" customFormat="1" ht="15.75" thickBot="1">
      <c r="A74" s="531"/>
      <c r="B74" s="495"/>
      <c r="C74" s="512"/>
      <c r="D74" s="488"/>
      <c r="E74" s="488"/>
      <c r="F74" s="488"/>
      <c r="G74" s="488"/>
      <c r="H74" s="488"/>
      <c r="I74" s="488"/>
      <c r="J74" s="488"/>
      <c r="K74" s="488"/>
      <c r="L74" s="488"/>
      <c r="M74" s="489"/>
      <c r="N74" s="2971"/>
      <c r="O74" s="2971"/>
      <c r="P74" s="2979"/>
      <c r="Q74" s="2956"/>
      <c r="R74" s="2877"/>
      <c r="S74" s="2877"/>
      <c r="T74" s="2877"/>
      <c r="U74" s="2877"/>
      <c r="V74" s="2877"/>
      <c r="W74" s="2877"/>
      <c r="X74" s="2877"/>
      <c r="Y74" s="2877"/>
      <c r="Z74" s="2877"/>
      <c r="AA74" s="2877"/>
      <c r="AB74" s="2877"/>
      <c r="AC74" s="2877"/>
    </row>
    <row r="75" spans="1:29" s="108" customFormat="1" ht="15.75" thickTop="1">
      <c r="A75" s="531"/>
      <c r="B75" s="490">
        <f>B24</f>
        <v>111</v>
      </c>
      <c r="C75" s="501"/>
      <c r="D75" s="501"/>
      <c r="E75" s="501"/>
      <c r="F75" s="501"/>
      <c r="G75" s="506"/>
      <c r="H75" s="506"/>
      <c r="I75" s="506"/>
      <c r="J75" s="506"/>
      <c r="K75" s="506"/>
      <c r="L75" s="506"/>
      <c r="M75" s="533"/>
      <c r="N75" s="2969"/>
      <c r="O75" s="2969"/>
      <c r="P75" s="2979"/>
      <c r="Q75" s="2956"/>
      <c r="R75" s="2877"/>
      <c r="S75" s="2877"/>
      <c r="T75" s="2877"/>
      <c r="U75" s="2877"/>
      <c r="V75" s="2877"/>
      <c r="W75" s="2877"/>
      <c r="X75" s="2877"/>
      <c r="Y75" s="2877"/>
      <c r="Z75" s="2877"/>
      <c r="AA75" s="2877"/>
      <c r="AB75" s="2877"/>
      <c r="AC75" s="2877"/>
    </row>
    <row r="76" spans="1:29" s="108" customFormat="1" ht="15.75" thickBot="1">
      <c r="A76" s="531"/>
      <c r="B76" s="495"/>
      <c r="C76" s="512"/>
      <c r="D76" s="488"/>
      <c r="E76" s="488"/>
      <c r="F76" s="488"/>
      <c r="G76" s="488"/>
      <c r="H76" s="488"/>
      <c r="I76" s="488"/>
      <c r="J76" s="488"/>
      <c r="K76" s="488"/>
      <c r="L76" s="488"/>
      <c r="M76" s="489"/>
      <c r="N76" s="2971"/>
      <c r="O76" s="2971"/>
      <c r="P76" s="2979"/>
      <c r="Q76" s="2956"/>
      <c r="R76" s="2877"/>
      <c r="S76" s="2877"/>
      <c r="T76" s="2877"/>
      <c r="U76" s="2877"/>
      <c r="V76" s="2877"/>
      <c r="W76" s="2877"/>
      <c r="X76" s="2877"/>
      <c r="Y76" s="2877"/>
      <c r="Z76" s="2877"/>
      <c r="AA76" s="2877"/>
      <c r="AB76" s="2877"/>
      <c r="AC76" s="2877"/>
    </row>
    <row r="77" spans="1:29" s="425" customFormat="1" ht="15.75" thickTop="1">
      <c r="A77" s="505"/>
      <c r="B77" s="490">
        <f>B25</f>
        <v>111</v>
      </c>
      <c r="C77" s="506"/>
      <c r="D77" s="506"/>
      <c r="E77" s="506"/>
      <c r="F77" s="506"/>
      <c r="G77" s="506"/>
      <c r="H77" s="507"/>
      <c r="I77" s="507"/>
      <c r="J77" s="507"/>
      <c r="K77" s="507"/>
      <c r="L77" s="508"/>
      <c r="M77" s="509"/>
      <c r="N77" s="2972"/>
      <c r="O77" s="2972"/>
      <c r="P77" s="2980"/>
      <c r="Q77" s="2963"/>
      <c r="R77" s="2964"/>
      <c r="S77" s="2964"/>
      <c r="T77" s="2964"/>
      <c r="U77" s="2964"/>
      <c r="V77" s="2964"/>
      <c r="W77" s="2964"/>
      <c r="X77" s="2964"/>
      <c r="Y77" s="2964"/>
      <c r="Z77" s="2964"/>
      <c r="AA77" s="2964"/>
      <c r="AB77" s="2964"/>
      <c r="AC77" s="2964"/>
    </row>
    <row r="78" spans="1:29" s="425" customFormat="1" ht="15.75" thickBot="1">
      <c r="A78" s="505"/>
      <c r="B78" s="495"/>
      <c r="C78" s="512"/>
      <c r="D78" s="512"/>
      <c r="E78" s="512"/>
      <c r="F78" s="512"/>
      <c r="G78" s="488"/>
      <c r="H78" s="488"/>
      <c r="I78" s="488"/>
      <c r="J78" s="488"/>
      <c r="K78" s="488"/>
      <c r="L78" s="488"/>
      <c r="M78" s="489"/>
      <c r="N78" s="2972"/>
      <c r="O78" s="2972"/>
      <c r="P78" s="2980"/>
      <c r="Q78" s="2963"/>
      <c r="R78" s="2964"/>
      <c r="S78" s="2964"/>
      <c r="T78" s="2964"/>
      <c r="U78" s="2964"/>
      <c r="V78" s="2964"/>
      <c r="W78" s="2964"/>
      <c r="X78" s="2964"/>
      <c r="Y78" s="2964"/>
      <c r="Z78" s="2964"/>
      <c r="AA78" s="2964"/>
      <c r="AB78" s="2964"/>
      <c r="AC78" s="2964"/>
    </row>
    <row r="79" spans="1:29" ht="27.75" thickTop="1">
      <c r="A79" s="479" t="s">
        <v>2380</v>
      </c>
      <c r="B79" s="480" t="s">
        <v>2547</v>
      </c>
      <c r="C79" s="481" t="str">
        <f>C26</f>
        <v>住宅</v>
      </c>
      <c r="D79" s="482"/>
      <c r="E79" s="482"/>
      <c r="F79" s="482"/>
      <c r="G79" s="482"/>
      <c r="H79" s="482"/>
      <c r="I79" s="482"/>
      <c r="J79" s="482"/>
      <c r="K79" s="483"/>
      <c r="L79" s="484"/>
      <c r="M79" s="485"/>
      <c r="N79" s="2970"/>
      <c r="O79" s="2970"/>
      <c r="P79" s="2979"/>
      <c r="Q79" s="2956"/>
      <c r="R79" s="2942"/>
      <c r="S79" s="2942"/>
      <c r="T79" s="2942"/>
      <c r="U79" s="2942"/>
      <c r="V79" s="2942"/>
      <c r="W79" s="2942"/>
      <c r="X79" s="2942"/>
      <c r="Y79" s="2942"/>
      <c r="Z79" s="2942"/>
      <c r="AA79" s="2942"/>
      <c r="AB79" s="2942"/>
      <c r="AC79" s="2942"/>
    </row>
    <row r="80" spans="1:29" ht="15.75" thickBot="1">
      <c r="A80" s="486"/>
      <c r="B80" s="495"/>
      <c r="C80" s="496">
        <v>100</v>
      </c>
      <c r="D80" s="496">
        <f t="shared" ref="D80:M80" si="17">C80-$K26</f>
        <v>98</v>
      </c>
      <c r="E80" s="496">
        <f t="shared" si="17"/>
        <v>96</v>
      </c>
      <c r="F80" s="496">
        <f t="shared" si="17"/>
        <v>94</v>
      </c>
      <c r="G80" s="496">
        <f t="shared" si="17"/>
        <v>92</v>
      </c>
      <c r="H80" s="496">
        <f t="shared" si="17"/>
        <v>90</v>
      </c>
      <c r="I80" s="496">
        <f t="shared" si="17"/>
        <v>88</v>
      </c>
      <c r="J80" s="496">
        <f t="shared" si="17"/>
        <v>86</v>
      </c>
      <c r="K80" s="496">
        <f t="shared" si="17"/>
        <v>84</v>
      </c>
      <c r="L80" s="496">
        <f t="shared" si="17"/>
        <v>82</v>
      </c>
      <c r="M80" s="497">
        <f t="shared" si="17"/>
        <v>80</v>
      </c>
      <c r="N80" s="2971"/>
      <c r="O80" s="2971"/>
      <c r="P80" s="2979"/>
      <c r="Q80" s="2956"/>
      <c r="R80" s="2942"/>
      <c r="S80" s="2942"/>
      <c r="T80" s="2942"/>
      <c r="U80" s="2942"/>
      <c r="V80" s="2942"/>
      <c r="W80" s="2942"/>
      <c r="X80" s="2942"/>
      <c r="Y80" s="2942"/>
      <c r="Z80" s="2942"/>
      <c r="AA80" s="2942"/>
      <c r="AB80" s="2942"/>
      <c r="AC80" s="2942"/>
    </row>
    <row r="81" spans="1:29" ht="15.75" thickTop="1">
      <c r="A81" s="486"/>
      <c r="B81" s="490" t="s">
        <v>2548</v>
      </c>
      <c r="C81" s="612" t="s">
        <v>3430</v>
      </c>
      <c r="D81" s="612" t="s">
        <v>3446</v>
      </c>
      <c r="E81" s="612" t="s">
        <v>3445</v>
      </c>
      <c r="F81" s="612" t="s">
        <v>3435</v>
      </c>
      <c r="G81" s="612" t="s">
        <v>3436</v>
      </c>
      <c r="H81" s="612" t="s">
        <v>3433</v>
      </c>
      <c r="I81" s="612" t="s">
        <v>3437</v>
      </c>
      <c r="J81" s="612" t="s">
        <v>3438</v>
      </c>
      <c r="K81" s="613" t="s">
        <v>3431</v>
      </c>
      <c r="L81" s="614"/>
      <c r="M81" s="615"/>
      <c r="N81" s="2969"/>
      <c r="O81" s="2969"/>
      <c r="P81" s="2979"/>
      <c r="Q81" s="2956"/>
      <c r="R81" s="2942"/>
      <c r="S81" s="2942"/>
      <c r="T81" s="2942"/>
      <c r="U81" s="2942"/>
      <c r="V81" s="2942"/>
      <c r="W81" s="2942"/>
      <c r="X81" s="2942"/>
      <c r="Y81" s="2942"/>
      <c r="Z81" s="2942"/>
      <c r="AA81" s="2942"/>
      <c r="AB81" s="2942"/>
      <c r="AC81" s="2942"/>
    </row>
    <row r="82" spans="1:29" s="425" customFormat="1" ht="15.75" thickBot="1">
      <c r="A82" s="505"/>
      <c r="B82" s="495"/>
      <c r="C82" s="512">
        <v>100</v>
      </c>
      <c r="D82" s="488">
        <v>99.5</v>
      </c>
      <c r="E82" s="488">
        <v>99</v>
      </c>
      <c r="F82" s="488">
        <v>98.5</v>
      </c>
      <c r="G82" s="488">
        <v>98</v>
      </c>
      <c r="H82" s="488">
        <v>97.5</v>
      </c>
      <c r="I82" s="488">
        <v>97</v>
      </c>
      <c r="J82" s="488">
        <v>96.5</v>
      </c>
      <c r="K82" s="488">
        <v>96</v>
      </c>
      <c r="L82" s="488"/>
      <c r="M82" s="489"/>
      <c r="N82" s="2971"/>
      <c r="O82" s="2971"/>
      <c r="P82" s="2980"/>
      <c r="Q82" s="2963"/>
      <c r="R82" s="2964"/>
      <c r="S82" s="2964"/>
      <c r="T82" s="2964"/>
      <c r="U82" s="2964"/>
      <c r="V82" s="2964"/>
      <c r="W82" s="2964"/>
      <c r="X82" s="2964"/>
      <c r="Y82" s="2964"/>
      <c r="Z82" s="2964"/>
      <c r="AA82" s="2964"/>
      <c r="AB82" s="2964"/>
      <c r="AC82" s="2964"/>
    </row>
    <row r="83" spans="1:29" ht="15" thickTop="1">
      <c r="A83" s="551"/>
      <c r="B83" s="490" t="s">
        <v>2433</v>
      </c>
      <c r="C83" s="3089" t="s">
        <v>3440</v>
      </c>
      <c r="D83" s="3089" t="s">
        <v>3441</v>
      </c>
      <c r="E83" s="3088" t="s">
        <v>3442</v>
      </c>
      <c r="F83" s="3088" t="s">
        <v>3444</v>
      </c>
      <c r="G83" s="535"/>
      <c r="H83" s="535"/>
      <c r="I83" s="535"/>
      <c r="J83" s="535"/>
      <c r="K83" s="536"/>
      <c r="L83" s="537"/>
      <c r="M83" s="538"/>
      <c r="N83" s="2970"/>
      <c r="O83" s="2970"/>
      <c r="P83" s="2979"/>
      <c r="Q83" s="2956"/>
      <c r="R83" s="2942"/>
      <c r="S83" s="2942"/>
      <c r="T83" s="2942"/>
      <c r="U83" s="2942"/>
      <c r="V83" s="2942"/>
      <c r="W83" s="2942"/>
      <c r="X83" s="2942"/>
      <c r="Y83" s="2942"/>
      <c r="Z83" s="2942"/>
      <c r="AA83" s="2942"/>
      <c r="AB83" s="2942"/>
      <c r="AC83" s="2942"/>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1"/>
      <c r="B85" s="490" t="s">
        <v>2549</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970"/>
      <c r="O85" s="2970"/>
      <c r="P85" s="2979"/>
      <c r="Q85" s="2956"/>
      <c r="R85" s="2942"/>
      <c r="S85" s="2942"/>
      <c r="T85" s="2942"/>
      <c r="U85" s="2942"/>
      <c r="V85" s="2942"/>
      <c r="W85" s="2942"/>
      <c r="X85" s="2942"/>
      <c r="Y85" s="2942"/>
      <c r="Z85" s="2942"/>
      <c r="AA85" s="2942"/>
      <c r="AB85" s="2942"/>
      <c r="AC85" s="2942"/>
    </row>
    <row r="86" spans="1:29">
      <c r="A86" s="551"/>
      <c r="B86" s="498"/>
      <c r="C86" s="555">
        <v>0.5</v>
      </c>
      <c r="D86" s="555">
        <v>0.6</v>
      </c>
      <c r="E86" s="555">
        <v>0.7</v>
      </c>
      <c r="F86" s="555">
        <v>0.8</v>
      </c>
      <c r="G86" s="555">
        <v>0.9</v>
      </c>
      <c r="H86" s="555">
        <v>1.0001</v>
      </c>
      <c r="I86" s="574"/>
      <c r="J86" s="574"/>
      <c r="K86" s="575"/>
      <c r="L86" s="576"/>
      <c r="M86" s="577"/>
      <c r="N86" s="2970"/>
      <c r="O86" s="2970"/>
      <c r="P86" s="2979"/>
      <c r="Q86" s="2956"/>
      <c r="R86" s="2942"/>
      <c r="S86" s="2942"/>
      <c r="T86" s="2942"/>
      <c r="U86" s="2942"/>
      <c r="V86" s="2942"/>
      <c r="W86" s="2942"/>
      <c r="X86" s="2942"/>
      <c r="Y86" s="2942"/>
      <c r="Z86" s="2942"/>
      <c r="AA86" s="2942"/>
      <c r="AB86" s="2942"/>
      <c r="AC86" s="2942"/>
    </row>
    <row r="87" spans="1:29" ht="15.75" thickBot="1">
      <c r="A87" s="486"/>
      <c r="B87" s="495"/>
      <c r="C87" s="534">
        <v>100</v>
      </c>
      <c r="D87" s="496">
        <f>C87+$K$29</f>
        <v>102</v>
      </c>
      <c r="E87" s="496">
        <f t="shared" ref="E87:M87" si="19">D87+$K$29</f>
        <v>104</v>
      </c>
      <c r="F87" s="496">
        <f t="shared" si="19"/>
        <v>106</v>
      </c>
      <c r="G87" s="496">
        <f t="shared" si="19"/>
        <v>108</v>
      </c>
      <c r="H87" s="496">
        <f t="shared" si="19"/>
        <v>110</v>
      </c>
      <c r="I87" s="496">
        <f t="shared" si="19"/>
        <v>112</v>
      </c>
      <c r="J87" s="496">
        <f t="shared" si="19"/>
        <v>114</v>
      </c>
      <c r="K87" s="496">
        <f t="shared" si="19"/>
        <v>116</v>
      </c>
      <c r="L87" s="496">
        <f t="shared" si="19"/>
        <v>118</v>
      </c>
      <c r="M87" s="496">
        <f t="shared" si="19"/>
        <v>120</v>
      </c>
      <c r="N87" s="2971"/>
      <c r="O87" s="2971"/>
      <c r="P87" s="2979"/>
      <c r="Q87" s="2956"/>
      <c r="R87" s="2942"/>
      <c r="S87" s="2942"/>
      <c r="T87" s="2942"/>
      <c r="U87" s="2942"/>
      <c r="V87" s="2942"/>
      <c r="W87" s="2942"/>
      <c r="X87" s="2942"/>
      <c r="Y87" s="2942"/>
      <c r="Z87" s="2942"/>
      <c r="AA87" s="2942"/>
      <c r="AB87" s="2942"/>
      <c r="AC87" s="2942"/>
    </row>
    <row r="88" spans="1:29" ht="15" thickTop="1">
      <c r="A88" s="551"/>
      <c r="B88" s="498" t="s">
        <v>2550</v>
      </c>
      <c r="C88" s="3090" t="s">
        <v>3422</v>
      </c>
      <c r="D88" s="3090" t="s">
        <v>3423</v>
      </c>
      <c r="E88" s="482"/>
      <c r="F88" s="482"/>
      <c r="G88" s="482"/>
      <c r="H88" s="482"/>
      <c r="I88" s="482"/>
      <c r="J88" s="482"/>
      <c r="K88" s="483"/>
      <c r="L88" s="484"/>
      <c r="M88" s="485"/>
      <c r="N88" s="2970"/>
      <c r="O88" s="2970"/>
      <c r="P88" s="2979"/>
      <c r="Q88" s="2956"/>
      <c r="R88" s="2942"/>
      <c r="S88" s="2942"/>
      <c r="T88" s="2942"/>
      <c r="U88" s="2942"/>
      <c r="V88" s="2942"/>
      <c r="W88" s="2942"/>
      <c r="X88" s="2942"/>
      <c r="Y88" s="2942"/>
      <c r="Z88" s="2942"/>
      <c r="AA88" s="2942"/>
      <c r="AB88" s="2942"/>
      <c r="AC88" s="2942"/>
    </row>
    <row r="89" spans="1:29" ht="15.75" thickBot="1">
      <c r="A89" s="486"/>
      <c r="B89" s="495"/>
      <c r="C89" s="534">
        <v>100</v>
      </c>
      <c r="D89" s="496">
        <f t="shared" ref="D89:M89" si="20">C89+$K30</f>
        <v>102</v>
      </c>
      <c r="E89" s="496">
        <f t="shared" si="20"/>
        <v>104</v>
      </c>
      <c r="F89" s="496">
        <f t="shared" si="20"/>
        <v>106</v>
      </c>
      <c r="G89" s="496">
        <f t="shared" si="20"/>
        <v>108</v>
      </c>
      <c r="H89" s="496">
        <f t="shared" si="20"/>
        <v>110</v>
      </c>
      <c r="I89" s="496">
        <f t="shared" si="20"/>
        <v>112</v>
      </c>
      <c r="J89" s="496">
        <f t="shared" si="20"/>
        <v>114</v>
      </c>
      <c r="K89" s="496">
        <f t="shared" si="20"/>
        <v>116</v>
      </c>
      <c r="L89" s="496">
        <f t="shared" si="20"/>
        <v>118</v>
      </c>
      <c r="M89" s="496">
        <f t="shared" si="20"/>
        <v>120</v>
      </c>
      <c r="N89" s="2971"/>
      <c r="O89" s="2971"/>
      <c r="P89" s="2979"/>
      <c r="Q89" s="2956"/>
      <c r="R89" s="2942"/>
      <c r="S89" s="2942"/>
      <c r="T89" s="2942"/>
      <c r="U89" s="2942"/>
      <c r="V89" s="2942"/>
      <c r="W89" s="2942"/>
      <c r="X89" s="2942"/>
      <c r="Y89" s="2942"/>
      <c r="Z89" s="2942"/>
      <c r="AA89" s="2942"/>
      <c r="AB89" s="2942"/>
      <c r="AC89" s="2942"/>
    </row>
    <row r="90" spans="1:29" s="425" customFormat="1" ht="15" thickTop="1">
      <c r="A90" s="545"/>
      <c r="B90" s="490" t="s">
        <v>2551</v>
      </c>
      <c r="C90" s="530" t="str">
        <f>C91&amp;"(含)"&amp;"-"&amp;D91</f>
        <v>0(含)-30</v>
      </c>
      <c r="D90" s="530" t="str">
        <f t="shared" ref="D90:L90" si="21">D91&amp;"(含)"&amp;"-"&amp;E91</f>
        <v>30(含)-50</v>
      </c>
      <c r="E90" s="530" t="str">
        <f t="shared" si="21"/>
        <v>50(含)-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972"/>
      <c r="O90" s="2972"/>
      <c r="P90" s="2980"/>
      <c r="Q90" s="2963"/>
      <c r="R90" s="2964"/>
      <c r="S90" s="2964"/>
      <c r="T90" s="2964"/>
      <c r="U90" s="2964"/>
      <c r="V90" s="2964"/>
      <c r="W90" s="2964"/>
      <c r="X90" s="2964"/>
      <c r="Y90" s="2964"/>
      <c r="Z90" s="2964"/>
      <c r="AA90" s="2964"/>
      <c r="AB90" s="2964"/>
      <c r="AC90" s="2964"/>
    </row>
    <row r="91" spans="1:29" s="425" customFormat="1">
      <c r="A91" s="545"/>
      <c r="B91" s="498"/>
      <c r="C91" s="547">
        <v>0</v>
      </c>
      <c r="D91" s="547">
        <v>30</v>
      </c>
      <c r="E91" s="547">
        <v>50</v>
      </c>
      <c r="F91" s="547"/>
      <c r="G91" s="547"/>
      <c r="H91" s="547"/>
      <c r="I91" s="547"/>
      <c r="J91" s="548"/>
      <c r="K91" s="548"/>
      <c r="L91" s="549"/>
      <c r="M91" s="550"/>
      <c r="N91" s="2972"/>
      <c r="O91" s="2972"/>
      <c r="P91" s="2980"/>
      <c r="Q91" s="2963"/>
      <c r="R91" s="2964"/>
      <c r="S91" s="2964"/>
      <c r="T91" s="2964"/>
      <c r="U91" s="2964"/>
      <c r="V91" s="2964"/>
      <c r="W91" s="2964"/>
      <c r="X91" s="2964"/>
      <c r="Y91" s="2964"/>
      <c r="Z91" s="2964"/>
      <c r="AA91" s="2964"/>
      <c r="AB91" s="2964"/>
      <c r="AC91" s="2964"/>
    </row>
    <row r="92" spans="1:29" s="425" customFormat="1" ht="15.75" thickBot="1">
      <c r="A92" s="505"/>
      <c r="B92" s="495"/>
      <c r="C92" s="512"/>
      <c r="D92" s="488"/>
      <c r="E92" s="488"/>
      <c r="F92" s="488"/>
      <c r="G92" s="488"/>
      <c r="H92" s="488"/>
      <c r="I92" s="488"/>
      <c r="J92" s="488"/>
      <c r="K92" s="488"/>
      <c r="L92" s="488"/>
      <c r="M92" s="489"/>
      <c r="N92" s="2972"/>
      <c r="O92" s="2972"/>
      <c r="P92" s="2980"/>
      <c r="Q92" s="2963"/>
      <c r="R92" s="2964"/>
      <c r="S92" s="2964"/>
      <c r="T92" s="2964"/>
      <c r="U92" s="2964"/>
      <c r="V92" s="2964"/>
      <c r="W92" s="2964"/>
      <c r="X92" s="2964"/>
      <c r="Y92" s="2964"/>
      <c r="Z92" s="2964"/>
      <c r="AA92" s="2964"/>
      <c r="AB92" s="2964"/>
      <c r="AC92" s="2964"/>
    </row>
    <row r="93" spans="1:29" ht="15" thickTop="1">
      <c r="A93" s="551"/>
      <c r="B93" s="490" t="s">
        <v>2552</v>
      </c>
      <c r="C93" s="3089" t="s">
        <v>3424</v>
      </c>
      <c r="D93" s="3089" t="s">
        <v>3426</v>
      </c>
      <c r="E93" s="535"/>
      <c r="F93" s="535"/>
      <c r="G93" s="535"/>
      <c r="H93" s="535"/>
      <c r="I93" s="535"/>
      <c r="J93" s="535"/>
      <c r="K93" s="536"/>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1"/>
      <c r="B95" s="490" t="s">
        <v>2553</v>
      </c>
      <c r="C95" s="3090" t="s">
        <v>3427</v>
      </c>
      <c r="D95" s="3090" t="s">
        <v>3429</v>
      </c>
      <c r="E95" s="482"/>
      <c r="F95" s="482"/>
      <c r="G95" s="482"/>
      <c r="H95" s="482"/>
      <c r="I95" s="482"/>
      <c r="J95" s="482"/>
      <c r="K95" s="483"/>
      <c r="L95" s="484"/>
      <c r="M95" s="485"/>
      <c r="N95" s="2970"/>
      <c r="O95" s="2970"/>
      <c r="P95" s="2979"/>
      <c r="Q95" s="2956"/>
      <c r="R95" s="2942"/>
      <c r="S95" s="2942"/>
      <c r="T95" s="2942"/>
      <c r="U95" s="2942"/>
      <c r="V95" s="2942"/>
      <c r="W95" s="2942"/>
      <c r="X95" s="2942"/>
      <c r="Y95" s="2942"/>
      <c r="Z95" s="2942"/>
      <c r="AA95" s="2942"/>
      <c r="AB95" s="2942"/>
      <c r="AC95" s="2942"/>
    </row>
    <row r="96" spans="1:29" ht="15.75" thickBot="1">
      <c r="A96" s="486"/>
      <c r="B96" s="495"/>
      <c r="C96" s="496">
        <v>100</v>
      </c>
      <c r="D96" s="496">
        <f>C96-$K33</f>
        <v>95</v>
      </c>
      <c r="E96" s="496">
        <f>D96-$K33</f>
        <v>90</v>
      </c>
      <c r="F96" s="496">
        <f>E96-$K33</f>
        <v>85</v>
      </c>
      <c r="G96" s="496">
        <f>F96-$K33</f>
        <v>80</v>
      </c>
      <c r="H96" s="496"/>
      <c r="I96" s="496"/>
      <c r="J96" s="496"/>
      <c r="K96" s="496"/>
      <c r="L96" s="496"/>
      <c r="M96" s="497"/>
      <c r="N96" s="2971"/>
      <c r="O96" s="2971"/>
      <c r="P96" s="2979"/>
      <c r="Q96" s="2956"/>
      <c r="R96" s="2942"/>
      <c r="S96" s="2942"/>
      <c r="T96" s="2942"/>
      <c r="U96" s="2942"/>
      <c r="V96" s="2942"/>
      <c r="W96" s="2942"/>
      <c r="X96" s="2942"/>
      <c r="Y96" s="2942"/>
      <c r="Z96" s="2942"/>
      <c r="AA96" s="2942"/>
      <c r="AB96" s="2942"/>
      <c r="AC96" s="2942"/>
    </row>
    <row r="97" spans="1:29" ht="15" thickTop="1">
      <c r="A97" s="551"/>
      <c r="B97" s="587">
        <f>B34</f>
        <v>111</v>
      </c>
      <c r="C97" s="501"/>
      <c r="D97" s="501"/>
      <c r="E97" s="501"/>
      <c r="F97" s="501"/>
      <c r="G97" s="506"/>
      <c r="H97" s="507"/>
      <c r="I97" s="507"/>
      <c r="J97" s="507"/>
      <c r="K97" s="507"/>
      <c r="L97" s="508"/>
      <c r="M97" s="509"/>
      <c r="N97" s="2971"/>
      <c r="O97" s="2971"/>
      <c r="P97" s="2984"/>
      <c r="Q97" s="2985"/>
      <c r="R97" s="2942"/>
      <c r="S97" s="2942"/>
      <c r="T97" s="2942"/>
      <c r="U97" s="2942"/>
      <c r="V97" s="2942"/>
      <c r="W97" s="2942"/>
      <c r="X97" s="2942"/>
      <c r="Y97" s="2942"/>
      <c r="Z97" s="2942"/>
      <c r="AA97" s="2942"/>
      <c r="AB97" s="2942"/>
      <c r="AC97" s="2942"/>
    </row>
    <row r="98" spans="1:29" ht="15.75" thickBot="1">
      <c r="A98" s="486"/>
      <c r="B98" s="495"/>
      <c r="C98" s="512"/>
      <c r="D98" s="488"/>
      <c r="E98" s="488"/>
      <c r="F98" s="488"/>
      <c r="G98" s="512"/>
      <c r="H98" s="514"/>
      <c r="I98" s="514"/>
      <c r="J98" s="514"/>
      <c r="K98" s="514"/>
      <c r="L98" s="514"/>
      <c r="M98" s="515"/>
      <c r="N98" s="2971"/>
      <c r="O98" s="2971"/>
      <c r="P98" s="2979"/>
      <c r="Q98" s="2956"/>
      <c r="R98" s="2942"/>
      <c r="S98" s="2942"/>
      <c r="T98" s="2942"/>
      <c r="U98" s="2942"/>
      <c r="V98" s="2942"/>
      <c r="W98" s="2942"/>
      <c r="X98" s="2942"/>
      <c r="Y98" s="2942"/>
      <c r="Z98" s="2942"/>
      <c r="AA98" s="2942"/>
      <c r="AB98" s="2942"/>
      <c r="AC98" s="2942"/>
    </row>
    <row r="99" spans="1:29" s="425" customFormat="1" ht="15" thickTop="1">
      <c r="A99" s="545"/>
      <c r="B99" s="490">
        <f>B35</f>
        <v>111</v>
      </c>
      <c r="C99" s="501"/>
      <c r="D99" s="501"/>
      <c r="E99" s="501"/>
      <c r="F99" s="501"/>
      <c r="G99" s="506"/>
      <c r="H99" s="507"/>
      <c r="I99" s="507"/>
      <c r="J99" s="507"/>
      <c r="K99" s="507"/>
      <c r="L99" s="508"/>
      <c r="M99" s="509"/>
      <c r="N99" s="2972"/>
      <c r="O99" s="2972"/>
      <c r="P99" s="2980"/>
      <c r="Q99" s="2963"/>
      <c r="R99" s="2964"/>
      <c r="S99" s="2964"/>
      <c r="T99" s="2964"/>
      <c r="U99" s="2964"/>
      <c r="V99" s="2964"/>
      <c r="W99" s="2964"/>
      <c r="X99" s="2964"/>
      <c r="Y99" s="2964"/>
      <c r="Z99" s="2964"/>
      <c r="AA99" s="2964"/>
      <c r="AB99" s="2964"/>
      <c r="AC99" s="2964"/>
    </row>
    <row r="100" spans="1:29" s="425" customFormat="1" ht="15.75" thickBot="1">
      <c r="A100" s="505"/>
      <c r="B100" s="487"/>
      <c r="C100" s="512"/>
      <c r="D100" s="488"/>
      <c r="E100" s="488"/>
      <c r="F100" s="488"/>
      <c r="G100" s="512"/>
      <c r="H100" s="514"/>
      <c r="I100" s="514"/>
      <c r="J100" s="514"/>
      <c r="K100" s="514"/>
      <c r="L100" s="514"/>
      <c r="M100" s="515"/>
      <c r="N100" s="2972"/>
      <c r="O100" s="2972"/>
      <c r="P100" s="2980"/>
      <c r="Q100" s="2963"/>
      <c r="R100" s="2964"/>
      <c r="S100" s="2964"/>
      <c r="T100" s="2964"/>
      <c r="U100" s="2964"/>
      <c r="V100" s="2964"/>
      <c r="W100" s="2964"/>
      <c r="X100" s="2964"/>
      <c r="Y100" s="2964"/>
      <c r="Z100" s="2964"/>
      <c r="AA100" s="2964"/>
      <c r="AB100" s="2964"/>
      <c r="AC100" s="2964"/>
    </row>
    <row r="101" spans="1:29" ht="15" thickTop="1">
      <c r="A101" s="551"/>
      <c r="B101" s="490">
        <f>B36</f>
        <v>111</v>
      </c>
      <c r="C101" s="506"/>
      <c r="D101" s="506"/>
      <c r="E101" s="506"/>
      <c r="F101" s="506"/>
      <c r="G101" s="506"/>
      <c r="H101" s="507"/>
      <c r="I101" s="507"/>
      <c r="J101" s="507"/>
      <c r="K101" s="507"/>
      <c r="L101" s="508"/>
      <c r="M101" s="509"/>
      <c r="N101" s="2970"/>
      <c r="O101" s="2970"/>
      <c r="P101" s="2979"/>
      <c r="Q101" s="2956"/>
      <c r="R101" s="2942"/>
      <c r="S101" s="2942"/>
      <c r="T101" s="2942"/>
      <c r="U101" s="2942"/>
      <c r="V101" s="2942"/>
      <c r="W101" s="2942"/>
      <c r="X101" s="2942"/>
      <c r="Y101" s="2942"/>
      <c r="Z101" s="2942"/>
      <c r="AA101" s="2942"/>
      <c r="AB101" s="2942"/>
      <c r="AC101" s="2942"/>
    </row>
    <row r="102" spans="1:29" ht="15.75" thickBot="1">
      <c r="A102" s="486"/>
      <c r="B102" s="495"/>
      <c r="C102" s="512"/>
      <c r="D102" s="512"/>
      <c r="E102" s="512"/>
      <c r="F102" s="512"/>
      <c r="G102" s="512"/>
      <c r="H102" s="514"/>
      <c r="I102" s="514"/>
      <c r="J102" s="514"/>
      <c r="K102" s="514"/>
      <c r="L102" s="514"/>
      <c r="M102" s="515"/>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E17 I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C2" xr:uid="{00000000-0002-0000-2800-000011000000}">
      <formula1>"需扣减承租人权益,——"</formula1>
    </dataValidation>
    <dataValidation type="list" allowBlank="1" showInputMessage="1" showErrorMessage="1" sqref="F2" xr:uid="{00000000-0002-0000-2800-000012000000}">
      <formula1>估价方法</formula1>
    </dataValidation>
    <dataValidation type="list" allowBlank="1" showInputMessage="1" showErrorMessage="1" sqref="D38"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5"/>
  <sheetViews>
    <sheetView workbookViewId="0">
      <selection activeCell="D30" sqref="D30"/>
    </sheetView>
  </sheetViews>
  <sheetFormatPr defaultColWidth="9" defaultRowHeight="14.25"/>
  <cols>
    <col min="1" max="1" width="13.75" style="3093" customWidth="1"/>
    <col min="2" max="2" width="8.625" style="3093" customWidth="1"/>
    <col min="3" max="3" width="8.125" style="3093" customWidth="1"/>
    <col min="4" max="4" width="10" style="3093" customWidth="1"/>
    <col min="5" max="16384" width="9" style="3093"/>
  </cols>
  <sheetData>
    <row r="1" spans="1:7">
      <c r="A1" s="3657" t="s">
        <v>3482</v>
      </c>
      <c r="B1" s="3092" t="s">
        <v>3395</v>
      </c>
      <c r="C1" s="3103">
        <v>37</v>
      </c>
      <c r="D1" s="3092" t="s">
        <v>3396</v>
      </c>
      <c r="E1" s="3093" t="s">
        <v>5689</v>
      </c>
      <c r="F1" s="3093" t="s">
        <v>5690</v>
      </c>
      <c r="G1" s="3093" t="s">
        <v>5691</v>
      </c>
    </row>
    <row r="2" spans="1:7">
      <c r="A2" s="3657"/>
      <c r="B2" s="3092" t="s">
        <v>3397</v>
      </c>
      <c r="C2" s="3092">
        <v>9948</v>
      </c>
      <c r="D2" s="3092" t="s">
        <v>3398</v>
      </c>
    </row>
    <row r="3" spans="1:7">
      <c r="A3" s="3657"/>
      <c r="B3" s="3092" t="s">
        <v>3399</v>
      </c>
      <c r="C3" s="3092">
        <v>36.83</v>
      </c>
      <c r="D3" s="3092" t="s">
        <v>3400</v>
      </c>
      <c r="E3" s="3093">
        <v>36.51</v>
      </c>
      <c r="F3" s="3093">
        <v>36.549999999999997</v>
      </c>
      <c r="G3" s="3093">
        <v>30.24</v>
      </c>
    </row>
    <row r="4" spans="1:7">
      <c r="A4" s="3658" t="s">
        <v>3480</v>
      </c>
      <c r="B4" s="3094" t="s">
        <v>3395</v>
      </c>
      <c r="C4" s="3103">
        <v>38</v>
      </c>
      <c r="D4" s="3094" t="s">
        <v>3396</v>
      </c>
    </row>
    <row r="5" spans="1:7">
      <c r="A5" s="3658"/>
      <c r="B5" s="3094" t="s">
        <v>3397</v>
      </c>
      <c r="C5" s="3094">
        <v>10406</v>
      </c>
      <c r="D5" s="3094" t="s">
        <v>3398</v>
      </c>
    </row>
    <row r="6" spans="1:7">
      <c r="A6" s="3658"/>
      <c r="B6" s="3094" t="s">
        <v>3399</v>
      </c>
      <c r="C6" s="3094">
        <v>39.9</v>
      </c>
      <c r="D6" s="3094" t="s">
        <v>3400</v>
      </c>
      <c r="E6" s="3093">
        <v>36.08</v>
      </c>
      <c r="F6" s="3093">
        <v>35.56</v>
      </c>
      <c r="G6" s="3093">
        <v>35.6</v>
      </c>
    </row>
    <row r="7" spans="1:7">
      <c r="A7" s="3659" t="s">
        <v>3401</v>
      </c>
      <c r="B7" s="3095" t="s">
        <v>3395</v>
      </c>
      <c r="C7" s="3095">
        <v>18</v>
      </c>
      <c r="D7" s="3095" t="s">
        <v>3396</v>
      </c>
    </row>
    <row r="8" spans="1:7">
      <c r="A8" s="3659"/>
      <c r="B8" s="3095" t="s">
        <v>3397</v>
      </c>
      <c r="C8" s="3095">
        <v>18744</v>
      </c>
      <c r="D8" s="3095" t="s">
        <v>3398</v>
      </c>
    </row>
    <row r="9" spans="1:7">
      <c r="A9" s="3659"/>
      <c r="B9" s="3095" t="s">
        <v>3399</v>
      </c>
      <c r="C9" s="3095">
        <v>33.89</v>
      </c>
      <c r="D9" s="3095" t="s">
        <v>3402</v>
      </c>
      <c r="E9" s="3093">
        <v>33.909999999999997</v>
      </c>
      <c r="F9" s="3093">
        <v>33.909999999999997</v>
      </c>
      <c r="G9" s="3093">
        <v>34.83</v>
      </c>
    </row>
    <row r="10" spans="1:7">
      <c r="A10" s="3660" t="s">
        <v>5692</v>
      </c>
      <c r="B10" s="3096" t="s">
        <v>3395</v>
      </c>
      <c r="C10" s="3103">
        <v>31</v>
      </c>
      <c r="D10" s="3096" t="s">
        <v>3396</v>
      </c>
    </row>
    <row r="11" spans="1:7">
      <c r="A11" s="3660"/>
      <c r="B11" s="3096" t="s">
        <v>3397</v>
      </c>
      <c r="C11" s="3096">
        <v>10876</v>
      </c>
      <c r="D11" s="3096" t="s">
        <v>3398</v>
      </c>
    </row>
    <row r="12" spans="1:7">
      <c r="A12" s="3660"/>
      <c r="B12" s="3096" t="s">
        <v>3399</v>
      </c>
      <c r="C12" s="3096">
        <v>33.54</v>
      </c>
      <c r="D12" s="3096" t="s">
        <v>3402</v>
      </c>
      <c r="E12" s="3093">
        <v>33.590000000000003</v>
      </c>
      <c r="F12" s="3093">
        <v>33.619999999999997</v>
      </c>
      <c r="G12" s="3093">
        <v>33.81</v>
      </c>
    </row>
    <row r="13" spans="1:7">
      <c r="A13" s="3661" t="s">
        <v>5693</v>
      </c>
      <c r="B13" s="3097" t="s">
        <v>3395</v>
      </c>
      <c r="C13" s="3097">
        <v>15</v>
      </c>
      <c r="D13" s="3097" t="s">
        <v>3396</v>
      </c>
    </row>
    <row r="14" spans="1:7">
      <c r="A14" s="3661"/>
      <c r="B14" s="3097" t="s">
        <v>3397</v>
      </c>
      <c r="C14" s="3097">
        <v>24014</v>
      </c>
      <c r="D14" s="3097" t="s">
        <v>3398</v>
      </c>
    </row>
    <row r="15" spans="1:7">
      <c r="A15" s="3661"/>
      <c r="B15" s="3097" t="s">
        <v>3399</v>
      </c>
      <c r="C15" s="3097">
        <v>35.590000000000003</v>
      </c>
      <c r="D15" s="3097" t="s">
        <v>3402</v>
      </c>
      <c r="E15" s="3093">
        <v>35.64</v>
      </c>
      <c r="F15" s="3093">
        <v>36.33</v>
      </c>
      <c r="G15" s="3093">
        <v>34.67</v>
      </c>
    </row>
  </sheetData>
  <mergeCells count="5">
    <mergeCell ref="A1:A3"/>
    <mergeCell ref="A4:A6"/>
    <mergeCell ref="A7:A9"/>
    <mergeCell ref="A10:A12"/>
    <mergeCell ref="A13:A15"/>
  </mergeCells>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sheetPr>
  <dimension ref="A1:AK83"/>
  <sheetViews>
    <sheetView view="pageBreakPreview" topLeftCell="A34" zoomScale="90" zoomScaleNormal="70" zoomScaleSheetLayoutView="90" workbookViewId="0">
      <selection activeCell="H37" sqref="H37"/>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3168</v>
      </c>
      <c r="D1" s="1539" t="s">
        <v>5407</v>
      </c>
      <c r="E1" s="1540" t="s">
        <v>1352</v>
      </c>
      <c r="F1" s="1187">
        <f ca="1">J53</f>
        <v>64.19</v>
      </c>
      <c r="G1" s="1555">
        <f>MATCH(C1,'数据-取费表'!A6:A16,0)+5</f>
        <v>9</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36654</v>
      </c>
      <c r="C2" s="1564" t="s">
        <v>1481</v>
      </c>
      <c r="D2" s="1564"/>
      <c r="E2" s="1565"/>
      <c r="F2" s="1566"/>
      <c r="G2" s="2923"/>
      <c r="H2" s="2912"/>
      <c r="I2" s="2912"/>
      <c r="J2" s="2912"/>
      <c r="K2" s="2913"/>
      <c r="L2" s="2912"/>
      <c r="M2" s="2912"/>
    </row>
    <row r="3" spans="1:37" ht="18" customHeight="1" thickBot="1">
      <c r="A3" s="1567" t="s">
        <v>1482</v>
      </c>
      <c r="B3" s="1568">
        <f ca="1">IF(ISERROR(B2*10000/F43),0,ROUND(B2*10000/F43,0))</f>
        <v>11265</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3032</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3028</v>
      </c>
      <c r="D6" s="155" t="s">
        <v>2847</v>
      </c>
      <c r="E6" s="303" t="s">
        <v>1370</v>
      </c>
      <c r="F6" s="304">
        <f ca="1">INDIRECT("'数据-取费表'!u"&amp;$G$1)</f>
        <v>3</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1202" t="s">
        <v>1371</v>
      </c>
      <c r="F7" s="304">
        <f ca="1">IF(INDIRECT("'数据-取费表'!ah"&amp;$G$1)="",INDIRECT("'数据-取费表'!k"&amp;$G$1),INDIRECT("'数据-取费表'!ah"&amp;$G$1))</f>
        <v>32537.82</v>
      </c>
      <c r="G7" s="1561"/>
      <c r="H7" s="305"/>
      <c r="I7" s="3554"/>
      <c r="J7" s="307"/>
      <c r="K7" s="308"/>
      <c r="L7" s="303" t="s">
        <v>1371</v>
      </c>
      <c r="M7" s="304">
        <f ca="1">F7</f>
        <v>32537.82</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4</v>
      </c>
      <c r="D10" s="1543" t="s">
        <v>2855</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23135</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16269</v>
      </c>
      <c r="D14" s="1522" t="s">
        <v>1383</v>
      </c>
      <c r="E14" s="1519"/>
      <c r="F14" s="320"/>
      <c r="G14" s="1561"/>
      <c r="H14" s="1107" t="s">
        <v>1003</v>
      </c>
      <c r="I14" s="303" t="s">
        <v>1384</v>
      </c>
      <c r="J14" s="23">
        <f ca="1">C29</f>
        <v>23135</v>
      </c>
      <c r="K14" s="14"/>
      <c r="L14" s="910"/>
      <c r="M14" s="911"/>
    </row>
    <row r="15" spans="1:37" s="1574" customFormat="1" ht="18" customHeight="1" thickBot="1">
      <c r="A15" s="1107" t="s">
        <v>1004</v>
      </c>
      <c r="B15" s="303" t="s">
        <v>1385</v>
      </c>
      <c r="C15" s="23">
        <f ca="1">ROUND(C14*F15,0)</f>
        <v>813</v>
      </c>
      <c r="D15" s="321" t="s">
        <v>1386</v>
      </c>
      <c r="E15" s="321"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813</v>
      </c>
      <c r="D16" s="303" t="s">
        <v>1386</v>
      </c>
      <c r="E16" s="303" t="s">
        <v>1387</v>
      </c>
      <c r="F16" s="323">
        <f ca="1">IF(INDIRECT("'数据-取费表'!c"&amp;$G$1)="住宅",'数据-取费表'!B34,0)</f>
        <v>0.05</v>
      </c>
      <c r="G16" s="1561"/>
      <c r="H16" s="1233" t="s">
        <v>998</v>
      </c>
      <c r="I16" s="1234" t="s">
        <v>1389</v>
      </c>
      <c r="J16" s="311">
        <f ca="1">ROUND(J17+J22+J23+J24,0)</f>
        <v>543</v>
      </c>
      <c r="K16" s="1241" t="s">
        <v>1390</v>
      </c>
      <c r="L16" s="1242"/>
      <c r="M16" s="1198"/>
    </row>
    <row r="17" spans="1:37" s="1574" customFormat="1" ht="18" customHeight="1">
      <c r="A17" s="1107" t="s">
        <v>1355</v>
      </c>
      <c r="B17" s="303" t="s">
        <v>1391</v>
      </c>
      <c r="C17" s="23">
        <f ca="1">ROUND(F17*(F43+INDIRECT("'数据-取费表'!S"&amp;$G$1))/10000,0)</f>
        <v>651</v>
      </c>
      <c r="D17" s="303" t="s">
        <v>1392</v>
      </c>
      <c r="E17" s="303" t="s">
        <v>1393</v>
      </c>
      <c r="F17" s="25">
        <f>'数据-取费表'!B35</f>
        <v>200</v>
      </c>
      <c r="G17" s="1573"/>
      <c r="H17" s="1107" t="s">
        <v>1003</v>
      </c>
      <c r="I17" s="303" t="s">
        <v>1394</v>
      </c>
      <c r="J17" s="2526">
        <f ca="1">ROUND(IF(AND(项目基本情况!B11="自然人",项目基本情况!B10="北京市"),J6*M17/(1+'数据-取费表'!C42),J18+J19+J20),0)</f>
        <v>196</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244</v>
      </c>
      <c r="D18" s="303" t="s">
        <v>1386</v>
      </c>
      <c r="E18" s="303" t="s">
        <v>1387</v>
      </c>
      <c r="F18" s="323">
        <f>'数据-取费表'!B36</f>
        <v>1.4999999999999999E-2</v>
      </c>
      <c r="G18" s="1573"/>
      <c r="H18" s="1107" t="s">
        <v>1002</v>
      </c>
      <c r="I18" s="303" t="s">
        <v>1398</v>
      </c>
      <c r="J18" s="23">
        <f ca="1">ROUND(J6*M18/(1+'数据-取费表'!C42),2)</f>
        <v>0</v>
      </c>
      <c r="K18" s="152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18790</v>
      </c>
      <c r="D19" s="131" t="s">
        <v>1401</v>
      </c>
      <c r="E19" s="1537"/>
      <c r="F19" s="25"/>
      <c r="G19" s="1561"/>
      <c r="H19" s="1107" t="s">
        <v>1004</v>
      </c>
      <c r="I19" s="303" t="s">
        <v>1402</v>
      </c>
      <c r="J19" s="23">
        <f ca="1">IF(K19="按租金收入计税",ROUND(J6*M19/(1+'数据-取费表'!C42),2),ROUND(C29*M19*0.7,2))</f>
        <v>194.33</v>
      </c>
      <c r="K19" s="1547" t="s">
        <v>1403</v>
      </c>
      <c r="L19" s="303" t="s">
        <v>1387</v>
      </c>
      <c r="M19" s="323">
        <f>IF(K19="按租金收入计税",'数据-取费表'!B51,'数据-取费表'!B50)</f>
        <v>1.2E-2</v>
      </c>
    </row>
    <row r="20" spans="1:37" s="1574" customFormat="1" ht="18" customHeight="1">
      <c r="A20" s="1107" t="s">
        <v>1007</v>
      </c>
      <c r="B20" s="303" t="s">
        <v>1404</v>
      </c>
      <c r="C20" s="23">
        <f ca="1">ROUND(C19*F20,0)</f>
        <v>564</v>
      </c>
      <c r="D20" s="324" t="s">
        <v>1405</v>
      </c>
      <c r="E20" s="303" t="s">
        <v>1387</v>
      </c>
      <c r="F20" s="323">
        <f>'数据-取费表'!B37</f>
        <v>0.03</v>
      </c>
      <c r="G20" s="1573"/>
      <c r="H20" s="1107" t="s">
        <v>1354</v>
      </c>
      <c r="I20" s="155" t="s">
        <v>1406</v>
      </c>
      <c r="J20" s="24">
        <f ca="1">ROUND(M20*M21/10000,2)</f>
        <v>1.99</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18</v>
      </c>
      <c r="D21" s="324" t="s">
        <v>1410</v>
      </c>
      <c r="E21" s="303" t="s">
        <v>1411</v>
      </c>
      <c r="F21" s="323">
        <f>'数据-取费表'!B38</f>
        <v>0.03</v>
      </c>
      <c r="G21" s="1573"/>
      <c r="H21" s="327"/>
      <c r="I21" s="312"/>
      <c r="J21" s="28"/>
      <c r="K21" s="328"/>
      <c r="L21" s="303" t="s">
        <v>1412</v>
      </c>
      <c r="M21" s="304">
        <f ca="1">INDIRECT("'数据-取费表'!r"&amp;$G$1)</f>
        <v>13264.95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1537"/>
      <c r="F22" s="25"/>
      <c r="G22" s="1561"/>
      <c r="H22" s="1107" t="s">
        <v>1007</v>
      </c>
      <c r="I22" s="303" t="s">
        <v>1414</v>
      </c>
      <c r="J22" s="23">
        <f ca="1">ROUND(J14*M22,1)</f>
        <v>347</v>
      </c>
      <c r="K22" s="1521"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842</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1521" t="s">
        <v>1419</v>
      </c>
      <c r="L23" s="303" t="s">
        <v>1420</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1358</v>
      </c>
      <c r="I24" s="1244" t="s">
        <v>1404</v>
      </c>
      <c r="J24" s="1245">
        <f ca="1">ROUND(J5*M24,1)</f>
        <v>0</v>
      </c>
      <c r="K24" s="1246" t="s">
        <v>1424</v>
      </c>
      <c r="L24" s="1244" t="s">
        <v>1420</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1537"/>
      <c r="F25" s="25"/>
      <c r="G25" s="1561"/>
      <c r="H25" s="1233" t="s">
        <v>999</v>
      </c>
      <c r="I25" s="1248" t="s">
        <v>1428</v>
      </c>
      <c r="J25" s="311">
        <f ca="1">J5-J16</f>
        <v>-543</v>
      </c>
      <c r="K25" s="1249" t="s">
        <v>1429</v>
      </c>
      <c r="L25" s="1250"/>
      <c r="M25" s="1251"/>
    </row>
    <row r="26" spans="1:37">
      <c r="A26" s="1107" t="s">
        <v>1002</v>
      </c>
      <c r="B26" s="303" t="s">
        <v>1430</v>
      </c>
      <c r="C26" s="23">
        <f ca="1">ROUND((C19+C20)*F26,0)</f>
        <v>968</v>
      </c>
      <c r="D26" s="324" t="s">
        <v>1431</v>
      </c>
      <c r="E26" s="314" t="s">
        <v>1432</v>
      </c>
      <c r="F26" s="313">
        <f ca="1">INDIRECT("'数据-取费表'!q"&amp;$G$1)</f>
        <v>0.05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1.5E-3</v>
      </c>
      <c r="D27" s="324" t="s">
        <v>1437</v>
      </c>
      <c r="E27" s="321"/>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23135</v>
      </c>
      <c r="D29" s="1246"/>
      <c r="E29" s="1244"/>
      <c r="F29" s="1247"/>
      <c r="G29" s="1573"/>
      <c r="H29" s="335" t="s">
        <v>1001</v>
      </c>
      <c r="I29" s="336" t="s">
        <v>1444</v>
      </c>
      <c r="J29" s="337">
        <f ca="1">ROUND(J26/(1+F40)^F41,0)</f>
        <v>0</v>
      </c>
      <c r="K29" s="338" t="s">
        <v>1445</v>
      </c>
      <c r="L29" s="339"/>
      <c r="M29" s="340">
        <f ca="1">INDIRECT("'数据-取费表'!k"&amp;$G$1)</f>
        <v>32537.82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949</v>
      </c>
      <c r="D30" s="1241" t="s">
        <v>1390</v>
      </c>
      <c r="E30" s="1242"/>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507</v>
      </c>
      <c r="D31" s="1522" t="s">
        <v>1395</v>
      </c>
      <c r="E31" s="152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158.61000000000001</v>
      </c>
      <c r="D32" s="152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346.06</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1.99</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13264.95</v>
      </c>
      <c r="G35" s="1561"/>
      <c r="H35" s="2914"/>
      <c r="I35" s="1575"/>
      <c r="J35" s="1576"/>
      <c r="K35" s="2918"/>
      <c r="L35" s="2917"/>
      <c r="M35" s="2917"/>
    </row>
    <row r="36" spans="1:18" ht="18" customHeight="1">
      <c r="A36" s="1256" t="s">
        <v>1007</v>
      </c>
      <c r="B36" s="303" t="s">
        <v>1414</v>
      </c>
      <c r="C36" s="23">
        <f ca="1">ROUND(C29*F36,1)</f>
        <v>347</v>
      </c>
      <c r="D36" s="1521"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34.700000000000003</v>
      </c>
      <c r="D37" s="1521" t="s">
        <v>1419</v>
      </c>
      <c r="E37" s="303" t="s">
        <v>1420</v>
      </c>
      <c r="F37" s="331">
        <f ca="1">INDIRECT("'数据-取费表'!Al"&amp;$G$1)</f>
        <v>1.5E-3</v>
      </c>
      <c r="G37" s="1561"/>
      <c r="H37" s="2917"/>
      <c r="I37" s="1575"/>
      <c r="J37" s="1576"/>
      <c r="K37" s="2759"/>
      <c r="L37" s="2917"/>
      <c r="M37" s="2917"/>
    </row>
    <row r="38" spans="1:18" ht="18" customHeight="1" thickBot="1">
      <c r="A38" s="1243" t="s">
        <v>1358</v>
      </c>
      <c r="B38" s="1244" t="s">
        <v>1404</v>
      </c>
      <c r="C38" s="1245">
        <f ca="1">ROUND(C5*F38,1)</f>
        <v>60.6</v>
      </c>
      <c r="D38" s="1246" t="s">
        <v>1424</v>
      </c>
      <c r="E38" s="1244" t="s">
        <v>1420</v>
      </c>
      <c r="F38" s="1240">
        <f ca="1">INDIRECT("'数据-取费表'!Am"&amp;$G$1)</f>
        <v>0.02</v>
      </c>
      <c r="G38" s="1561"/>
      <c r="H38" s="2917"/>
      <c r="I38" s="1575"/>
      <c r="J38" s="1576"/>
      <c r="K38" s="2921"/>
      <c r="L38" s="2917"/>
      <c r="M38" s="2917"/>
    </row>
    <row r="39" spans="1:18" ht="24.6" customHeight="1" thickTop="1">
      <c r="A39" s="1233" t="s">
        <v>999</v>
      </c>
      <c r="B39" s="1248" t="s">
        <v>1448</v>
      </c>
      <c r="C39" s="311">
        <f ca="1">C5-C30</f>
        <v>2083</v>
      </c>
      <c r="D39" s="1249" t="s">
        <v>1449</v>
      </c>
      <c r="E39" s="1250"/>
      <c r="F39" s="1251"/>
      <c r="G39" s="1561"/>
      <c r="H39" s="2917"/>
      <c r="I39" s="1575"/>
      <c r="J39" s="1576"/>
      <c r="K39" s="2921"/>
      <c r="L39" s="2917"/>
      <c r="M39" s="2917"/>
    </row>
    <row r="40" spans="1:18" ht="18" customHeight="1">
      <c r="A40" s="300" t="s">
        <v>1000</v>
      </c>
      <c r="B40" s="301" t="s">
        <v>1450</v>
      </c>
      <c r="C40" s="302">
        <f ca="1">ROUND(C39*(1-((1+F42)/(1+F40))^F41)/(F40-F42),0)</f>
        <v>36654</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64.19</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11265</v>
      </c>
      <c r="D43" s="338" t="s">
        <v>1453</v>
      </c>
      <c r="E43" s="339" t="s">
        <v>1454</v>
      </c>
      <c r="F43" s="340">
        <f ca="1">INDIRECT("'数据-取费表'!k"&amp;$G$1)</f>
        <v>32537.82</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-77602</v>
      </c>
      <c r="D46" s="1583" t="str">
        <f>C2</f>
        <v>万元</v>
      </c>
      <c r="E46" s="1577"/>
      <c r="F46" s="1577"/>
      <c r="I46" s="1584" t="s">
        <v>1486</v>
      </c>
      <c r="J46" s="1585"/>
      <c r="K46" s="1586"/>
      <c r="L46" s="1587">
        <f>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70</v>
      </c>
      <c r="M47" s="1557" t="str">
        <f>IF(ISNUMBER(FIND("住宅",C1)),"住宅","非住宅")</f>
        <v>住宅</v>
      </c>
      <c r="O47" s="1595" t="s">
        <v>1008</v>
      </c>
      <c r="P47" s="1596" t="s">
        <v>1493</v>
      </c>
      <c r="Q47" s="1597">
        <f ca="1">C40+J29</f>
        <v>36654</v>
      </c>
      <c r="R47" s="1597" t="s">
        <v>1494</v>
      </c>
    </row>
    <row r="48" spans="1:18" s="1561" customFormat="1" ht="28.5" thickBot="1">
      <c r="A48" s="1264" t="s">
        <v>1103</v>
      </c>
      <c r="B48" s="301" t="s">
        <v>1366</v>
      </c>
      <c r="C48" s="1536">
        <f ca="1">C49+C53+C55</f>
        <v>0</v>
      </c>
      <c r="D48" s="1266"/>
      <c r="E48" s="1267"/>
      <c r="F48" s="1087"/>
      <c r="G48" s="726"/>
      <c r="H48" s="727"/>
      <c r="I48" s="1598" t="s">
        <v>1495</v>
      </c>
      <c r="J48" s="1599" t="s">
        <v>5411</v>
      </c>
      <c r="K48" s="1600" t="s">
        <v>1496</v>
      </c>
      <c r="L48" s="1601">
        <f ca="1">INDIRECT("'数据-取费表'!f"&amp;$G$1)</f>
        <v>65.59</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2848</v>
      </c>
      <c r="E49" s="1549" t="s">
        <v>1456</v>
      </c>
      <c r="F49" s="1185"/>
      <c r="G49" s="1602"/>
      <c r="H49" s="727"/>
      <c r="I49" s="1598" t="s">
        <v>1499</v>
      </c>
      <c r="J49" s="1603">
        <v>2022</v>
      </c>
      <c r="K49" s="1600" t="s">
        <v>1500</v>
      </c>
      <c r="L49" s="1604"/>
      <c r="O49" s="1605" t="s">
        <v>1010</v>
      </c>
      <c r="P49" s="1596" t="s">
        <v>1501</v>
      </c>
      <c r="Q49" s="1597">
        <f ca="1">C29</f>
        <v>23135</v>
      </c>
      <c r="R49" s="1597" t="s">
        <v>1494</v>
      </c>
    </row>
    <row r="50" spans="1:18" s="1561" customFormat="1" ht="13.5" thickBot="1">
      <c r="A50" s="1101"/>
      <c r="B50" s="1104"/>
      <c r="C50" s="1272"/>
      <c r="D50" s="1078"/>
      <c r="E50" s="1181" t="s">
        <v>1371</v>
      </c>
      <c r="F50" s="1182">
        <f ca="1">F7</f>
        <v>32537.82</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2636</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64.19</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64.19</v>
      </c>
      <c r="K53" s="3556" t="s">
        <v>1513</v>
      </c>
      <c r="L53" s="3557"/>
      <c r="O53" s="1595" t="s">
        <v>1014</v>
      </c>
      <c r="P53" s="1596" t="s">
        <v>1514</v>
      </c>
      <c r="Q53" s="1597">
        <f ca="1">Q47+Q48</f>
        <v>36654</v>
      </c>
      <c r="R53" s="1597" t="s">
        <v>1015</v>
      </c>
    </row>
    <row r="54" spans="1:18" s="1561" customFormat="1" ht="13.5" thickBot="1">
      <c r="A54" s="1309"/>
      <c r="B54" s="1544" t="s">
        <v>1353</v>
      </c>
      <c r="C54" s="1084"/>
      <c r="D54" s="1543"/>
      <c r="E54" s="1551"/>
      <c r="F54" s="1617"/>
      <c r="I54" s="161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23135</v>
      </c>
      <c r="D56" s="1624"/>
      <c r="E56" s="1625"/>
      <c r="F56" s="1617"/>
      <c r="I56" s="1626" t="s">
        <v>1519</v>
      </c>
      <c r="J56" s="1627" t="s">
        <v>3229</v>
      </c>
      <c r="K56" s="1598" t="s">
        <v>1520</v>
      </c>
      <c r="L56" s="1601">
        <f ca="1">IF(L48&lt;J51,"——",L48-J53)</f>
        <v>1.4000000000000057</v>
      </c>
      <c r="O56" s="1595" t="s">
        <v>1008</v>
      </c>
      <c r="P56" s="1596" t="s">
        <v>1493</v>
      </c>
      <c r="Q56" s="1597">
        <f ca="1">C40+J29</f>
        <v>36654</v>
      </c>
      <c r="R56" s="1597" t="s">
        <v>1494</v>
      </c>
    </row>
    <row r="57" spans="1:18" s="1561" customFormat="1" ht="24.75" thickBot="1">
      <c r="A57" s="1628"/>
      <c r="B57" s="1075" t="s">
        <v>1443</v>
      </c>
      <c r="C57" s="239">
        <f ca="1">C29</f>
        <v>23135</v>
      </c>
      <c r="D57" s="1629"/>
      <c r="E57" s="1630"/>
      <c r="F57" s="1631"/>
      <c r="I57" s="1632" t="s">
        <v>1521</v>
      </c>
      <c r="J57" s="1633" t="str">
        <f ca="1">IF(OR(M47="住宅",J51&lt;L48,J56="是"),"——",J51-L48)</f>
        <v>——</v>
      </c>
      <c r="K57" s="1598" t="s">
        <v>1522</v>
      </c>
      <c r="L57" s="1601">
        <f ca="1">IF(L48&lt;J51,"——",IF(L55="比较法",L49,IF(L55="基准地价",L50,L51)))</f>
        <v>2636</v>
      </c>
      <c r="O57" s="1595" t="s">
        <v>1009</v>
      </c>
      <c r="P57" s="1596" t="s">
        <v>1523</v>
      </c>
      <c r="Q57" s="1597">
        <f ca="1">L60</f>
        <v>0</v>
      </c>
      <c r="R57" s="1597" t="s">
        <v>1524</v>
      </c>
    </row>
    <row r="58" spans="1:18" s="1561" customFormat="1" ht="24.75" thickBot="1">
      <c r="A58" s="316" t="s">
        <v>998</v>
      </c>
      <c r="B58" s="1083" t="s">
        <v>1389</v>
      </c>
      <c r="C58" s="317">
        <f ca="1">ROUND(C59+C64+C65+C66,0)</f>
        <v>2327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1945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3">
        <f ca="1">IF(项目基本情况!B11="自然人","——",IF(D61="按租金收入计税",ROUND(C49*F61/(1+'数据-取费表'!C42),2),IF(D61="按房产原值计税",ROUND(C57*F61*0.7,2),INDIRECT("'数据-取费表'!Aj"&amp;$G$1))))</f>
        <v>1943.34</v>
      </c>
      <c r="D61" s="1547" t="s">
        <v>1403</v>
      </c>
      <c r="E61" s="1075" t="s">
        <v>1459</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1461</v>
      </c>
      <c r="C62" s="24">
        <f ca="1">IF(项目基本情况!B11="自然人","——",ROUND(F62*F63/10000,2))</f>
        <v>1.99</v>
      </c>
      <c r="D62" s="1090" t="s">
        <v>1462</v>
      </c>
      <c r="E62" s="1075" t="s">
        <v>1463</v>
      </c>
      <c r="F62" s="326">
        <f t="shared" si="0"/>
        <v>1.5</v>
      </c>
      <c r="I62" s="1639" t="s">
        <v>1535</v>
      </c>
      <c r="J62" s="1640" t="s">
        <v>1536</v>
      </c>
      <c r="K62" s="1640" t="s">
        <v>1537</v>
      </c>
      <c r="L62" s="1640" t="s">
        <v>1538</v>
      </c>
      <c r="M62" s="1641" t="s">
        <v>1539</v>
      </c>
      <c r="O62" s="1595" t="s">
        <v>1014</v>
      </c>
      <c r="P62" s="1596" t="s">
        <v>1540</v>
      </c>
      <c r="Q62" s="1597">
        <f ca="1">Q56+Q57</f>
        <v>36654</v>
      </c>
      <c r="R62" s="1597" t="s">
        <v>1015</v>
      </c>
    </row>
    <row r="63" spans="1:18" s="1561" customFormat="1" ht="13.5" thickBot="1">
      <c r="A63" s="327"/>
      <c r="B63" s="1081"/>
      <c r="C63" s="28"/>
      <c r="D63" s="1091"/>
      <c r="E63" s="1075" t="s">
        <v>1464</v>
      </c>
      <c r="F63" s="304">
        <f t="shared" ca="1" si="0"/>
        <v>13264.95</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3">
        <f ca="1">ROUND(C57*F64,1)</f>
        <v>347</v>
      </c>
      <c r="D64" s="1089" t="s">
        <v>1467</v>
      </c>
      <c r="E64" s="1075" t="s">
        <v>1459</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34.700000000000003</v>
      </c>
      <c r="D65" s="1089" t="s">
        <v>1419</v>
      </c>
      <c r="E65" s="1075" t="s">
        <v>1420</v>
      </c>
      <c r="F65" s="331">
        <f t="shared" ca="1" si="0"/>
        <v>1.5E-3</v>
      </c>
      <c r="I65" s="1639" t="s">
        <v>1544</v>
      </c>
      <c r="J65" s="1640">
        <v>40</v>
      </c>
      <c r="K65" s="1640">
        <v>30</v>
      </c>
      <c r="L65" s="1640">
        <v>50</v>
      </c>
      <c r="M65" s="1642">
        <v>0.02</v>
      </c>
      <c r="O65" s="1595" t="s">
        <v>1008</v>
      </c>
      <c r="P65" s="1596" t="s">
        <v>1545</v>
      </c>
      <c r="Q65" s="1597">
        <f ca="1">C40+J29</f>
        <v>36654</v>
      </c>
      <c r="R65" s="1597" t="s">
        <v>1494</v>
      </c>
    </row>
    <row r="66" spans="1:18" s="1561" customFormat="1" ht="16.5" thickBot="1">
      <c r="A66" s="1107" t="s">
        <v>1469</v>
      </c>
      <c r="B66" s="1075" t="s">
        <v>1404</v>
      </c>
      <c r="C66" s="23">
        <f ca="1">ROUND(C48*F66,1)</f>
        <v>0</v>
      </c>
      <c r="D66" s="1089" t="s">
        <v>1470</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-2327</v>
      </c>
      <c r="D67" s="1088" t="s">
        <v>1429</v>
      </c>
      <c r="E67" s="1093"/>
      <c r="F67" s="1094"/>
      <c r="O67" s="1605" t="s">
        <v>1010</v>
      </c>
      <c r="P67" s="1596" t="s">
        <v>1527</v>
      </c>
      <c r="Q67" s="1643">
        <f ca="1">L51</f>
        <v>2636</v>
      </c>
      <c r="R67" s="1597" t="s">
        <v>1547</v>
      </c>
    </row>
    <row r="68" spans="1:18" s="1561" customFormat="1" ht="16.5" thickBot="1">
      <c r="A68" s="1072" t="s">
        <v>1000</v>
      </c>
      <c r="B68" s="1073" t="s">
        <v>1450</v>
      </c>
      <c r="C68" s="302">
        <f ca="1">ROUND(C67*(1-((1+F70)/(1+F68))^F69)/(F68-F70),0)</f>
        <v>-40948</v>
      </c>
      <c r="D68" s="1090" t="s">
        <v>1434</v>
      </c>
      <c r="E68" s="1075" t="s">
        <v>1435</v>
      </c>
      <c r="F68" s="313">
        <f ca="1">F40</f>
        <v>5.5E-2</v>
      </c>
      <c r="O68" s="1605" t="s">
        <v>1011</v>
      </c>
      <c r="P68" s="1644" t="s">
        <v>1548</v>
      </c>
      <c r="Q68" s="1597">
        <f ca="1">ROUND(Q69-Q70*Q71,0)</f>
        <v>117</v>
      </c>
      <c r="R68" s="1597" t="s">
        <v>1019</v>
      </c>
    </row>
    <row r="69" spans="1:18" s="1561" customFormat="1" ht="13.5" thickBot="1">
      <c r="A69" s="1076"/>
      <c r="B69" s="1077"/>
      <c r="C69" s="307"/>
      <c r="D69" s="1095" t="s">
        <v>1438</v>
      </c>
      <c r="E69" s="1075" t="s">
        <v>1439</v>
      </c>
      <c r="F69" s="334">
        <f ca="1">F41</f>
        <v>64.19</v>
      </c>
      <c r="O69" s="1605" t="s">
        <v>1016</v>
      </c>
      <c r="P69" s="1644" t="s">
        <v>1549</v>
      </c>
      <c r="Q69" s="1597">
        <f ca="1">C39</f>
        <v>2083</v>
      </c>
      <c r="R69" s="1597" t="s">
        <v>1494</v>
      </c>
    </row>
    <row r="70" spans="1:18" s="1561" customFormat="1" ht="13.5" thickBot="1">
      <c r="A70" s="1079"/>
      <c r="B70" s="1080"/>
      <c r="C70" s="311"/>
      <c r="D70" s="1091"/>
      <c r="E70" s="1075" t="s">
        <v>1442</v>
      </c>
      <c r="F70" s="1179"/>
      <c r="O70" s="1605" t="s">
        <v>1017</v>
      </c>
      <c r="P70" s="1644" t="s">
        <v>1550</v>
      </c>
      <c r="Q70" s="1597">
        <f ca="1">C13</f>
        <v>23135</v>
      </c>
      <c r="R70" s="1597" t="s">
        <v>1494</v>
      </c>
    </row>
    <row r="71" spans="1:18" s="1561" customFormat="1" ht="13.5" thickBot="1">
      <c r="A71" s="1096" t="s">
        <v>1001</v>
      </c>
      <c r="B71" s="1097" t="s">
        <v>1452</v>
      </c>
      <c r="C71" s="337">
        <f ca="1">ROUND(C68*10000/F71,0)</f>
        <v>-12585</v>
      </c>
      <c r="D71" s="1098" t="s">
        <v>1453</v>
      </c>
      <c r="E71" s="1099" t="s">
        <v>1454</v>
      </c>
      <c r="F71" s="340">
        <f ca="1">F43</f>
        <v>32537.82</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1966</v>
      </c>
      <c r="D75" s="1561"/>
      <c r="E75" s="1561"/>
      <c r="F75" s="1561"/>
      <c r="K75" s="1579"/>
      <c r="L75" s="1561"/>
      <c r="O75" s="1595" t="s">
        <v>1014</v>
      </c>
      <c r="P75" s="1596" t="s">
        <v>1514</v>
      </c>
      <c r="Q75" s="1597">
        <f ca="1">Q65+Q66</f>
        <v>36654</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5.600000000000005E-2</v>
      </c>
    </row>
    <row r="80" spans="1:18">
      <c r="B80" s="341" t="s">
        <v>1476</v>
      </c>
      <c r="C80" s="275">
        <f ca="1">ROUND(C75/C39,3)</f>
        <v>0.94399999999999995</v>
      </c>
    </row>
    <row r="81" spans="2:3">
      <c r="B81" s="271" t="s">
        <v>1477</v>
      </c>
      <c r="C81" s="239"/>
    </row>
    <row r="82" spans="2:3">
      <c r="B82" s="274" t="s">
        <v>1478</v>
      </c>
      <c r="C82" s="276">
        <f ca="1">1-C83</f>
        <v>0.36899999999999999</v>
      </c>
    </row>
    <row r="83" spans="2:3">
      <c r="B83" s="274" t="s">
        <v>1479</v>
      </c>
      <c r="C83" s="275">
        <f ca="1">ROUND(C13/C40,3)</f>
        <v>0.63100000000000001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56" priority="56">
      <formula>$L$48&gt;$J$51</formula>
    </cfRule>
  </conditionalFormatting>
  <conditionalFormatting sqref="I55 I60">
    <cfRule type="expression" dxfId="55" priority="57">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48"/>
  <sheetViews>
    <sheetView view="pageBreakPreview" topLeftCell="A34" zoomScaleNormal="60" zoomScaleSheetLayoutView="100" workbookViewId="0">
      <selection activeCell="D30" sqref="D30"/>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2346</v>
      </c>
      <c r="C1" s="1399" t="s">
        <v>2347</v>
      </c>
      <c r="D1" s="1386" t="s">
        <v>3485</v>
      </c>
      <c r="E1" s="2536"/>
      <c r="F1" s="2057" t="s">
        <v>2348</v>
      </c>
      <c r="G1" s="1396" t="s">
        <v>2349</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48" customFormat="1" ht="28.5" customHeight="1" thickTop="1">
      <c r="A2" s="1382" t="s">
        <v>1359</v>
      </c>
      <c r="B2" s="1320">
        <f>IF(C2="——",ROUND(C49*D3/10000,0),ROUND(C49*D3/10000,0)-D2)</f>
        <v>7664</v>
      </c>
      <c r="C2" s="2059" t="s">
        <v>70</v>
      </c>
      <c r="D2" s="1269" t="e">
        <f ca="1">SUMIF(INDIRECT("'"&amp;F2&amp;"'"&amp;"!A:A"),"承租人权益价值",INDIRECT("'"&amp;F2&amp;"'"&amp;"!c:c"))</f>
        <v>#REF!</v>
      </c>
      <c r="E2" s="2060" t="s">
        <v>2148</v>
      </c>
      <c r="F2" s="2061"/>
      <c r="G2" s="1032"/>
      <c r="H2" s="1032"/>
      <c r="I2" s="1032"/>
      <c r="J2" s="1032"/>
      <c r="K2" s="2062"/>
      <c r="L2" s="2930"/>
      <c r="M2" s="2931"/>
      <c r="N2" s="2931"/>
      <c r="O2" s="2931"/>
      <c r="P2" s="2063"/>
      <c r="Q2" s="2064"/>
      <c r="R2" s="2064"/>
      <c r="S2" s="2064"/>
      <c r="T2" s="2064"/>
      <c r="U2" s="2064"/>
      <c r="V2" s="2064"/>
      <c r="W2" s="2064"/>
      <c r="X2" s="2064"/>
      <c r="Y2" s="2064"/>
      <c r="Z2" s="2064"/>
      <c r="AA2" s="2064"/>
      <c r="AB2" s="2064"/>
      <c r="AC2" s="2065"/>
    </row>
    <row r="3" spans="1:29" s="348" customFormat="1" ht="28.5" customHeight="1" thickBot="1">
      <c r="A3" s="204" t="s">
        <v>1360</v>
      </c>
      <c r="B3" s="354">
        <f>IF(C2="——",C49,ROUND(B2*10000/D3,0))</f>
        <v>52023</v>
      </c>
      <c r="C3" s="355" t="s">
        <v>2351</v>
      </c>
      <c r="D3" s="354">
        <f>IF(D1="",'数据-汇总表'!E3,SUMIF('数据-汇总表'!$C19:$C33,D1,'数据-汇总表'!$E19:$E33))</f>
        <v>1473.1699999999998</v>
      </c>
      <c r="E3" s="1032"/>
      <c r="F3" s="2066"/>
      <c r="G3" s="1032"/>
      <c r="H3" s="1032"/>
      <c r="I3" s="1032"/>
      <c r="J3" s="1032"/>
      <c r="K3" s="2062"/>
      <c r="L3" s="2930"/>
      <c r="M3" s="2931"/>
      <c r="N3" s="2931"/>
      <c r="O3" s="2931"/>
      <c r="P3" s="2063"/>
      <c r="Q3" s="2064"/>
      <c r="R3" s="2064"/>
      <c r="S3" s="2064"/>
      <c r="T3" s="2064"/>
      <c r="U3" s="2064"/>
      <c r="V3" s="2064"/>
      <c r="W3" s="2064"/>
      <c r="X3" s="2064"/>
      <c r="Y3" s="2064"/>
      <c r="Z3" s="2064"/>
      <c r="AA3" s="2064"/>
      <c r="AB3" s="2064"/>
      <c r="AC3" s="1186"/>
    </row>
    <row r="4" spans="1:29" ht="15">
      <c r="A4" s="356" t="s">
        <v>2352</v>
      </c>
      <c r="B4" s="357"/>
      <c r="C4" s="3599" t="s">
        <v>2353</v>
      </c>
      <c r="D4" s="3600"/>
      <c r="E4" s="3601" t="s">
        <v>2354</v>
      </c>
      <c r="F4" s="3602"/>
      <c r="G4" s="3599" t="s">
        <v>2355</v>
      </c>
      <c r="H4" s="3600"/>
      <c r="I4" s="3599" t="s">
        <v>2356</v>
      </c>
      <c r="J4" s="3600"/>
      <c r="K4" s="2067" t="s">
        <v>2357</v>
      </c>
      <c r="L4" s="2932"/>
      <c r="M4" s="2933"/>
      <c r="N4" s="2933"/>
      <c r="O4" s="2933"/>
      <c r="P4" s="3603" t="s">
        <v>2358</v>
      </c>
      <c r="Q4" s="3604"/>
      <c r="R4" s="3586" t="s">
        <v>2354</v>
      </c>
      <c r="S4" s="3587"/>
      <c r="T4" s="3586" t="s">
        <v>2355</v>
      </c>
      <c r="U4" s="3587"/>
      <c r="V4" s="3611" t="s">
        <v>2356</v>
      </c>
      <c r="W4" s="3611"/>
      <c r="X4" s="3186"/>
      <c r="Y4" s="3586" t="s">
        <v>2358</v>
      </c>
      <c r="Z4" s="3587"/>
      <c r="AA4" s="3581" t="s">
        <v>2354</v>
      </c>
      <c r="AB4" s="3581" t="s">
        <v>2355</v>
      </c>
      <c r="AC4" s="3581" t="s">
        <v>2356</v>
      </c>
    </row>
    <row r="5" spans="1:29" ht="15">
      <c r="A5" s="359"/>
      <c r="B5" s="360"/>
      <c r="C5" s="3626" t="s">
        <v>2359</v>
      </c>
      <c r="D5" s="3627"/>
      <c r="E5" s="3624" t="str">
        <f>住宅案例!A33</f>
        <v>龙湾别墅·棠尚</v>
      </c>
      <c r="F5" s="3625"/>
      <c r="G5" s="3626" t="str">
        <f>住宅案例!A11</f>
        <v>建邦顺颐府</v>
      </c>
      <c r="H5" s="3627"/>
      <c r="I5" s="3626" t="str">
        <f>住宅案例!A5</f>
        <v>公园十七区</v>
      </c>
      <c r="J5" s="3627"/>
      <c r="K5" s="2068"/>
      <c r="L5" s="2932"/>
      <c r="M5" s="2933"/>
      <c r="N5" s="2933"/>
      <c r="O5" s="2933"/>
      <c r="P5" s="3605"/>
      <c r="Q5" s="3606"/>
      <c r="R5" s="3588"/>
      <c r="S5" s="3589"/>
      <c r="T5" s="3588"/>
      <c r="U5" s="3589"/>
      <c r="V5" s="3611"/>
      <c r="W5" s="3611"/>
      <c r="X5" s="3186"/>
      <c r="Y5" s="3588"/>
      <c r="Z5" s="3589"/>
      <c r="AA5" s="3582"/>
      <c r="AB5" s="3582"/>
      <c r="AC5" s="3582"/>
    </row>
    <row r="6" spans="1:29" ht="15.75" thickBot="1">
      <c r="A6" s="361"/>
      <c r="B6" s="362"/>
      <c r="C6" s="3628" t="s">
        <v>2363</v>
      </c>
      <c r="D6" s="3629"/>
      <c r="E6" s="3630" t="s">
        <v>2363</v>
      </c>
      <c r="F6" s="3631"/>
      <c r="G6" s="3628" t="s">
        <v>2363</v>
      </c>
      <c r="H6" s="3629"/>
      <c r="I6" s="3628" t="s">
        <v>2363</v>
      </c>
      <c r="J6" s="3629"/>
      <c r="K6" s="2068" t="s">
        <v>2364</v>
      </c>
      <c r="L6" s="2932"/>
      <c r="M6" s="2933"/>
      <c r="N6" s="2933"/>
      <c r="O6" s="2933"/>
      <c r="P6" s="3607"/>
      <c r="Q6" s="3608"/>
      <c r="R6" s="3588"/>
      <c r="S6" s="3589"/>
      <c r="T6" s="3609"/>
      <c r="U6" s="3610"/>
      <c r="V6" s="3611"/>
      <c r="W6" s="3611"/>
      <c r="X6" s="3186"/>
      <c r="Y6" s="3609"/>
      <c r="Z6" s="3610"/>
      <c r="AA6" s="3583"/>
      <c r="AB6" s="3583"/>
      <c r="AC6" s="3583"/>
    </row>
    <row r="7" spans="1:29" s="108" customFormat="1" ht="15.75" thickBot="1">
      <c r="A7" s="363" t="s">
        <v>2365</v>
      </c>
      <c r="B7" s="364"/>
      <c r="C7" s="365">
        <f>'数据-取费表'!B2</f>
        <v>44568</v>
      </c>
      <c r="D7" s="366">
        <v>100</v>
      </c>
      <c r="E7" s="367">
        <f>C7</f>
        <v>44568</v>
      </c>
      <c r="F7" s="368">
        <f>SUMIF(58:58,YEAR(E7)&amp;"-"&amp;MONTH(E7),59:59)</f>
        <v>100</v>
      </c>
      <c r="G7" s="367">
        <f>C7</f>
        <v>44568</v>
      </c>
      <c r="H7" s="366">
        <f>SUMIF(58:58,YEAR(G7)&amp;"-"&amp;MONTH(G7),59:59)</f>
        <v>100</v>
      </c>
      <c r="I7" s="367">
        <f>C7</f>
        <v>44568</v>
      </c>
      <c r="J7" s="366">
        <f>SUMIF(58:58,YEAR(I7)&amp;"-"&amp;MONTH(I7),59:59)</f>
        <v>100</v>
      </c>
      <c r="K7" s="2069"/>
      <c r="L7" s="2934"/>
      <c r="M7" s="2935"/>
      <c r="N7" s="2935"/>
      <c r="O7" s="2935"/>
      <c r="P7" s="3584" t="s">
        <v>2366</v>
      </c>
      <c r="Q7" s="3612"/>
      <c r="R7" s="705" t="s">
        <v>23</v>
      </c>
      <c r="S7" s="706">
        <f t="shared" ref="S7:S15" si="0">F7</f>
        <v>100</v>
      </c>
      <c r="T7" s="705" t="s">
        <v>23</v>
      </c>
      <c r="U7" s="706">
        <f t="shared" ref="U7:U15" si="1">H7</f>
        <v>100</v>
      </c>
      <c r="V7" s="705" t="s">
        <v>23</v>
      </c>
      <c r="W7" s="706">
        <f t="shared" ref="W7:W15" si="2">J7</f>
        <v>100</v>
      </c>
      <c r="X7" s="707"/>
      <c r="Y7" s="3584" t="s">
        <v>2366</v>
      </c>
      <c r="Z7" s="3585"/>
      <c r="AA7" s="708">
        <f>D7/F7</f>
        <v>1</v>
      </c>
      <c r="AB7" s="708">
        <f>D7/H7</f>
        <v>1</v>
      </c>
      <c r="AC7" s="708">
        <f>D7/J7</f>
        <v>1</v>
      </c>
    </row>
    <row r="8" spans="1:29" s="108" customFormat="1" ht="15.75" thickBot="1">
      <c r="A8" s="363" t="s">
        <v>2367</v>
      </c>
      <c r="B8" s="364"/>
      <c r="C8" s="369" t="s">
        <v>2368</v>
      </c>
      <c r="D8" s="366">
        <v>100</v>
      </c>
      <c r="E8" s="2070" t="s">
        <v>3258</v>
      </c>
      <c r="F8" s="368">
        <f>SUMIF(61:61,E8,62:62)-SUMIF(61:61,C8,62:62)+100</f>
        <v>100</v>
      </c>
      <c r="G8" s="369" t="s">
        <v>3258</v>
      </c>
      <c r="H8" s="366">
        <f>SUMIF(61:61,G8,62:62)-SUMIF(61:61,C8,62:62)+100</f>
        <v>100</v>
      </c>
      <c r="I8" s="2070" t="s">
        <v>3258</v>
      </c>
      <c r="J8" s="366">
        <f>SUMIF(61:61,I8,62:62)-SUMIF(61:61,C8,62:62)+100</f>
        <v>100</v>
      </c>
      <c r="K8" s="2069"/>
      <c r="L8" s="2934"/>
      <c r="M8" s="2935"/>
      <c r="N8" s="2935"/>
      <c r="O8" s="2935"/>
      <c r="P8" s="3584" t="s">
        <v>2369</v>
      </c>
      <c r="Q8" s="3585"/>
      <c r="R8" s="705" t="s">
        <v>23</v>
      </c>
      <c r="S8" s="706">
        <f t="shared" si="0"/>
        <v>100</v>
      </c>
      <c r="T8" s="705" t="s">
        <v>23</v>
      </c>
      <c r="U8" s="706">
        <f t="shared" si="1"/>
        <v>100</v>
      </c>
      <c r="V8" s="705" t="s">
        <v>23</v>
      </c>
      <c r="W8" s="706">
        <f t="shared" si="2"/>
        <v>100</v>
      </c>
      <c r="X8" s="707"/>
      <c r="Y8" s="3584" t="s">
        <v>2369</v>
      </c>
      <c r="Z8" s="3585"/>
      <c r="AA8" s="708">
        <f t="shared" ref="AA8:AA19" si="3">D8/F8</f>
        <v>1</v>
      </c>
      <c r="AB8" s="708">
        <f t="shared" ref="AB8:AB19" si="4">D8/H8</f>
        <v>1</v>
      </c>
      <c r="AC8" s="708">
        <f t="shared" ref="AC8:AC19" si="5">D8/J8</f>
        <v>1</v>
      </c>
    </row>
    <row r="9" spans="1:29" s="108" customFormat="1">
      <c r="A9" s="370" t="s">
        <v>2370</v>
      </c>
      <c r="B9" s="63" t="s">
        <v>2371</v>
      </c>
      <c r="C9" s="3104" t="s">
        <v>3461</v>
      </c>
      <c r="D9" s="126">
        <v>100</v>
      </c>
      <c r="E9" s="372" t="s">
        <v>3058</v>
      </c>
      <c r="F9" s="373">
        <f>SUMIF(63:63,E9,64:64)-SUMIF(63:63,C9,64:64)+100</f>
        <v>100</v>
      </c>
      <c r="G9" s="374" t="s">
        <v>3058</v>
      </c>
      <c r="H9" s="126">
        <f>SUMIF(63:63,G9,64:64)-SUMIF(63:63,C9,64:64)+100</f>
        <v>100</v>
      </c>
      <c r="I9" s="374" t="s">
        <v>3058</v>
      </c>
      <c r="J9" s="126">
        <f>SUMIF(63:63,I9,64:64)-SUMIF(63:63,C9,64:64)+100</f>
        <v>100</v>
      </c>
      <c r="K9" s="2069"/>
      <c r="L9" s="2934"/>
      <c r="M9" s="2935"/>
      <c r="N9" s="2935"/>
      <c r="O9" s="2935"/>
      <c r="P9" s="3622" t="s">
        <v>2372</v>
      </c>
      <c r="Q9" s="3183" t="str">
        <f t="shared" ref="Q9:Q15" si="6">B9</f>
        <v>用途</v>
      </c>
      <c r="R9" s="705" t="s">
        <v>17</v>
      </c>
      <c r="S9" s="706">
        <f t="shared" si="0"/>
        <v>100</v>
      </c>
      <c r="T9" s="705" t="s">
        <v>17</v>
      </c>
      <c r="U9" s="706">
        <f t="shared" si="1"/>
        <v>100</v>
      </c>
      <c r="V9" s="705" t="s">
        <v>17</v>
      </c>
      <c r="W9" s="706">
        <f t="shared" si="2"/>
        <v>100</v>
      </c>
      <c r="X9" s="707"/>
      <c r="Y9" s="3522" t="s">
        <v>2373</v>
      </c>
      <c r="Z9" s="3182" t="str">
        <f t="shared" ref="Z9:Z15" si="7">Q9</f>
        <v>用途</v>
      </c>
      <c r="AA9" s="708">
        <f t="shared" si="3"/>
        <v>1</v>
      </c>
      <c r="AB9" s="708">
        <f t="shared" si="4"/>
        <v>1</v>
      </c>
      <c r="AC9" s="708">
        <f t="shared" si="5"/>
        <v>1</v>
      </c>
    </row>
    <row r="10" spans="1:29" s="381" customFormat="1" ht="27">
      <c r="A10" s="375"/>
      <c r="B10" s="376" t="s">
        <v>2374</v>
      </c>
      <c r="C10" s="377" t="s">
        <v>3462</v>
      </c>
      <c r="D10" s="127">
        <v>100</v>
      </c>
      <c r="E10" s="378" t="s">
        <v>3462</v>
      </c>
      <c r="F10" s="379">
        <f>SUMIF(65:65,E10,66:66)-SUMIF(65:65,C10,66:66)+100</f>
        <v>100</v>
      </c>
      <c r="G10" s="377" t="s">
        <v>3462</v>
      </c>
      <c r="H10" s="127">
        <f>SUMIF(65:65,G10,66:66)-SUMIF(65:65,C10,66:66)+100</f>
        <v>100</v>
      </c>
      <c r="I10" s="377" t="s">
        <v>3462</v>
      </c>
      <c r="J10" s="127">
        <f>SUMIF(65:65,I10,66:66)-SUMIF(65:65,C10,66:66)+100</f>
        <v>100</v>
      </c>
      <c r="K10" s="380">
        <v>2</v>
      </c>
      <c r="L10" s="2936"/>
      <c r="M10" s="2937"/>
      <c r="N10" s="2937"/>
      <c r="O10" s="2937"/>
      <c r="P10" s="3622"/>
      <c r="Q10" s="3183" t="str">
        <f t="shared" si="6"/>
        <v>土地使用年限（年）</v>
      </c>
      <c r="R10" s="705" t="s">
        <v>17</v>
      </c>
      <c r="S10" s="706">
        <f t="shared" si="0"/>
        <v>100</v>
      </c>
      <c r="T10" s="705" t="s">
        <v>17</v>
      </c>
      <c r="U10" s="706">
        <f t="shared" si="1"/>
        <v>100</v>
      </c>
      <c r="V10" s="705" t="s">
        <v>17</v>
      </c>
      <c r="W10" s="706">
        <f t="shared" si="2"/>
        <v>100</v>
      </c>
      <c r="X10" s="707"/>
      <c r="Y10" s="3522"/>
      <c r="Z10" s="3182" t="str">
        <f t="shared" si="7"/>
        <v>土地使用年限（年）</v>
      </c>
      <c r="AA10" s="708">
        <f t="shared" si="3"/>
        <v>1</v>
      </c>
      <c r="AB10" s="708">
        <f t="shared" si="4"/>
        <v>1</v>
      </c>
      <c r="AC10" s="708">
        <f t="shared" si="5"/>
        <v>1</v>
      </c>
    </row>
    <row r="11" spans="1:29" ht="15">
      <c r="A11" s="382"/>
      <c r="B11" s="376" t="s">
        <v>2375</v>
      </c>
      <c r="C11" s="383">
        <v>1.01</v>
      </c>
      <c r="D11" s="127">
        <v>100</v>
      </c>
      <c r="E11" s="384">
        <v>0.62</v>
      </c>
      <c r="F11" s="379">
        <f>LOOKUP(E11,68:68,69:69)-LOOKUP(C11,68:68,69:69)+100</f>
        <v>102</v>
      </c>
      <c r="G11" s="383">
        <v>1.8</v>
      </c>
      <c r="H11" s="127">
        <f>LOOKUP(G11,68:68,69:69)-LOOKUP(C11,68:68,69:69)+100</f>
        <v>98</v>
      </c>
      <c r="I11" s="383">
        <v>2</v>
      </c>
      <c r="J11" s="127">
        <f>LOOKUP(I11,68:68,69:69)-LOOKUP(C11,68:68,69:69)+100</f>
        <v>96</v>
      </c>
      <c r="K11" s="380">
        <v>2</v>
      </c>
      <c r="L11" s="2938"/>
      <c r="M11" s="2933"/>
      <c r="N11" s="2933"/>
      <c r="O11" s="2933"/>
      <c r="P11" s="3622"/>
      <c r="Q11" s="3183" t="str">
        <f t="shared" si="6"/>
        <v>容积率</v>
      </c>
      <c r="R11" s="705" t="s">
        <v>21</v>
      </c>
      <c r="S11" s="706">
        <f t="shared" si="0"/>
        <v>102</v>
      </c>
      <c r="T11" s="705" t="s">
        <v>21</v>
      </c>
      <c r="U11" s="706">
        <f t="shared" si="1"/>
        <v>98</v>
      </c>
      <c r="V11" s="705" t="s">
        <v>21</v>
      </c>
      <c r="W11" s="706">
        <f t="shared" si="2"/>
        <v>96</v>
      </c>
      <c r="X11" s="707"/>
      <c r="Y11" s="3522"/>
      <c r="Z11" s="3182" t="str">
        <f t="shared" si="7"/>
        <v>容积率</v>
      </c>
      <c r="AA11" s="708">
        <f t="shared" si="3"/>
        <v>0.98039215686274506</v>
      </c>
      <c r="AB11" s="708">
        <f t="shared" si="4"/>
        <v>1.0204081632653061</v>
      </c>
      <c r="AC11" s="708">
        <f t="shared" si="5"/>
        <v>1.0416666666666667</v>
      </c>
    </row>
    <row r="12" spans="1:29" s="108" customFormat="1" ht="15">
      <c r="A12" s="385"/>
      <c r="B12" s="3083" t="s">
        <v>3470</v>
      </c>
      <c r="C12" s="386"/>
      <c r="D12" s="387">
        <v>100</v>
      </c>
      <c r="E12" s="386"/>
      <c r="F12" s="379">
        <f>SUMIF(70:70,E12,71:71)-SUMIF(70:70,C12,71:71)+100</f>
        <v>100</v>
      </c>
      <c r="G12" s="386"/>
      <c r="H12" s="127">
        <f>SUMIF(70:70,G12,71:71)-SUMIF(70:70,C12,71:71)+100</f>
        <v>100</v>
      </c>
      <c r="I12" s="386"/>
      <c r="J12" s="127">
        <f>SUMIF(70:70,I12,71:71)-SUMIF(70:70,C12,71:71)+100</f>
        <v>100</v>
      </c>
      <c r="K12" s="2072"/>
      <c r="L12" s="2934"/>
      <c r="M12" s="2935"/>
      <c r="N12" s="2935"/>
      <c r="O12" s="2935"/>
      <c r="P12" s="3622"/>
      <c r="Q12" s="3183" t="str">
        <f t="shared" si="6"/>
        <v>是否为限价房</v>
      </c>
      <c r="R12" s="705" t="s">
        <v>21</v>
      </c>
      <c r="S12" s="706">
        <f t="shared" si="0"/>
        <v>100</v>
      </c>
      <c r="T12" s="705" t="s">
        <v>21</v>
      </c>
      <c r="U12" s="706">
        <f t="shared" si="1"/>
        <v>100</v>
      </c>
      <c r="V12" s="705" t="s">
        <v>21</v>
      </c>
      <c r="W12" s="706">
        <f t="shared" si="2"/>
        <v>100</v>
      </c>
      <c r="X12" s="707"/>
      <c r="Y12" s="3522"/>
      <c r="Z12" s="3182" t="str">
        <f t="shared" si="7"/>
        <v>是否为限价房</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2072"/>
      <c r="L13" s="2939"/>
      <c r="M13" s="2933"/>
      <c r="N13" s="2933"/>
      <c r="O13" s="2933"/>
      <c r="P13" s="3622"/>
      <c r="Q13" s="3183">
        <f t="shared" si="6"/>
        <v>111</v>
      </c>
      <c r="R13" s="705" t="s">
        <v>21</v>
      </c>
      <c r="S13" s="706">
        <f t="shared" si="0"/>
        <v>100</v>
      </c>
      <c r="T13" s="705" t="s">
        <v>21</v>
      </c>
      <c r="U13" s="706">
        <f t="shared" si="1"/>
        <v>100</v>
      </c>
      <c r="V13" s="705" t="s">
        <v>21</v>
      </c>
      <c r="W13" s="706">
        <f t="shared" si="2"/>
        <v>100</v>
      </c>
      <c r="X13" s="707"/>
      <c r="Y13" s="3522"/>
      <c r="Z13" s="3182">
        <f t="shared" si="7"/>
        <v>111</v>
      </c>
      <c r="AA13" s="708">
        <f t="shared" si="3"/>
        <v>1</v>
      </c>
      <c r="AB13" s="708">
        <f t="shared" si="4"/>
        <v>1</v>
      </c>
      <c r="AC13" s="708">
        <f t="shared" si="5"/>
        <v>1</v>
      </c>
    </row>
    <row r="14" spans="1:29" ht="15.75" thickBot="1">
      <c r="A14" s="390"/>
      <c r="B14" s="2073">
        <v>111</v>
      </c>
      <c r="C14" s="391"/>
      <c r="D14" s="392">
        <v>100</v>
      </c>
      <c r="E14" s="391"/>
      <c r="F14" s="393">
        <f>SUMIF(74:74,E14,75:75)-SUMIF(74:74,C14,75:75)+100</f>
        <v>100</v>
      </c>
      <c r="G14" s="391"/>
      <c r="H14" s="392">
        <f>SUMIF(74:74,G14,75:75)-SUMIF(74:74,C14,75:75)+100</f>
        <v>100</v>
      </c>
      <c r="I14" s="391"/>
      <c r="J14" s="392">
        <f>SUMIF(74:74,I14,75:75)-SUMIF(74:74,C14,75:75)+100</f>
        <v>100</v>
      </c>
      <c r="K14" s="2072"/>
      <c r="L14" s="2939"/>
      <c r="M14" s="2933"/>
      <c r="N14" s="2933"/>
      <c r="O14" s="2933"/>
      <c r="P14" s="3622"/>
      <c r="Q14" s="3183">
        <f t="shared" si="6"/>
        <v>111</v>
      </c>
      <c r="R14" s="705" t="s">
        <v>21</v>
      </c>
      <c r="S14" s="706">
        <f t="shared" si="0"/>
        <v>100</v>
      </c>
      <c r="T14" s="705" t="s">
        <v>21</v>
      </c>
      <c r="U14" s="706">
        <f t="shared" si="1"/>
        <v>100</v>
      </c>
      <c r="V14" s="705" t="s">
        <v>21</v>
      </c>
      <c r="W14" s="706">
        <f t="shared" si="2"/>
        <v>100</v>
      </c>
      <c r="X14" s="707"/>
      <c r="Y14" s="3522"/>
      <c r="Z14" s="3182">
        <f t="shared" si="7"/>
        <v>111</v>
      </c>
      <c r="AA14" s="708">
        <f t="shared" si="3"/>
        <v>1</v>
      </c>
      <c r="AB14" s="708">
        <f t="shared" si="4"/>
        <v>1</v>
      </c>
      <c r="AC14" s="708">
        <f t="shared" si="5"/>
        <v>1</v>
      </c>
    </row>
    <row r="15" spans="1:29" ht="15">
      <c r="A15" s="394" t="s">
        <v>2376</v>
      </c>
      <c r="B15" s="61" t="s">
        <v>1942</v>
      </c>
      <c r="C15" s="2074" t="str">
        <f>估价对象房地状况!C3</f>
        <v>一般</v>
      </c>
      <c r="D15" s="395">
        <v>100</v>
      </c>
      <c r="E15" s="398"/>
      <c r="F15" s="395">
        <f>SUMIF(76:76,E16,77:77)-SUMIF(76:76,C16,77:77)+100</f>
        <v>105</v>
      </c>
      <c r="G15" s="396"/>
      <c r="H15" s="395">
        <f>SUMIF(76:76,G16,77:77)-SUMIF(76:76,C16,77:77)+100</f>
        <v>105</v>
      </c>
      <c r="I15" s="396"/>
      <c r="J15" s="395">
        <f>SUMIF(76:76,I16,77:77)-SUMIF(76:76,C16,77:77)+100</f>
        <v>105</v>
      </c>
      <c r="K15" s="399">
        <v>5</v>
      </c>
      <c r="L15" s="2939"/>
      <c r="M15" s="2933"/>
      <c r="N15" s="2933"/>
      <c r="O15" s="2933"/>
      <c r="P15" s="3638" t="s">
        <v>2377</v>
      </c>
      <c r="Q15" s="3184" t="str">
        <f t="shared" si="6"/>
        <v>居住社区成熟度</v>
      </c>
      <c r="R15" s="709" t="s">
        <v>21</v>
      </c>
      <c r="S15" s="710">
        <f t="shared" si="0"/>
        <v>105</v>
      </c>
      <c r="T15" s="709" t="s">
        <v>21</v>
      </c>
      <c r="U15" s="710">
        <f t="shared" si="1"/>
        <v>105</v>
      </c>
      <c r="V15" s="709" t="s">
        <v>21</v>
      </c>
      <c r="W15" s="710">
        <f t="shared" si="2"/>
        <v>105</v>
      </c>
      <c r="X15" s="3186"/>
      <c r="Y15" s="3613" t="s">
        <v>2377</v>
      </c>
      <c r="Z15" s="3185" t="str">
        <f t="shared" si="7"/>
        <v>居住社区成熟度</v>
      </c>
      <c r="AA15" s="3187">
        <f t="shared" si="3"/>
        <v>0.95238095238095233</v>
      </c>
      <c r="AB15" s="3187">
        <f t="shared" si="4"/>
        <v>0.95238095238095233</v>
      </c>
      <c r="AC15" s="3187">
        <f t="shared" si="5"/>
        <v>0.95238095238095233</v>
      </c>
    </row>
    <row r="16" spans="1:29" ht="15">
      <c r="A16" s="382"/>
      <c r="B16" s="400"/>
      <c r="C16" s="401" t="s">
        <v>3393</v>
      </c>
      <c r="D16" s="402"/>
      <c r="E16" s="2075" t="s">
        <v>3394</v>
      </c>
      <c r="F16" s="402"/>
      <c r="G16" s="2076" t="s">
        <v>3394</v>
      </c>
      <c r="H16" s="404"/>
      <c r="I16" s="2076" t="s">
        <v>3394</v>
      </c>
      <c r="J16" s="402"/>
      <c r="K16" s="2077"/>
      <c r="L16" s="2939"/>
      <c r="M16" s="2933"/>
      <c r="N16" s="2933"/>
      <c r="O16" s="2933"/>
      <c r="P16" s="3639"/>
      <c r="Q16" s="3184"/>
      <c r="R16" s="709"/>
      <c r="S16" s="710"/>
      <c r="T16" s="709"/>
      <c r="U16" s="710"/>
      <c r="V16" s="709"/>
      <c r="W16" s="710"/>
      <c r="X16" s="3186"/>
      <c r="Y16" s="3614"/>
      <c r="Z16" s="3185"/>
      <c r="AA16" s="3187">
        <v>1</v>
      </c>
      <c r="AB16" s="3187">
        <v>1</v>
      </c>
      <c r="AC16" s="3187">
        <v>1</v>
      </c>
    </row>
    <row r="17" spans="1:29" ht="15">
      <c r="A17" s="382"/>
      <c r="B17" s="405" t="s">
        <v>1944</v>
      </c>
      <c r="C17" s="2078" t="str">
        <f>估价对象房地状况!C6</f>
        <v>一般</v>
      </c>
      <c r="D17" s="404">
        <v>100</v>
      </c>
      <c r="E17" s="408"/>
      <c r="F17" s="404">
        <f>SUMIF(78:78,E18,79:79)-SUMIF(78:78,C18,79:79)+100</f>
        <v>100</v>
      </c>
      <c r="G17" s="406"/>
      <c r="H17" s="409">
        <f>SUMIF(78:78,G18,79:79)-SUMIF(78:78,C18,79:79)+100</f>
        <v>100</v>
      </c>
      <c r="I17" s="406"/>
      <c r="J17" s="409">
        <f>SUMIF(78:78,I18,79:79)-SUMIF(78:78,C18,79:79)+100</f>
        <v>100</v>
      </c>
      <c r="K17" s="399">
        <v>2</v>
      </c>
      <c r="L17" s="2939"/>
      <c r="M17" s="2933"/>
      <c r="N17" s="2933"/>
      <c r="O17" s="2933"/>
      <c r="P17" s="3639"/>
      <c r="Q17" s="3184" t="str">
        <f>B17</f>
        <v>交通便捷度</v>
      </c>
      <c r="R17" s="709" t="s">
        <v>21</v>
      </c>
      <c r="S17" s="710">
        <f>F17</f>
        <v>100</v>
      </c>
      <c r="T17" s="709" t="s">
        <v>21</v>
      </c>
      <c r="U17" s="710">
        <f>H17</f>
        <v>100</v>
      </c>
      <c r="V17" s="709" t="s">
        <v>21</v>
      </c>
      <c r="W17" s="710">
        <f>J17</f>
        <v>100</v>
      </c>
      <c r="X17" s="3186"/>
      <c r="Y17" s="3614"/>
      <c r="Z17" s="3185" t="str">
        <f>Q17</f>
        <v>交通便捷度</v>
      </c>
      <c r="AA17" s="3187">
        <f t="shared" si="3"/>
        <v>1</v>
      </c>
      <c r="AB17" s="3187">
        <f t="shared" si="4"/>
        <v>1</v>
      </c>
      <c r="AC17" s="3187">
        <f t="shared" si="5"/>
        <v>1</v>
      </c>
    </row>
    <row r="18" spans="1:29" ht="15">
      <c r="A18" s="382"/>
      <c r="B18" s="410"/>
      <c r="C18" s="2079" t="s">
        <v>3393</v>
      </c>
      <c r="D18" s="404"/>
      <c r="E18" s="2080" t="s">
        <v>3393</v>
      </c>
      <c r="F18" s="404"/>
      <c r="G18" s="2081" t="s">
        <v>3393</v>
      </c>
      <c r="H18" s="402"/>
      <c r="I18" s="2081" t="s">
        <v>3393</v>
      </c>
      <c r="J18" s="402"/>
      <c r="K18" s="2077"/>
      <c r="L18" s="2939"/>
      <c r="M18" s="2933"/>
      <c r="N18" s="2933"/>
      <c r="O18" s="2933"/>
      <c r="P18" s="3639"/>
      <c r="Q18" s="3184"/>
      <c r="R18" s="709"/>
      <c r="S18" s="710"/>
      <c r="T18" s="709"/>
      <c r="U18" s="710"/>
      <c r="V18" s="709"/>
      <c r="W18" s="710"/>
      <c r="X18" s="3186"/>
      <c r="Y18" s="3614"/>
      <c r="Z18" s="3185"/>
      <c r="AA18" s="3187">
        <v>1</v>
      </c>
      <c r="AB18" s="3187">
        <v>1</v>
      </c>
      <c r="AC18" s="3187">
        <v>1</v>
      </c>
    </row>
    <row r="19" spans="1:29" ht="15">
      <c r="A19" s="382"/>
      <c r="B19" s="405" t="s">
        <v>1943</v>
      </c>
      <c r="C19" s="2078" t="str">
        <f>估价对象房地状况!C7</f>
        <v>一般</v>
      </c>
      <c r="D19" s="409">
        <v>100</v>
      </c>
      <c r="E19" s="413"/>
      <c r="F19" s="409">
        <f>SUMIF(80:80,E20,81:81)-SUMIF(80:80,C20,81:81)+100</f>
        <v>102</v>
      </c>
      <c r="G19" s="411"/>
      <c r="H19" s="404">
        <f>SUMIF(80:80,G20,81:81)-SUMIF(80:80,C20,81:81)+100</f>
        <v>102</v>
      </c>
      <c r="I19" s="411"/>
      <c r="J19" s="404">
        <f>SUMIF(80:80,I20,81:81)-SUMIF(80:80,C20,81:81)+100</f>
        <v>102</v>
      </c>
      <c r="K19" s="399">
        <v>2</v>
      </c>
      <c r="L19" s="2939"/>
      <c r="M19" s="2933"/>
      <c r="N19" s="2933"/>
      <c r="O19" s="2933"/>
      <c r="P19" s="3639"/>
      <c r="Q19" s="3184" t="str">
        <f>B19</f>
        <v>公共配套设施</v>
      </c>
      <c r="R19" s="709" t="s">
        <v>21</v>
      </c>
      <c r="S19" s="710">
        <f>F19</f>
        <v>102</v>
      </c>
      <c r="T19" s="709" t="s">
        <v>21</v>
      </c>
      <c r="U19" s="710">
        <f>H19</f>
        <v>102</v>
      </c>
      <c r="V19" s="709" t="s">
        <v>21</v>
      </c>
      <c r="W19" s="710">
        <f>J19</f>
        <v>102</v>
      </c>
      <c r="X19" s="3186"/>
      <c r="Y19" s="3614"/>
      <c r="Z19" s="3185" t="str">
        <f>Q19</f>
        <v>公共配套设施</v>
      </c>
      <c r="AA19" s="3187">
        <f t="shared" si="3"/>
        <v>0.98039215686274506</v>
      </c>
      <c r="AB19" s="3187">
        <f t="shared" si="4"/>
        <v>0.98039215686274506</v>
      </c>
      <c r="AC19" s="3187">
        <f t="shared" si="5"/>
        <v>0.98039215686274506</v>
      </c>
    </row>
    <row r="20" spans="1:29" ht="15">
      <c r="A20" s="382"/>
      <c r="B20" s="410"/>
      <c r="C20" s="401" t="s">
        <v>3393</v>
      </c>
      <c r="D20" s="402"/>
      <c r="E20" s="2075" t="s">
        <v>3394</v>
      </c>
      <c r="F20" s="402"/>
      <c r="G20" s="2076" t="s">
        <v>3394</v>
      </c>
      <c r="H20" s="402"/>
      <c r="I20" s="2076" t="s">
        <v>3394</v>
      </c>
      <c r="J20" s="402"/>
      <c r="K20" s="2077"/>
      <c r="L20" s="2939"/>
      <c r="M20" s="2933"/>
      <c r="N20" s="2933"/>
      <c r="O20" s="2933"/>
      <c r="P20" s="3639"/>
      <c r="Q20" s="3184"/>
      <c r="R20" s="709"/>
      <c r="S20" s="710"/>
      <c r="T20" s="709"/>
      <c r="U20" s="710"/>
      <c r="V20" s="709"/>
      <c r="W20" s="710"/>
      <c r="X20" s="3186"/>
      <c r="Y20" s="3614"/>
      <c r="Z20" s="3185"/>
      <c r="AA20" s="3187">
        <v>1</v>
      </c>
      <c r="AB20" s="3187">
        <v>1</v>
      </c>
      <c r="AC20" s="3187">
        <v>1</v>
      </c>
    </row>
    <row r="21" spans="1:29" ht="15">
      <c r="A21" s="382"/>
      <c r="B21" s="1287" t="s">
        <v>1945</v>
      </c>
      <c r="C21" s="2078"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v>2</v>
      </c>
      <c r="L21" s="2939"/>
      <c r="M21" s="2933"/>
      <c r="N21" s="2933"/>
      <c r="O21" s="2933"/>
      <c r="P21" s="3639"/>
      <c r="Q21" s="3184" t="str">
        <f>B21</f>
        <v>基础设施水平</v>
      </c>
      <c r="R21" s="709" t="s">
        <v>17</v>
      </c>
      <c r="S21" s="710">
        <f>F21</f>
        <v>100</v>
      </c>
      <c r="T21" s="709" t="s">
        <v>17</v>
      </c>
      <c r="U21" s="710">
        <f>H21</f>
        <v>100</v>
      </c>
      <c r="V21" s="709" t="s">
        <v>17</v>
      </c>
      <c r="W21" s="710">
        <f>J21</f>
        <v>100</v>
      </c>
      <c r="X21" s="3186"/>
      <c r="Y21" s="3614"/>
      <c r="Z21" s="3185" t="str">
        <f>Q21</f>
        <v>基础设施水平</v>
      </c>
      <c r="AA21" s="3187">
        <f t="shared" ref="AA21" si="8">D21/F21</f>
        <v>1</v>
      </c>
      <c r="AB21" s="3187">
        <f t="shared" ref="AB21" si="9">D21/H21</f>
        <v>1</v>
      </c>
      <c r="AC21" s="3187">
        <f t="shared" ref="AC21" si="10">D21/J21</f>
        <v>1</v>
      </c>
    </row>
    <row r="22" spans="1:29" ht="15">
      <c r="A22" s="382"/>
      <c r="B22" s="1287"/>
      <c r="C22" s="2079" t="s">
        <v>3359</v>
      </c>
      <c r="D22" s="402"/>
      <c r="E22" s="401" t="s">
        <v>3359</v>
      </c>
      <c r="F22" s="402"/>
      <c r="G22" s="2082" t="s">
        <v>3359</v>
      </c>
      <c r="H22" s="402"/>
      <c r="I22" s="401" t="s">
        <v>3359</v>
      </c>
      <c r="J22" s="402"/>
      <c r="K22" s="2083"/>
      <c r="L22" s="2939"/>
      <c r="M22" s="2933"/>
      <c r="N22" s="2933"/>
      <c r="O22" s="2933"/>
      <c r="P22" s="3639"/>
      <c r="Q22" s="3184"/>
      <c r="R22" s="709"/>
      <c r="S22" s="710"/>
      <c r="T22" s="709"/>
      <c r="U22" s="710"/>
      <c r="V22" s="709"/>
      <c r="W22" s="710"/>
      <c r="X22" s="3186"/>
      <c r="Y22" s="3614"/>
      <c r="Z22" s="3185"/>
      <c r="AA22" s="3187">
        <v>1</v>
      </c>
      <c r="AB22" s="3187">
        <v>1</v>
      </c>
      <c r="AC22" s="3187">
        <v>1</v>
      </c>
    </row>
    <row r="23" spans="1:29" ht="15">
      <c r="A23" s="382"/>
      <c r="B23" s="405" t="s">
        <v>1946</v>
      </c>
      <c r="C23" s="2078" t="str">
        <f>估价对象房地状况!C9</f>
        <v>一般</v>
      </c>
      <c r="D23" s="404">
        <v>100</v>
      </c>
      <c r="E23" s="408"/>
      <c r="F23" s="404">
        <f>SUMIF(84:84,E24,85:85)-SUMIF(84:84,C24,85:85)+100</f>
        <v>100</v>
      </c>
      <c r="G23" s="406"/>
      <c r="H23" s="404">
        <f>SUMIF(84:84,G24,85:85)-SUMIF(84:84,C24,85:85)+100</f>
        <v>100</v>
      </c>
      <c r="I23" s="406"/>
      <c r="J23" s="404">
        <f>SUMIF(84:84,I24,85:85)-SUMIF(84:84,C24,85:85)+100</f>
        <v>100</v>
      </c>
      <c r="K23" s="399">
        <v>2</v>
      </c>
      <c r="L23" s="2939"/>
      <c r="M23" s="2933"/>
      <c r="N23" s="2933"/>
      <c r="O23" s="2933"/>
      <c r="P23" s="3639"/>
      <c r="Q23" s="3184" t="str">
        <f>B23</f>
        <v>自然及人文环境</v>
      </c>
      <c r="R23" s="709" t="s">
        <v>21</v>
      </c>
      <c r="S23" s="710">
        <f>F23</f>
        <v>100</v>
      </c>
      <c r="T23" s="709" t="s">
        <v>21</v>
      </c>
      <c r="U23" s="710">
        <f>H23</f>
        <v>100</v>
      </c>
      <c r="V23" s="709" t="s">
        <v>21</v>
      </c>
      <c r="W23" s="710">
        <f>J23</f>
        <v>100</v>
      </c>
      <c r="X23" s="3186"/>
      <c r="Y23" s="3614"/>
      <c r="Z23" s="3185" t="str">
        <f>Q23</f>
        <v>自然及人文环境</v>
      </c>
      <c r="AA23" s="3187">
        <f>D23/F23</f>
        <v>1</v>
      </c>
      <c r="AB23" s="3187">
        <f>D23/H23</f>
        <v>1</v>
      </c>
      <c r="AC23" s="3187">
        <f>D23/J23</f>
        <v>1</v>
      </c>
    </row>
    <row r="24" spans="1:29" ht="15">
      <c r="A24" s="382"/>
      <c r="B24" s="410"/>
      <c r="C24" s="401" t="s">
        <v>3393</v>
      </c>
      <c r="D24" s="402"/>
      <c r="E24" s="2075" t="s">
        <v>3393</v>
      </c>
      <c r="F24" s="402"/>
      <c r="G24" s="2076" t="s">
        <v>3393</v>
      </c>
      <c r="H24" s="402"/>
      <c r="I24" s="2076" t="s">
        <v>3393</v>
      </c>
      <c r="J24" s="402"/>
      <c r="K24" s="2077"/>
      <c r="L24" s="2939"/>
      <c r="M24" s="2933"/>
      <c r="N24" s="2933"/>
      <c r="O24" s="2933"/>
      <c r="P24" s="3639"/>
      <c r="Q24" s="3184"/>
      <c r="R24" s="709"/>
      <c r="S24" s="710"/>
      <c r="T24" s="709"/>
      <c r="U24" s="710"/>
      <c r="V24" s="709"/>
      <c r="W24" s="710"/>
      <c r="X24" s="3186"/>
      <c r="Y24" s="3614"/>
      <c r="Z24" s="3185"/>
      <c r="AA24" s="3187">
        <v>1</v>
      </c>
      <c r="AB24" s="3187">
        <v>1</v>
      </c>
      <c r="AC24" s="3187">
        <v>1</v>
      </c>
    </row>
    <row r="25" spans="1:29" ht="15">
      <c r="A25" s="382"/>
      <c r="B25" s="376" t="s">
        <v>2378</v>
      </c>
      <c r="C25" s="414"/>
      <c r="D25" s="389">
        <v>100</v>
      </c>
      <c r="E25" s="2084"/>
      <c r="F25" s="389">
        <f>SUMIF(86:86,E25,87:87)-SUMIF(86:86,C25,87:87)+100</f>
        <v>100</v>
      </c>
      <c r="G25" s="2085"/>
      <c r="H25" s="389">
        <f>SUMIF(86:86,G25,87:87)-SUMIF(86:86,C25,87:87)+100</f>
        <v>100</v>
      </c>
      <c r="I25" s="2085"/>
      <c r="J25" s="389">
        <f>SUMIF(86:86,I25,87:87)-SUMIF(86:86,C25,87:87)+100</f>
        <v>100</v>
      </c>
      <c r="K25" s="380"/>
      <c r="L25" s="2939"/>
      <c r="M25" s="2933"/>
      <c r="N25" s="2933"/>
      <c r="O25" s="2933"/>
      <c r="P25" s="3639"/>
      <c r="Q25" s="3184" t="str">
        <f t="shared" ref="Q25:Q46" si="11">B25</f>
        <v>楼层-1</v>
      </c>
      <c r="R25" s="709" t="s">
        <v>21</v>
      </c>
      <c r="S25" s="710">
        <f t="shared" ref="S25:S46" si="12">F25</f>
        <v>100</v>
      </c>
      <c r="T25" s="709" t="s">
        <v>21</v>
      </c>
      <c r="U25" s="710">
        <f t="shared" ref="U25:U46" si="13">H25</f>
        <v>100</v>
      </c>
      <c r="V25" s="709" t="s">
        <v>21</v>
      </c>
      <c r="W25" s="710">
        <f t="shared" ref="W25:W46" si="14">J25</f>
        <v>100</v>
      </c>
      <c r="X25" s="3186"/>
      <c r="Y25" s="3614"/>
      <c r="Z25" s="3185" t="str">
        <f>Q25</f>
        <v>楼层-1</v>
      </c>
      <c r="AA25" s="3187">
        <f t="shared" ref="AA25:AA46" si="15">D25/F25</f>
        <v>1</v>
      </c>
      <c r="AB25" s="3187">
        <f t="shared" ref="AB25:AB46" si="16">D25/H25</f>
        <v>1</v>
      </c>
      <c r="AC25" s="3187">
        <f t="shared" ref="AC25:AC46" si="17">D25/J25</f>
        <v>1</v>
      </c>
    </row>
    <row r="26" spans="1:29" ht="15">
      <c r="A26" s="382"/>
      <c r="B26" s="376" t="s">
        <v>2379</v>
      </c>
      <c r="C26" s="414"/>
      <c r="D26" s="389">
        <v>100</v>
      </c>
      <c r="E26" s="2084"/>
      <c r="F26" s="389">
        <f>SUMIF(88:88,E26,89:89)-SUMIF(88:88,C26,89:89)+100</f>
        <v>100</v>
      </c>
      <c r="G26" s="2085"/>
      <c r="H26" s="389">
        <f>SUMIF(88:88,G26,89:89)-SUMIF(88:88,C26,89:89)+100</f>
        <v>100</v>
      </c>
      <c r="I26" s="2085"/>
      <c r="J26" s="389">
        <f>SUMIF(88:88,I26,89:89)-SUMIF(88:88,C26,89:89)+100</f>
        <v>100</v>
      </c>
      <c r="K26" s="380"/>
      <c r="L26" s="2939"/>
      <c r="M26" s="2933"/>
      <c r="N26" s="2933"/>
      <c r="O26" s="2933"/>
      <c r="P26" s="3639"/>
      <c r="Q26" s="3184" t="str">
        <f t="shared" si="11"/>
        <v>朝向</v>
      </c>
      <c r="R26" s="709" t="s">
        <v>21</v>
      </c>
      <c r="S26" s="710">
        <f t="shared" si="12"/>
        <v>100</v>
      </c>
      <c r="T26" s="709" t="s">
        <v>21</v>
      </c>
      <c r="U26" s="710">
        <f t="shared" si="13"/>
        <v>100</v>
      </c>
      <c r="V26" s="709" t="s">
        <v>21</v>
      </c>
      <c r="W26" s="710">
        <f t="shared" si="14"/>
        <v>100</v>
      </c>
      <c r="X26" s="3186"/>
      <c r="Y26" s="3614"/>
      <c r="Z26" s="3185" t="str">
        <f>Q26</f>
        <v>朝向</v>
      </c>
      <c r="AA26" s="3187">
        <f t="shared" si="15"/>
        <v>1</v>
      </c>
      <c r="AB26" s="3187">
        <f t="shared" si="16"/>
        <v>1</v>
      </c>
      <c r="AC26" s="3187">
        <f t="shared" si="17"/>
        <v>1</v>
      </c>
    </row>
    <row r="27" spans="1:29" s="108" customFormat="1" ht="15">
      <c r="A27" s="385"/>
      <c r="B27" s="1289">
        <v>111</v>
      </c>
      <c r="C27" s="386"/>
      <c r="D27" s="416">
        <v>100</v>
      </c>
      <c r="E27" s="419"/>
      <c r="F27" s="416">
        <f>SUMIF(90:90,E27,91:91)-SUMIF(90:90,C27,91:91)+100</f>
        <v>100</v>
      </c>
      <c r="G27" s="417"/>
      <c r="H27" s="416">
        <f>SUMIF(90:90,G27,91:91)-SUMIF(90:90,C27,91:91)+100</f>
        <v>100</v>
      </c>
      <c r="I27" s="417"/>
      <c r="J27" s="416">
        <f>SUMIF(90:90,I27,91:91)-SUMIF(90:90,C27,91:91)+100</f>
        <v>100</v>
      </c>
      <c r="K27" s="2072"/>
      <c r="L27" s="2934"/>
      <c r="M27" s="2935"/>
      <c r="N27" s="2935"/>
      <c r="O27" s="2935"/>
      <c r="P27" s="3639"/>
      <c r="Q27" s="3183">
        <f t="shared" si="11"/>
        <v>111</v>
      </c>
      <c r="R27" s="705" t="s">
        <v>21</v>
      </c>
      <c r="S27" s="706">
        <f t="shared" si="12"/>
        <v>100</v>
      </c>
      <c r="T27" s="705" t="s">
        <v>21</v>
      </c>
      <c r="U27" s="706">
        <f t="shared" si="13"/>
        <v>100</v>
      </c>
      <c r="V27" s="705" t="s">
        <v>21</v>
      </c>
      <c r="W27" s="706">
        <f t="shared" si="14"/>
        <v>100</v>
      </c>
      <c r="X27" s="707"/>
      <c r="Y27" s="3614"/>
      <c r="Z27" s="3182">
        <f>Q27</f>
        <v>111</v>
      </c>
      <c r="AA27" s="3187">
        <f t="shared" si="15"/>
        <v>1</v>
      </c>
      <c r="AB27" s="3187">
        <f t="shared" si="16"/>
        <v>1</v>
      </c>
      <c r="AC27" s="3187">
        <f t="shared" si="17"/>
        <v>1</v>
      </c>
    </row>
    <row r="28" spans="1:29" ht="15">
      <c r="A28" s="382"/>
      <c r="B28" s="1289">
        <v>111</v>
      </c>
      <c r="C28" s="388"/>
      <c r="D28" s="389">
        <v>100</v>
      </c>
      <c r="E28" s="388"/>
      <c r="F28" s="389">
        <f>SUMIF(92:92,E28,93:93)-SUMIF(92:92,C28,93:93)+100</f>
        <v>100</v>
      </c>
      <c r="G28" s="2086"/>
      <c r="H28" s="389">
        <f>SUMIF(92:92,G28,93:93)-SUMIF(92:92,C28,93:93)+100</f>
        <v>100</v>
      </c>
      <c r="I28" s="388"/>
      <c r="J28" s="389">
        <f>SUMIF(92:92,I28,93:93)-SUMIF(92:92,C28,93:93)+100</f>
        <v>100</v>
      </c>
      <c r="K28" s="2072"/>
      <c r="L28" s="2939"/>
      <c r="M28" s="2933"/>
      <c r="N28" s="2933"/>
      <c r="O28" s="2933"/>
      <c r="P28" s="3639"/>
      <c r="Q28" s="3184">
        <f t="shared" si="11"/>
        <v>111</v>
      </c>
      <c r="R28" s="709" t="s">
        <v>21</v>
      </c>
      <c r="S28" s="710">
        <f t="shared" si="12"/>
        <v>100</v>
      </c>
      <c r="T28" s="709" t="s">
        <v>21</v>
      </c>
      <c r="U28" s="710">
        <f t="shared" si="13"/>
        <v>100</v>
      </c>
      <c r="V28" s="709" t="s">
        <v>21</v>
      </c>
      <c r="W28" s="710">
        <f t="shared" si="14"/>
        <v>100</v>
      </c>
      <c r="X28" s="3186"/>
      <c r="Y28" s="3614"/>
      <c r="Z28" s="3185">
        <f t="shared" ref="Z28:Z46" si="18">Q28</f>
        <v>111</v>
      </c>
      <c r="AA28" s="3187">
        <f t="shared" si="15"/>
        <v>1</v>
      </c>
      <c r="AB28" s="3187">
        <f t="shared" si="16"/>
        <v>1</v>
      </c>
      <c r="AC28" s="3187">
        <f t="shared" si="17"/>
        <v>1</v>
      </c>
    </row>
    <row r="29" spans="1:29" ht="15">
      <c r="A29" s="382"/>
      <c r="B29" s="1289">
        <v>111</v>
      </c>
      <c r="C29" s="388"/>
      <c r="D29" s="389">
        <v>100</v>
      </c>
      <c r="E29" s="388"/>
      <c r="F29" s="389">
        <f>SUMIF(94:94,E29,95:95)-SUMIF(94:94,C29,95:95)+100</f>
        <v>100</v>
      </c>
      <c r="G29" s="2086"/>
      <c r="H29" s="389">
        <f>SUMIF(94:94,G29,95:95)-SUMIF(94:94,C29,95:95)+100</f>
        <v>100</v>
      </c>
      <c r="I29" s="388"/>
      <c r="J29" s="389">
        <f>SUMIF(94:94,I29,95:95)-SUMIF(94:94,C29,95:95)+100</f>
        <v>100</v>
      </c>
      <c r="K29" s="2072"/>
      <c r="L29" s="2939"/>
      <c r="M29" s="2933"/>
      <c r="N29" s="2933"/>
      <c r="O29" s="2933"/>
      <c r="P29" s="3639"/>
      <c r="Q29" s="3184">
        <f t="shared" si="11"/>
        <v>111</v>
      </c>
      <c r="R29" s="709" t="s">
        <v>21</v>
      </c>
      <c r="S29" s="710">
        <f t="shared" si="12"/>
        <v>100</v>
      </c>
      <c r="T29" s="709" t="s">
        <v>21</v>
      </c>
      <c r="U29" s="710">
        <f t="shared" si="13"/>
        <v>100</v>
      </c>
      <c r="V29" s="709" t="s">
        <v>21</v>
      </c>
      <c r="W29" s="710">
        <f t="shared" si="14"/>
        <v>100</v>
      </c>
      <c r="X29" s="3186"/>
      <c r="Y29" s="3614"/>
      <c r="Z29" s="3185">
        <f t="shared" si="18"/>
        <v>111</v>
      </c>
      <c r="AA29" s="3187">
        <f t="shared" si="15"/>
        <v>1</v>
      </c>
      <c r="AB29" s="3187">
        <f t="shared" si="16"/>
        <v>1</v>
      </c>
      <c r="AC29" s="3187">
        <f t="shared" si="17"/>
        <v>1</v>
      </c>
    </row>
    <row r="30" spans="1:29" ht="15">
      <c r="A30" s="382"/>
      <c r="B30" s="1289">
        <v>111</v>
      </c>
      <c r="C30" s="388"/>
      <c r="D30" s="389">
        <v>100</v>
      </c>
      <c r="E30" s="388"/>
      <c r="F30" s="389">
        <f>SUMIF(96:96,E30,97:97)-SUMIF(96:96,C30,97:97)+100</f>
        <v>100</v>
      </c>
      <c r="G30" s="2086"/>
      <c r="H30" s="389">
        <f>SUMIF(96:96,G30,97:97)-SUMIF(96:96,C30,97:97)+100</f>
        <v>100</v>
      </c>
      <c r="I30" s="388"/>
      <c r="J30" s="389">
        <f>SUMIF(96:96,I30,97:97)-SUMIF(96:96,C30,97:97)+100</f>
        <v>100</v>
      </c>
      <c r="K30" s="2072"/>
      <c r="L30" s="2939"/>
      <c r="M30" s="2933"/>
      <c r="N30" s="2933"/>
      <c r="O30" s="2933"/>
      <c r="P30" s="3639"/>
      <c r="Q30" s="3184">
        <f t="shared" si="11"/>
        <v>111</v>
      </c>
      <c r="R30" s="709" t="s">
        <v>21</v>
      </c>
      <c r="S30" s="710">
        <f t="shared" si="12"/>
        <v>100</v>
      </c>
      <c r="T30" s="709" t="s">
        <v>21</v>
      </c>
      <c r="U30" s="710">
        <f t="shared" si="13"/>
        <v>100</v>
      </c>
      <c r="V30" s="709" t="s">
        <v>21</v>
      </c>
      <c r="W30" s="710">
        <f t="shared" si="14"/>
        <v>100</v>
      </c>
      <c r="X30" s="3186"/>
      <c r="Y30" s="3614"/>
      <c r="Z30" s="3185">
        <f t="shared" si="18"/>
        <v>111</v>
      </c>
      <c r="AA30" s="3187">
        <f t="shared" si="15"/>
        <v>1</v>
      </c>
      <c r="AB30" s="3187">
        <f t="shared" si="16"/>
        <v>1</v>
      </c>
      <c r="AC30" s="3187">
        <f t="shared" si="17"/>
        <v>1</v>
      </c>
    </row>
    <row r="31" spans="1:29" ht="15.75" thickBot="1">
      <c r="A31" s="390"/>
      <c r="B31" s="1289">
        <v>111</v>
      </c>
      <c r="C31" s="391"/>
      <c r="D31" s="392">
        <v>100</v>
      </c>
      <c r="E31" s="391"/>
      <c r="F31" s="392">
        <f>SUMIF(98:98,E31,99:99)-SUMIF(98:98,C31,99:99)+100</f>
        <v>100</v>
      </c>
      <c r="G31" s="2087"/>
      <c r="H31" s="392">
        <f>SUMIF(98:98,G31,99:99)-SUMIF(98:98,C31,99:99)+100</f>
        <v>100</v>
      </c>
      <c r="I31" s="391"/>
      <c r="J31" s="392">
        <f>SUMIF(98:98,I31,99:99)-SUMIF(98:98,C31,99:99)+100</f>
        <v>100</v>
      </c>
      <c r="K31" s="2072"/>
      <c r="L31" s="2939"/>
      <c r="M31" s="2933"/>
      <c r="N31" s="2933"/>
      <c r="O31" s="2933"/>
      <c r="P31" s="3639"/>
      <c r="Q31" s="3184">
        <f t="shared" si="11"/>
        <v>111</v>
      </c>
      <c r="R31" s="709" t="s">
        <v>21</v>
      </c>
      <c r="S31" s="710">
        <f t="shared" si="12"/>
        <v>100</v>
      </c>
      <c r="T31" s="709" t="s">
        <v>21</v>
      </c>
      <c r="U31" s="710">
        <f t="shared" si="13"/>
        <v>100</v>
      </c>
      <c r="V31" s="709" t="s">
        <v>21</v>
      </c>
      <c r="W31" s="710">
        <f t="shared" si="14"/>
        <v>100</v>
      </c>
      <c r="X31" s="3186"/>
      <c r="Y31" s="3614"/>
      <c r="Z31" s="3185">
        <f t="shared" si="18"/>
        <v>111</v>
      </c>
      <c r="AA31" s="3187">
        <f t="shared" si="15"/>
        <v>1</v>
      </c>
      <c r="AB31" s="3187">
        <f t="shared" si="16"/>
        <v>1</v>
      </c>
      <c r="AC31" s="3187">
        <f t="shared" si="17"/>
        <v>1</v>
      </c>
    </row>
    <row r="32" spans="1:29" ht="15">
      <c r="A32" s="394" t="s">
        <v>2380</v>
      </c>
      <c r="B32" s="63" t="s">
        <v>2381</v>
      </c>
      <c r="C32" s="2088" t="s">
        <v>3485</v>
      </c>
      <c r="D32" s="421">
        <v>100</v>
      </c>
      <c r="E32" s="2089" t="s">
        <v>3483</v>
      </c>
      <c r="F32" s="415">
        <f>SUMIF(100:100,E32,101:101)-SUMIF(100:100,C32,101:101)+100</f>
        <v>110</v>
      </c>
      <c r="G32" s="2088" t="s">
        <v>3485</v>
      </c>
      <c r="H32" s="421">
        <f>SUMIF(100:100,G32,101:101)-SUMIF(100:100,C32,101:101)+100</f>
        <v>100</v>
      </c>
      <c r="I32" s="2089" t="s">
        <v>3485</v>
      </c>
      <c r="J32" s="389">
        <f>SUMIF(100:100,I32,101:101)-SUMIF(100:100,C32,101:101)+100</f>
        <v>100</v>
      </c>
      <c r="K32" s="380">
        <v>10</v>
      </c>
      <c r="L32" s="2939"/>
      <c r="M32" s="2933"/>
      <c r="N32" s="2933"/>
      <c r="O32" s="2933"/>
      <c r="P32" s="3634" t="s">
        <v>2382</v>
      </c>
      <c r="Q32" s="3184" t="str">
        <f t="shared" si="11"/>
        <v>建筑类型</v>
      </c>
      <c r="R32" s="709" t="s">
        <v>21</v>
      </c>
      <c r="S32" s="710">
        <f t="shared" si="12"/>
        <v>110</v>
      </c>
      <c r="T32" s="709" t="s">
        <v>21</v>
      </c>
      <c r="U32" s="710">
        <f t="shared" si="13"/>
        <v>100</v>
      </c>
      <c r="V32" s="709" t="s">
        <v>21</v>
      </c>
      <c r="W32" s="710">
        <f t="shared" si="14"/>
        <v>100</v>
      </c>
      <c r="X32" s="3186"/>
      <c r="Y32" s="3616" t="s">
        <v>2382</v>
      </c>
      <c r="Z32" s="3185" t="str">
        <f t="shared" si="18"/>
        <v>建筑类型</v>
      </c>
      <c r="AA32" s="3187">
        <f t="shared" si="15"/>
        <v>0.90909090909090906</v>
      </c>
      <c r="AB32" s="3187">
        <f t="shared" si="16"/>
        <v>1</v>
      </c>
      <c r="AC32" s="3187">
        <f t="shared" si="17"/>
        <v>1</v>
      </c>
    </row>
    <row r="33" spans="1:29" s="425" customFormat="1" ht="15">
      <c r="A33" s="422"/>
      <c r="B33" s="376" t="s">
        <v>2383</v>
      </c>
      <c r="C33" s="3151">
        <f>'比较法-住宅'!C33</f>
        <v>91953.642100000012</v>
      </c>
      <c r="D33" s="127">
        <v>100</v>
      </c>
      <c r="E33" s="384">
        <v>318830</v>
      </c>
      <c r="F33" s="379">
        <f>LOOKUP(E33,103:103,104:104)-LOOKUP(C33,103:103,104:104)+100</f>
        <v>106</v>
      </c>
      <c r="G33" s="383">
        <v>65458</v>
      </c>
      <c r="H33" s="127">
        <f>LOOKUP(G33,103:103,104:104)-LOOKUP(C33,103:103,104:104)+100</f>
        <v>100</v>
      </c>
      <c r="I33" s="384">
        <v>132950</v>
      </c>
      <c r="J33" s="127">
        <f>LOOKUP(I33,103:103,104:104)-LOOKUP(C33,103:103,104:104)+100</f>
        <v>102</v>
      </c>
      <c r="K33" s="2072"/>
      <c r="L33" s="2938"/>
      <c r="M33" s="2940"/>
      <c r="N33" s="2940"/>
      <c r="O33" s="2940"/>
      <c r="P33" s="3635"/>
      <c r="Q33" s="711" t="str">
        <f t="shared" si="11"/>
        <v>项目建筑规模</v>
      </c>
      <c r="R33" s="712" t="s">
        <v>21</v>
      </c>
      <c r="S33" s="713">
        <f t="shared" si="12"/>
        <v>106</v>
      </c>
      <c r="T33" s="712" t="s">
        <v>21</v>
      </c>
      <c r="U33" s="713">
        <f t="shared" si="13"/>
        <v>100</v>
      </c>
      <c r="V33" s="712" t="s">
        <v>21</v>
      </c>
      <c r="W33" s="713">
        <f t="shared" si="14"/>
        <v>102</v>
      </c>
      <c r="X33" s="714"/>
      <c r="Y33" s="3616"/>
      <c r="Z33" s="715" t="str">
        <f t="shared" si="18"/>
        <v>项目建筑规模</v>
      </c>
      <c r="AA33" s="3187">
        <f t="shared" si="15"/>
        <v>0.94339622641509435</v>
      </c>
      <c r="AB33" s="3187">
        <f t="shared" si="16"/>
        <v>1</v>
      </c>
      <c r="AC33" s="3187">
        <f t="shared" si="17"/>
        <v>0.98039215686274506</v>
      </c>
    </row>
    <row r="34" spans="1:29" ht="15">
      <c r="A34" s="426"/>
      <c r="B34" s="376" t="s">
        <v>2384</v>
      </c>
      <c r="C34" s="2090" t="s">
        <v>3463</v>
      </c>
      <c r="D34" s="389">
        <v>100</v>
      </c>
      <c r="E34" s="2091" t="s">
        <v>3463</v>
      </c>
      <c r="F34" s="415">
        <f>SUMIF(105:105,E34,106:106)-SUMIF(105:105,C34,106:106)+100</f>
        <v>100</v>
      </c>
      <c r="G34" s="2091" t="s">
        <v>3463</v>
      </c>
      <c r="H34" s="389">
        <f>SUMIF(105:105,G34,106:106)-SUMIF(105:105,C34,106:106)+100</f>
        <v>100</v>
      </c>
      <c r="I34" s="2091" t="s">
        <v>3463</v>
      </c>
      <c r="J34" s="389">
        <f>SUMIF(105:105,I34,106:106)-SUMIF(105:105,C34,106:106)+100</f>
        <v>100</v>
      </c>
      <c r="K34" s="380">
        <v>2</v>
      </c>
      <c r="L34" s="2939"/>
      <c r="M34" s="2933"/>
      <c r="N34" s="2933"/>
      <c r="O34" s="2933"/>
      <c r="P34" s="3635"/>
      <c r="Q34" s="3184" t="str">
        <f t="shared" si="11"/>
        <v>建筑结构</v>
      </c>
      <c r="R34" s="709" t="s">
        <v>21</v>
      </c>
      <c r="S34" s="710">
        <f t="shared" si="12"/>
        <v>100</v>
      </c>
      <c r="T34" s="709" t="s">
        <v>21</v>
      </c>
      <c r="U34" s="710">
        <f t="shared" si="13"/>
        <v>100</v>
      </c>
      <c r="V34" s="709" t="s">
        <v>21</v>
      </c>
      <c r="W34" s="710">
        <f t="shared" si="14"/>
        <v>100</v>
      </c>
      <c r="X34" s="3186"/>
      <c r="Y34" s="3616"/>
      <c r="Z34" s="3185" t="str">
        <f t="shared" si="18"/>
        <v>建筑结构</v>
      </c>
      <c r="AA34" s="3187">
        <f t="shared" si="15"/>
        <v>1</v>
      </c>
      <c r="AB34" s="3187">
        <f t="shared" si="16"/>
        <v>1</v>
      </c>
      <c r="AC34" s="3187">
        <f t="shared" si="17"/>
        <v>1</v>
      </c>
    </row>
    <row r="35" spans="1:29" ht="15">
      <c r="A35" s="426"/>
      <c r="B35" s="376" t="s">
        <v>2385</v>
      </c>
      <c r="C35" s="2084" t="s">
        <v>3465</v>
      </c>
      <c r="D35" s="389">
        <v>100</v>
      </c>
      <c r="E35" s="2085" t="s">
        <v>3465</v>
      </c>
      <c r="F35" s="415">
        <f>SUMIF(107:107,E35,108:108)-SUMIF(107:107,C35,108:108)+100</f>
        <v>100</v>
      </c>
      <c r="G35" s="2085" t="s">
        <v>3465</v>
      </c>
      <c r="H35" s="389">
        <f>SUMIF(107:107,G35,108:108)-SUMIF(107:107,C35,108:108)+100</f>
        <v>100</v>
      </c>
      <c r="I35" s="2085" t="s">
        <v>3465</v>
      </c>
      <c r="J35" s="389">
        <f>SUMIF(107:107,I35,108:108)-SUMIF(107:107,C35,108:108)+100</f>
        <v>100</v>
      </c>
      <c r="K35" s="380">
        <v>2</v>
      </c>
      <c r="L35" s="2939"/>
      <c r="M35" s="2933"/>
      <c r="N35" s="2933"/>
      <c r="O35" s="2933"/>
      <c r="P35" s="3635"/>
      <c r="Q35" s="3184" t="str">
        <f t="shared" si="11"/>
        <v>建筑品质</v>
      </c>
      <c r="R35" s="709" t="s">
        <v>21</v>
      </c>
      <c r="S35" s="710">
        <f t="shared" si="12"/>
        <v>100</v>
      </c>
      <c r="T35" s="709" t="s">
        <v>21</v>
      </c>
      <c r="U35" s="710">
        <f t="shared" si="13"/>
        <v>100</v>
      </c>
      <c r="V35" s="709" t="s">
        <v>21</v>
      </c>
      <c r="W35" s="710">
        <f t="shared" si="14"/>
        <v>100</v>
      </c>
      <c r="X35" s="3186"/>
      <c r="Y35" s="3616"/>
      <c r="Z35" s="3185" t="str">
        <f t="shared" si="18"/>
        <v>建筑品质</v>
      </c>
      <c r="AA35" s="3187">
        <f t="shared" si="15"/>
        <v>1</v>
      </c>
      <c r="AB35" s="3187">
        <f t="shared" si="16"/>
        <v>1</v>
      </c>
      <c r="AC35" s="3187">
        <f t="shared" si="17"/>
        <v>1</v>
      </c>
    </row>
    <row r="36" spans="1:29" ht="15">
      <c r="A36" s="426"/>
      <c r="B36" s="376" t="s">
        <v>2386</v>
      </c>
      <c r="C36" s="2084"/>
      <c r="D36" s="389">
        <v>100</v>
      </c>
      <c r="E36" s="2085"/>
      <c r="F36" s="415">
        <f>SUMIF(109:109,E36,110:110)-SUMIF(109:109,C36,110:110)+100</f>
        <v>100</v>
      </c>
      <c r="G36" s="2084"/>
      <c r="H36" s="389">
        <f>SUMIF(109:109,G36,110:110)-SUMIF(109:109,C36,110:110)+100</f>
        <v>100</v>
      </c>
      <c r="I36" s="2085"/>
      <c r="J36" s="389">
        <f>SUMIF(109:109,I36,110:110)-SUMIF(109:109,C36,110:110)+100</f>
        <v>100</v>
      </c>
      <c r="K36" s="380"/>
      <c r="L36" s="2939"/>
      <c r="M36" s="2933"/>
      <c r="N36" s="2933"/>
      <c r="O36" s="2933"/>
      <c r="P36" s="3635"/>
      <c r="Q36" s="3184" t="str">
        <f t="shared" si="11"/>
        <v>公共部分装修</v>
      </c>
      <c r="R36" s="709" t="s">
        <v>21</v>
      </c>
      <c r="S36" s="710">
        <f t="shared" si="12"/>
        <v>100</v>
      </c>
      <c r="T36" s="709" t="s">
        <v>21</v>
      </c>
      <c r="U36" s="710">
        <f t="shared" si="13"/>
        <v>100</v>
      </c>
      <c r="V36" s="709" t="s">
        <v>21</v>
      </c>
      <c r="W36" s="710">
        <f t="shared" si="14"/>
        <v>100</v>
      </c>
      <c r="X36" s="3186"/>
      <c r="Y36" s="3616"/>
      <c r="Z36" s="3185" t="str">
        <f t="shared" si="18"/>
        <v>公共部分装修</v>
      </c>
      <c r="AA36" s="3187">
        <f t="shared" si="15"/>
        <v>1</v>
      </c>
      <c r="AB36" s="3187">
        <f t="shared" si="16"/>
        <v>1</v>
      </c>
      <c r="AC36" s="3187">
        <f t="shared" si="17"/>
        <v>1</v>
      </c>
    </row>
    <row r="37" spans="1:29" s="108" customFormat="1" ht="15">
      <c r="A37" s="427"/>
      <c r="B37" s="376" t="s">
        <v>2387</v>
      </c>
      <c r="C37" s="428">
        <v>1</v>
      </c>
      <c r="D37" s="127">
        <v>100</v>
      </c>
      <c r="E37" s="428">
        <v>1</v>
      </c>
      <c r="F37" s="379">
        <f>LOOKUP(E37,112:112,113:113)-LOOKUP(C37,112:112,113:113)+100</f>
        <v>100</v>
      </c>
      <c r="G37" s="430">
        <v>1</v>
      </c>
      <c r="H37" s="127">
        <f>LOOKUP(G37,112:112,113:113)-LOOKUP(C37,112:112,113:113)+100</f>
        <v>100</v>
      </c>
      <c r="I37" s="429">
        <v>1</v>
      </c>
      <c r="J37" s="127">
        <f>LOOKUP(I37,112:112,113:113)-LOOKUP(C37,112:112,113:113)+100</f>
        <v>100</v>
      </c>
      <c r="K37" s="380">
        <v>2</v>
      </c>
      <c r="L37" s="2934"/>
      <c r="M37" s="2935"/>
      <c r="N37" s="2935"/>
      <c r="O37" s="2935"/>
      <c r="P37" s="3635"/>
      <c r="Q37" s="3183" t="str">
        <f t="shared" si="11"/>
        <v>成新度</v>
      </c>
      <c r="R37" s="705" t="s">
        <v>21</v>
      </c>
      <c r="S37" s="706">
        <f t="shared" si="12"/>
        <v>100</v>
      </c>
      <c r="T37" s="705" t="s">
        <v>21</v>
      </c>
      <c r="U37" s="706">
        <f t="shared" si="13"/>
        <v>100</v>
      </c>
      <c r="V37" s="705" t="s">
        <v>21</v>
      </c>
      <c r="W37" s="706">
        <f t="shared" si="14"/>
        <v>100</v>
      </c>
      <c r="X37" s="707"/>
      <c r="Y37" s="3616"/>
      <c r="Z37" s="3182" t="str">
        <f t="shared" si="18"/>
        <v>成新度</v>
      </c>
      <c r="AA37" s="708">
        <f t="shared" si="15"/>
        <v>1</v>
      </c>
      <c r="AB37" s="708">
        <f t="shared" si="16"/>
        <v>1</v>
      </c>
      <c r="AC37" s="708">
        <f t="shared" si="17"/>
        <v>1</v>
      </c>
    </row>
    <row r="38" spans="1:29" ht="15">
      <c r="A38" s="426"/>
      <c r="B38" s="376" t="s">
        <v>2388</v>
      </c>
      <c r="C38" s="2084" t="s">
        <v>3421</v>
      </c>
      <c r="D38" s="389">
        <v>100</v>
      </c>
      <c r="E38" s="2085" t="s">
        <v>3421</v>
      </c>
      <c r="F38" s="415">
        <f>SUMIF(114:114,E38,115:115)-SUMIF(114:114,C38,115:115)+100</f>
        <v>100</v>
      </c>
      <c r="G38" s="2084" t="s">
        <v>3421</v>
      </c>
      <c r="H38" s="389">
        <f>SUMIF(114:114,G38,115:115)-SUMIF(114:114,C38,115:115)+100</f>
        <v>100</v>
      </c>
      <c r="I38" s="2085" t="s">
        <v>3421</v>
      </c>
      <c r="J38" s="389">
        <f>SUMIF(114:114,I38,115:115)-SUMIF(114:114,C38,115:115)+100</f>
        <v>100</v>
      </c>
      <c r="K38" s="380">
        <v>2</v>
      </c>
      <c r="L38" s="2939"/>
      <c r="M38" s="2933"/>
      <c r="N38" s="2933"/>
      <c r="O38" s="2933"/>
      <c r="P38" s="3635" t="s">
        <v>2382</v>
      </c>
      <c r="Q38" s="3184" t="str">
        <f t="shared" si="11"/>
        <v>物业管理</v>
      </c>
      <c r="R38" s="709" t="s">
        <v>21</v>
      </c>
      <c r="S38" s="710">
        <f t="shared" si="12"/>
        <v>100</v>
      </c>
      <c r="T38" s="709" t="s">
        <v>21</v>
      </c>
      <c r="U38" s="710">
        <f t="shared" si="13"/>
        <v>100</v>
      </c>
      <c r="V38" s="709" t="s">
        <v>21</v>
      </c>
      <c r="W38" s="710">
        <f t="shared" si="14"/>
        <v>100</v>
      </c>
      <c r="X38" s="3186"/>
      <c r="Y38" s="3616" t="s">
        <v>2382</v>
      </c>
      <c r="Z38" s="3185" t="str">
        <f t="shared" si="18"/>
        <v>物业管理</v>
      </c>
      <c r="AA38" s="3187">
        <f t="shared" si="15"/>
        <v>1</v>
      </c>
      <c r="AB38" s="3187">
        <f t="shared" si="16"/>
        <v>1</v>
      </c>
      <c r="AC38" s="3187">
        <f t="shared" si="17"/>
        <v>1</v>
      </c>
    </row>
    <row r="39" spans="1:29" ht="15">
      <c r="A39" s="426"/>
      <c r="B39" s="376" t="s">
        <v>2389</v>
      </c>
      <c r="C39" s="2084"/>
      <c r="D39" s="389">
        <v>100</v>
      </c>
      <c r="E39" s="2085"/>
      <c r="F39" s="415">
        <f>SUMIF(116:116,E39,117:117)-SUMIF(116:116,C39,117:117)+100</f>
        <v>100</v>
      </c>
      <c r="G39" s="2084"/>
      <c r="H39" s="389">
        <f>SUMIF(116:116,G39,117:117)-SUMIF(116:116,C39,117:117)+100</f>
        <v>100</v>
      </c>
      <c r="I39" s="2085"/>
      <c r="J39" s="389">
        <f>SUMIF(116:116,I39,117:117)-SUMIF(116:116,C39,117:117)+100</f>
        <v>100</v>
      </c>
      <c r="K39" s="380"/>
      <c r="L39" s="2939"/>
      <c r="M39" s="2933"/>
      <c r="N39" s="2933"/>
      <c r="O39" s="2933"/>
      <c r="P39" s="3635"/>
      <c r="Q39" s="3184" t="str">
        <f t="shared" si="11"/>
        <v>市政基础设施</v>
      </c>
      <c r="R39" s="709" t="s">
        <v>21</v>
      </c>
      <c r="S39" s="710">
        <f t="shared" si="12"/>
        <v>100</v>
      </c>
      <c r="T39" s="709" t="s">
        <v>21</v>
      </c>
      <c r="U39" s="710">
        <f t="shared" si="13"/>
        <v>100</v>
      </c>
      <c r="V39" s="709" t="s">
        <v>21</v>
      </c>
      <c r="W39" s="710">
        <f t="shared" si="14"/>
        <v>100</v>
      </c>
      <c r="X39" s="3186"/>
      <c r="Y39" s="3616"/>
      <c r="Z39" s="3185" t="str">
        <f t="shared" si="18"/>
        <v>市政基础设施</v>
      </c>
      <c r="AA39" s="3187">
        <f t="shared" si="15"/>
        <v>1</v>
      </c>
      <c r="AB39" s="3187">
        <f t="shared" si="16"/>
        <v>1</v>
      </c>
      <c r="AC39" s="3187">
        <f t="shared" si="17"/>
        <v>1</v>
      </c>
    </row>
    <row r="40" spans="1:29" ht="15">
      <c r="A40" s="426"/>
      <c r="B40" s="376" t="s">
        <v>2390</v>
      </c>
      <c r="C40" s="2084"/>
      <c r="D40" s="389">
        <v>100</v>
      </c>
      <c r="E40" s="2085"/>
      <c r="F40" s="415">
        <f>SUMIF(118:118,E40,119:119)-SUMIF(118:118,C40,119:119)+100</f>
        <v>100</v>
      </c>
      <c r="G40" s="2084"/>
      <c r="H40" s="389">
        <f>SUMIF(118:118,G40,119:119)-SUMIF(118:118,C40,119:119)+100</f>
        <v>100</v>
      </c>
      <c r="I40" s="2085"/>
      <c r="J40" s="389">
        <f>SUMIF(118:118,I40,119:119)-SUMIF(118:118,C40,119:119)+100</f>
        <v>100</v>
      </c>
      <c r="K40" s="380"/>
      <c r="L40" s="2939"/>
      <c r="M40" s="2933"/>
      <c r="N40" s="2933"/>
      <c r="O40" s="2933"/>
      <c r="P40" s="3635"/>
      <c r="Q40" s="3184" t="str">
        <f t="shared" si="11"/>
        <v>房型</v>
      </c>
      <c r="R40" s="709" t="s">
        <v>21</v>
      </c>
      <c r="S40" s="710">
        <f t="shared" si="12"/>
        <v>100</v>
      </c>
      <c r="T40" s="709" t="s">
        <v>21</v>
      </c>
      <c r="U40" s="710">
        <f t="shared" si="13"/>
        <v>100</v>
      </c>
      <c r="V40" s="709" t="s">
        <v>21</v>
      </c>
      <c r="W40" s="710">
        <f t="shared" si="14"/>
        <v>100</v>
      </c>
      <c r="X40" s="3186"/>
      <c r="Y40" s="3616"/>
      <c r="Z40" s="3185" t="str">
        <f t="shared" si="18"/>
        <v>房型</v>
      </c>
      <c r="AA40" s="3187">
        <f t="shared" si="15"/>
        <v>1</v>
      </c>
      <c r="AB40" s="3187">
        <f t="shared" si="16"/>
        <v>1</v>
      </c>
      <c r="AC40" s="3187">
        <f t="shared" si="17"/>
        <v>1</v>
      </c>
    </row>
    <row r="41" spans="1:29" s="425" customFormat="1" ht="28.5">
      <c r="A41" s="422"/>
      <c r="B41" s="376" t="s">
        <v>2391</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72"/>
      <c r="L41" s="2938"/>
      <c r="M41" s="2940"/>
      <c r="N41" s="2940"/>
      <c r="O41" s="2940"/>
      <c r="P41" s="3635"/>
      <c r="Q41" s="711" t="str">
        <f t="shared" si="11"/>
        <v>单套/主力户型建筑面积</v>
      </c>
      <c r="R41" s="712" t="s">
        <v>21</v>
      </c>
      <c r="S41" s="713">
        <f t="shared" si="12"/>
        <v>100</v>
      </c>
      <c r="T41" s="712" t="s">
        <v>21</v>
      </c>
      <c r="U41" s="713">
        <f t="shared" si="13"/>
        <v>100</v>
      </c>
      <c r="V41" s="712" t="s">
        <v>21</v>
      </c>
      <c r="W41" s="713">
        <f t="shared" si="14"/>
        <v>100</v>
      </c>
      <c r="X41" s="714"/>
      <c r="Y41" s="3616"/>
      <c r="Z41" s="715" t="str">
        <f t="shared" si="18"/>
        <v>单套/主力户型建筑面积</v>
      </c>
      <c r="AA41" s="3187">
        <f t="shared" si="15"/>
        <v>1</v>
      </c>
      <c r="AB41" s="3187">
        <f t="shared" si="16"/>
        <v>1</v>
      </c>
      <c r="AC41" s="3187">
        <f t="shared" si="17"/>
        <v>1</v>
      </c>
    </row>
    <row r="42" spans="1:29" ht="15">
      <c r="A42" s="426"/>
      <c r="B42" s="376" t="s">
        <v>2392</v>
      </c>
      <c r="C42" s="2084" t="s">
        <v>3439</v>
      </c>
      <c r="D42" s="389">
        <v>100</v>
      </c>
      <c r="E42" s="2085" t="s">
        <v>3443</v>
      </c>
      <c r="F42" s="415">
        <f>SUMIF(122:122,E42,123:123)-SUMIF(122:122,C42,123:123)+100</f>
        <v>91</v>
      </c>
      <c r="G42" s="2084" t="s">
        <v>3439</v>
      </c>
      <c r="H42" s="389">
        <f>SUMIF(122:122,G42,123:123)-SUMIF(122:122,C42,123:123)+100</f>
        <v>100</v>
      </c>
      <c r="I42" s="2085" t="s">
        <v>3439</v>
      </c>
      <c r="J42" s="389">
        <f>SUMIF(122:122,I42,123:123)-SUMIF(122:122,C42,123:123)+100</f>
        <v>100</v>
      </c>
      <c r="K42" s="380">
        <v>3</v>
      </c>
      <c r="L42" s="2939"/>
      <c r="M42" s="2933"/>
      <c r="N42" s="2933"/>
      <c r="O42" s="2933"/>
      <c r="P42" s="3635"/>
      <c r="Q42" s="3184" t="str">
        <f t="shared" si="11"/>
        <v>内部装修</v>
      </c>
      <c r="R42" s="709" t="s">
        <v>21</v>
      </c>
      <c r="S42" s="710">
        <f t="shared" si="12"/>
        <v>91</v>
      </c>
      <c r="T42" s="709" t="s">
        <v>21</v>
      </c>
      <c r="U42" s="710">
        <f t="shared" si="13"/>
        <v>100</v>
      </c>
      <c r="V42" s="709" t="s">
        <v>21</v>
      </c>
      <c r="W42" s="710">
        <f t="shared" si="14"/>
        <v>100</v>
      </c>
      <c r="X42" s="3186"/>
      <c r="Y42" s="3616"/>
      <c r="Z42" s="3185" t="str">
        <f t="shared" si="18"/>
        <v>内部装修</v>
      </c>
      <c r="AA42" s="3187">
        <f t="shared" si="15"/>
        <v>1.098901098901099</v>
      </c>
      <c r="AB42" s="3187">
        <f t="shared" si="16"/>
        <v>1</v>
      </c>
      <c r="AC42" s="3187">
        <f t="shared" si="17"/>
        <v>1</v>
      </c>
    </row>
    <row r="43" spans="1:29" ht="15">
      <c r="A43" s="426"/>
      <c r="B43" s="376" t="s">
        <v>2393</v>
      </c>
      <c r="C43" s="2084"/>
      <c r="D43" s="389">
        <v>100</v>
      </c>
      <c r="E43" s="2085"/>
      <c r="F43" s="415">
        <f>SUMIF(124:124,E43,125:125)-SUMIF(124:124,C43,125:125)+100</f>
        <v>100</v>
      </c>
      <c r="G43" s="2084"/>
      <c r="H43" s="389">
        <f>SUMIF(124:124,G43,125:125)-SUMIF(124:124,C43,125:125)+100</f>
        <v>100</v>
      </c>
      <c r="I43" s="2085"/>
      <c r="J43" s="389">
        <f>SUMIF(124:124,I43,125:125)-SUMIF(124:124,C43,125:125)+100</f>
        <v>100</v>
      </c>
      <c r="K43" s="380"/>
      <c r="L43" s="2939"/>
      <c r="M43" s="2933"/>
      <c r="N43" s="2933"/>
      <c r="O43" s="2933"/>
      <c r="P43" s="3635"/>
      <c r="Q43" s="3184" t="str">
        <f t="shared" si="11"/>
        <v>内部装修维护情况</v>
      </c>
      <c r="R43" s="709" t="s">
        <v>21</v>
      </c>
      <c r="S43" s="710">
        <f t="shared" si="12"/>
        <v>100</v>
      </c>
      <c r="T43" s="709" t="s">
        <v>21</v>
      </c>
      <c r="U43" s="710">
        <f t="shared" si="13"/>
        <v>100</v>
      </c>
      <c r="V43" s="709" t="s">
        <v>21</v>
      </c>
      <c r="W43" s="710">
        <f t="shared" si="14"/>
        <v>100</v>
      </c>
      <c r="X43" s="3186"/>
      <c r="Y43" s="3616"/>
      <c r="Z43" s="3185" t="str">
        <f t="shared" si="18"/>
        <v>内部装修维护情况</v>
      </c>
      <c r="AA43" s="3187">
        <f t="shared" si="15"/>
        <v>1</v>
      </c>
      <c r="AB43" s="3187">
        <f t="shared" si="16"/>
        <v>1</v>
      </c>
      <c r="AC43" s="3187">
        <f t="shared" si="17"/>
        <v>1</v>
      </c>
    </row>
    <row r="44" spans="1:29" s="108" customFormat="1" ht="15">
      <c r="A44" s="427"/>
      <c r="B44" s="1289">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72"/>
      <c r="L44" s="2934"/>
      <c r="M44" s="2935"/>
      <c r="N44" s="2935"/>
      <c r="O44" s="2935"/>
      <c r="P44" s="3635"/>
      <c r="Q44" s="3183">
        <f t="shared" si="11"/>
        <v>111</v>
      </c>
      <c r="R44" s="705" t="s">
        <v>21</v>
      </c>
      <c r="S44" s="706">
        <f t="shared" si="12"/>
        <v>100</v>
      </c>
      <c r="T44" s="705" t="s">
        <v>21</v>
      </c>
      <c r="U44" s="706">
        <f t="shared" si="13"/>
        <v>100</v>
      </c>
      <c r="V44" s="705" t="s">
        <v>21</v>
      </c>
      <c r="W44" s="706">
        <f t="shared" si="14"/>
        <v>100</v>
      </c>
      <c r="X44" s="707"/>
      <c r="Y44" s="3616"/>
      <c r="Z44" s="3182">
        <f t="shared" si="18"/>
        <v>111</v>
      </c>
      <c r="AA44" s="708">
        <f t="shared" si="15"/>
        <v>1</v>
      </c>
      <c r="AB44" s="708">
        <f t="shared" si="16"/>
        <v>1</v>
      </c>
      <c r="AC44" s="708">
        <f t="shared" si="17"/>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72"/>
      <c r="L45" s="2939"/>
      <c r="M45" s="2933"/>
      <c r="N45" s="2933"/>
      <c r="O45" s="2933"/>
      <c r="P45" s="3635"/>
      <c r="Q45" s="3184">
        <f t="shared" si="11"/>
        <v>111</v>
      </c>
      <c r="R45" s="709" t="s">
        <v>21</v>
      </c>
      <c r="S45" s="710">
        <f t="shared" si="12"/>
        <v>100</v>
      </c>
      <c r="T45" s="709" t="s">
        <v>21</v>
      </c>
      <c r="U45" s="710">
        <f t="shared" si="13"/>
        <v>100</v>
      </c>
      <c r="V45" s="709" t="s">
        <v>21</v>
      </c>
      <c r="W45" s="710">
        <f t="shared" si="14"/>
        <v>100</v>
      </c>
      <c r="X45" s="3186"/>
      <c r="Y45" s="3616"/>
      <c r="Z45" s="3185">
        <f t="shared" si="18"/>
        <v>111</v>
      </c>
      <c r="AA45" s="3187">
        <f t="shared" si="15"/>
        <v>1</v>
      </c>
      <c r="AB45" s="3187">
        <f t="shared" si="16"/>
        <v>1</v>
      </c>
      <c r="AC45" s="3187">
        <f t="shared" si="17"/>
        <v>1</v>
      </c>
    </row>
    <row r="46" spans="1:29" ht="15.75" thickBot="1">
      <c r="A46" s="432"/>
      <c r="B46" s="2073">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72"/>
      <c r="L46" s="2939"/>
      <c r="M46" s="2933"/>
      <c r="N46" s="2933"/>
      <c r="O46" s="2933"/>
      <c r="P46" s="3636"/>
      <c r="Q46" s="3184">
        <f t="shared" si="11"/>
        <v>111</v>
      </c>
      <c r="R46" s="709" t="s">
        <v>20</v>
      </c>
      <c r="S46" s="710">
        <f t="shared" si="12"/>
        <v>100</v>
      </c>
      <c r="T46" s="709" t="s">
        <v>20</v>
      </c>
      <c r="U46" s="710">
        <f t="shared" si="13"/>
        <v>100</v>
      </c>
      <c r="V46" s="709" t="s">
        <v>20</v>
      </c>
      <c r="W46" s="710">
        <f t="shared" si="14"/>
        <v>100</v>
      </c>
      <c r="X46" s="3186"/>
      <c r="Y46" s="3637"/>
      <c r="Z46" s="3185">
        <f t="shared" si="18"/>
        <v>111</v>
      </c>
      <c r="AA46" s="3187">
        <f t="shared" si="15"/>
        <v>1</v>
      </c>
      <c r="AB46" s="3187">
        <f t="shared" si="16"/>
        <v>1</v>
      </c>
      <c r="AC46" s="3187">
        <f t="shared" si="17"/>
        <v>1</v>
      </c>
    </row>
    <row r="47" spans="1:29" ht="15">
      <c r="A47" s="433" t="s">
        <v>2394</v>
      </c>
      <c r="B47" s="434"/>
      <c r="C47" s="1310" t="s">
        <v>19</v>
      </c>
      <c r="D47" s="1311"/>
      <c r="E47" s="1312">
        <f>住宅案例!L33</f>
        <v>60704</v>
      </c>
      <c r="F47" s="1313"/>
      <c r="G47" s="1314">
        <f>住宅案例!L11</f>
        <v>53998</v>
      </c>
      <c r="H47" s="1315"/>
      <c r="I47" s="1312">
        <f>住宅案例!L5</f>
        <v>54796</v>
      </c>
      <c r="J47" s="1315"/>
      <c r="K47" s="2092"/>
      <c r="L47" s="2941"/>
      <c r="M47" s="2942"/>
      <c r="N47" s="2933"/>
      <c r="O47" s="2942"/>
      <c r="P47" s="3598" t="str">
        <f>A47</f>
        <v>成交单价（元/平方米）</v>
      </c>
      <c r="Q47" s="3598"/>
      <c r="R47" s="3633">
        <f>E47</f>
        <v>60704</v>
      </c>
      <c r="S47" s="3633"/>
      <c r="T47" s="3633">
        <f>G47</f>
        <v>53998</v>
      </c>
      <c r="U47" s="3633"/>
      <c r="V47" s="3633">
        <f>I47</f>
        <v>54796</v>
      </c>
      <c r="W47" s="3633"/>
      <c r="X47" s="694"/>
      <c r="Y47" s="716"/>
      <c r="Z47" s="694"/>
      <c r="AA47" s="694"/>
      <c r="AB47" s="694"/>
      <c r="AC47" s="694"/>
    </row>
    <row r="48" spans="1:29" ht="15.75" thickBot="1">
      <c r="A48" s="440" t="s">
        <v>2395</v>
      </c>
      <c r="B48" s="441"/>
      <c r="C48" s="1316">
        <f>R49</f>
        <v>52023</v>
      </c>
      <c r="D48" s="2530" t="s">
        <v>2877</v>
      </c>
      <c r="E48" s="1317">
        <f>R48</f>
        <v>52371</v>
      </c>
      <c r="F48" s="2531"/>
      <c r="G48" s="1316">
        <f>T48</f>
        <v>51447</v>
      </c>
      <c r="H48" s="2531"/>
      <c r="I48" s="1317">
        <f>V48</f>
        <v>52250</v>
      </c>
      <c r="J48" s="2531"/>
      <c r="K48" s="2532">
        <f>F48+H48+J48</f>
        <v>0</v>
      </c>
      <c r="L48" s="2941"/>
      <c r="M48" s="2942"/>
      <c r="N48" s="2942"/>
      <c r="O48" s="2942"/>
      <c r="P48" s="3598" t="str">
        <f>A48</f>
        <v>比较价值（元/平方米）</v>
      </c>
      <c r="Q48" s="3598"/>
      <c r="R48" s="3633">
        <f>IF(F1="售价",ROUND(PRODUCT(R47,AA7:AA46),0),ROUND(PRODUCT(R47,AA7:AA46),1))</f>
        <v>52371</v>
      </c>
      <c r="S48" s="3633"/>
      <c r="T48" s="3633">
        <f>IF(F1="售价",ROUND(PRODUCT(T47,AB7:AB46),0),ROUND(PRODUCT(T47,AB7:AB46),1))</f>
        <v>51447</v>
      </c>
      <c r="U48" s="3633"/>
      <c r="V48" s="3633">
        <f>IF(F1="售价",ROUND(PRODUCT(V47,AC7:AC46),0),ROUND(PRODUCT(V47,AC7:AC46),1))</f>
        <v>52250</v>
      </c>
      <c r="W48" s="3633"/>
      <c r="X48" s="694"/>
      <c r="Y48" s="694"/>
      <c r="Z48" s="694"/>
      <c r="AA48" s="694"/>
      <c r="AB48" s="694"/>
      <c r="AC48" s="694"/>
    </row>
    <row r="49" spans="1:29" ht="15.75" thickBot="1">
      <c r="A49" s="444" t="s">
        <v>2396</v>
      </c>
      <c r="B49" s="445"/>
      <c r="C49" s="1318">
        <f>R49</f>
        <v>52023</v>
      </c>
      <c r="D49" s="1319"/>
      <c r="E49" s="1319"/>
      <c r="F49" s="1319"/>
      <c r="G49" s="1319"/>
      <c r="H49" s="1319"/>
      <c r="I49" s="1319"/>
      <c r="J49" s="1319"/>
      <c r="K49" s="2093"/>
      <c r="L49" s="2941"/>
      <c r="M49" s="2942"/>
      <c r="N49" s="2942"/>
      <c r="O49" s="2942"/>
      <c r="P49" s="3618" t="str">
        <f>A49</f>
        <v>估价对象XX用房的比较价值（楼面单价，元/平方米）</v>
      </c>
      <c r="Q49" s="3619"/>
      <c r="R49" s="3632">
        <f>IF(F1="售价",ROUND(IF(D48="简单平均",AVERAGE(R48:V48),R48*F48+T48*H48+V48*J48),0),ROUND(IF(D48="简单平均",AVERAGE(R48:V48),R48*F48+T48*H48+V48*J48),1))</f>
        <v>52023</v>
      </c>
      <c r="S49" s="3632"/>
      <c r="T49" s="3632"/>
      <c r="U49" s="3632"/>
      <c r="V49" s="3632"/>
      <c r="W49" s="3632"/>
      <c r="X49" s="694"/>
      <c r="Y49" s="694"/>
      <c r="Z49" s="694"/>
      <c r="AA49" s="694"/>
      <c r="AB49" s="694"/>
      <c r="AC49" s="694"/>
    </row>
    <row r="50" spans="1:29">
      <c r="A50" s="2942"/>
      <c r="B50" s="2942"/>
      <c r="C50" s="2942"/>
      <c r="D50" s="2942"/>
      <c r="E50" s="2942"/>
      <c r="F50" s="2942"/>
      <c r="G50" s="3115"/>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49" t="s">
        <v>2397</v>
      </c>
      <c r="D52" s="450"/>
      <c r="E52" s="451">
        <f>IF(E47&lt;E48,E48/E47-1,E47/E48-1)</f>
        <v>0.15911477726222523</v>
      </c>
      <c r="F52" s="452" t="str">
        <f>IF(OR(E52&gt;=0.3,E52&lt;=-0.3),"超过30%","")</f>
        <v/>
      </c>
      <c r="G52" s="451">
        <f>IF(G47&lt;G48,G48/G47-1,G47/G48-1)</f>
        <v>4.9585009815927172E-2</v>
      </c>
      <c r="H52" s="452" t="str">
        <f>IF(OR(G52&gt;=0.3,G52&lt;=-0.3),"超过30%","")</f>
        <v/>
      </c>
      <c r="I52" s="451">
        <f>IF(I47&lt;I48,I48/I47-1,I47/I48-1)</f>
        <v>4.872727272727273E-2</v>
      </c>
      <c r="J52" s="452" t="str">
        <f>IF(OR(I52&gt;=0.3,I52&lt;=-0.3),"超过30%","")</f>
        <v/>
      </c>
      <c r="K52" s="2947"/>
      <c r="L52" s="2943"/>
      <c r="M52" s="2942"/>
      <c r="N52" s="2942"/>
      <c r="O52" s="2942"/>
    </row>
    <row r="53" spans="1:29" ht="13.5" customHeight="1">
      <c r="A53" s="2942"/>
      <c r="B53" s="2942"/>
      <c r="C53" s="449" t="s">
        <v>2398</v>
      </c>
      <c r="D53" s="453"/>
      <c r="E53" s="451">
        <f>IF(E48&lt;G48,G48/E48-1,E48/G48-1)</f>
        <v>1.7960230917254627E-2</v>
      </c>
      <c r="F53" s="452" t="str">
        <f>IF(OR(E53&gt;=0.2,E53&lt;=-0.2),"超过20%","")</f>
        <v/>
      </c>
      <c r="G53" s="451">
        <f>IF(G48&lt;I48,I48/G48-1,G48/I48-1)</f>
        <v>1.5608295916185622E-2</v>
      </c>
      <c r="H53" s="452" t="str">
        <f>IF(OR(G53&gt;=0.2,G53&lt;=-0.2),"超过20%","")</f>
        <v/>
      </c>
      <c r="I53" s="451">
        <f>IF(I48&lt;E48,E48/I48-1,I48/E48-1)</f>
        <v>2.315789473684271E-3</v>
      </c>
      <c r="J53" s="452" t="str">
        <f>IF(OR(I53&gt;=0.2,I53&lt;=-0.2),"超过20%","")</f>
        <v/>
      </c>
      <c r="K53" s="2947"/>
      <c r="L53" s="2943"/>
      <c r="M53" s="2942"/>
      <c r="N53" s="2942"/>
      <c r="O53" s="2942"/>
    </row>
    <row r="54" spans="1:29" s="454" customFormat="1" ht="13.5" customHeight="1">
      <c r="A54" s="2945"/>
      <c r="B54" s="2945"/>
      <c r="C54" s="449" t="s">
        <v>2399</v>
      </c>
      <c r="D54" s="453"/>
      <c r="E54" s="451">
        <f>IF(E47&lt;G47,G47/E47-1,E47/G47-1)</f>
        <v>0.12418978480684473</v>
      </c>
      <c r="F54" s="452" t="str">
        <f>IF(OR(E54&gt;=0.3,E54&lt;=-0.3),"超过30%","")</f>
        <v/>
      </c>
      <c r="G54" s="451">
        <f>IF(G47&lt;I47,I47/G47-1,G47/I47-1)</f>
        <v>1.4778325123152802E-2</v>
      </c>
      <c r="H54" s="452" t="str">
        <f>IF(OR(G54&gt;=0.3,G54&lt;=-0.3),"超过30%","")</f>
        <v/>
      </c>
      <c r="I54" s="451">
        <f>IF(I47&lt;E47,E47/I47-1,I47/E47-1)</f>
        <v>0.10781808891159939</v>
      </c>
      <c r="J54" s="452" t="str">
        <f>IF(OR(I54&gt;=0.3,I54&lt;=-0.3),"超过30%","")</f>
        <v/>
      </c>
      <c r="K54" s="2950"/>
      <c r="L54" s="2944"/>
      <c r="M54" s="2945"/>
      <c r="N54" s="2945"/>
      <c r="O54" s="2945"/>
      <c r="P54" s="2095"/>
    </row>
    <row r="55" spans="1:29" s="454" customFormat="1">
      <c r="A55" s="2945"/>
      <c r="B55" s="2948"/>
      <c r="C55" s="2949"/>
      <c r="D55" s="2945"/>
      <c r="E55" s="2945"/>
      <c r="F55" s="2945"/>
      <c r="G55" s="2945"/>
      <c r="H55" s="2945"/>
      <c r="I55" s="2945"/>
      <c r="J55" s="2945"/>
      <c r="K55" s="2950"/>
      <c r="L55" s="2944"/>
      <c r="M55" s="2945"/>
      <c r="N55" s="2945"/>
      <c r="O55" s="2945"/>
      <c r="P55" s="2095"/>
    </row>
    <row r="56" spans="1:29">
      <c r="A56" s="2942"/>
      <c r="B56" s="2948"/>
      <c r="C56" s="2949"/>
      <c r="D56" s="2942"/>
      <c r="E56" s="2942"/>
      <c r="F56" s="2942"/>
      <c r="G56" s="2942"/>
      <c r="H56" s="2942"/>
      <c r="I56" s="2942"/>
      <c r="J56" s="2942"/>
      <c r="K56" s="2947"/>
      <c r="L56" s="2943"/>
      <c r="M56" s="2942"/>
      <c r="N56" s="2942"/>
      <c r="O56" s="2942"/>
    </row>
    <row r="57" spans="1:29" ht="21.75" thickBot="1">
      <c r="A57" s="698" t="s">
        <v>2400</v>
      </c>
      <c r="B57" s="694"/>
      <c r="C57" s="699"/>
      <c r="D57" s="699"/>
      <c r="E57" s="699"/>
      <c r="F57" s="700"/>
      <c r="G57" s="700"/>
      <c r="H57" s="699"/>
      <c r="I57" s="699"/>
      <c r="J57" s="699"/>
      <c r="K57" s="1066"/>
      <c r="L57" s="1067"/>
      <c r="M57" s="1065"/>
      <c r="N57" s="1065"/>
      <c r="O57" s="1065"/>
      <c r="P57" s="2096"/>
      <c r="Q57" s="456"/>
    </row>
    <row r="58" spans="1:29" s="460" customFormat="1" ht="15">
      <c r="A58" s="457" t="s">
        <v>2365</v>
      </c>
      <c r="B58" s="458"/>
      <c r="C58" s="1341" t="str">
        <f>YEAR(C7)&amp;"-"&amp;MONTH(C7)</f>
        <v>2022-1</v>
      </c>
      <c r="D58" s="1340">
        <f>EDATE(C58,-1)</f>
        <v>44531</v>
      </c>
      <c r="E58" s="1340">
        <f>EDATE(D58,-1)</f>
        <v>44501</v>
      </c>
      <c r="F58" s="1340">
        <f t="shared" ref="F58:O58" si="19">EDATE(E58,-1)</f>
        <v>44470</v>
      </c>
      <c r="G58" s="1340">
        <f t="shared" si="19"/>
        <v>44440</v>
      </c>
      <c r="H58" s="1340">
        <f t="shared" si="19"/>
        <v>44409</v>
      </c>
      <c r="I58" s="1340">
        <f t="shared" si="19"/>
        <v>44378</v>
      </c>
      <c r="J58" s="1340">
        <f t="shared" si="19"/>
        <v>44348</v>
      </c>
      <c r="K58" s="1340">
        <f t="shared" si="19"/>
        <v>44317</v>
      </c>
      <c r="L58" s="1340">
        <f t="shared" si="19"/>
        <v>44287</v>
      </c>
      <c r="M58" s="1340">
        <f t="shared" si="19"/>
        <v>44256</v>
      </c>
      <c r="N58" s="1340">
        <f t="shared" si="19"/>
        <v>44228</v>
      </c>
      <c r="O58" s="1340">
        <f t="shared" si="19"/>
        <v>44197</v>
      </c>
      <c r="P58" s="1336"/>
    </row>
    <row r="59" spans="1:29" s="108" customFormat="1" ht="15">
      <c r="A59" s="461"/>
      <c r="B59" s="2097"/>
      <c r="C59" s="1338">
        <v>100</v>
      </c>
      <c r="D59" s="463">
        <f>C59</f>
        <v>100</v>
      </c>
      <c r="E59" s="463">
        <f t="shared" ref="E59:M59" si="20">D59</f>
        <v>100</v>
      </c>
      <c r="F59" s="463">
        <f t="shared" si="20"/>
        <v>100</v>
      </c>
      <c r="G59" s="463">
        <f t="shared" si="20"/>
        <v>100</v>
      </c>
      <c r="H59" s="463">
        <f t="shared" si="20"/>
        <v>100</v>
      </c>
      <c r="I59" s="463">
        <f t="shared" si="20"/>
        <v>100</v>
      </c>
      <c r="J59" s="463">
        <f t="shared" si="20"/>
        <v>100</v>
      </c>
      <c r="K59" s="463">
        <f t="shared" si="20"/>
        <v>100</v>
      </c>
      <c r="L59" s="463">
        <f t="shared" si="20"/>
        <v>100</v>
      </c>
      <c r="M59" s="463">
        <f t="shared" si="20"/>
        <v>100</v>
      </c>
      <c r="N59" s="464"/>
      <c r="O59" s="465"/>
      <c r="P59" s="2098"/>
    </row>
    <row r="60" spans="1:29" s="108" customFormat="1" ht="15.75" thickBot="1">
      <c r="A60" s="467" t="s">
        <v>2402</v>
      </c>
      <c r="B60" s="468"/>
      <c r="C60" s="469"/>
      <c r="D60" s="470"/>
      <c r="E60" s="470"/>
      <c r="F60" s="470"/>
      <c r="G60" s="470"/>
      <c r="H60" s="470"/>
      <c r="I60" s="470"/>
      <c r="J60" s="470"/>
      <c r="K60" s="470"/>
      <c r="L60" s="470"/>
      <c r="M60" s="471"/>
      <c r="N60" s="470"/>
      <c r="O60" s="471"/>
      <c r="P60" s="2098"/>
      <c r="Q60" s="456"/>
    </row>
    <row r="61" spans="1:29" s="108" customFormat="1" ht="15">
      <c r="A61" s="473" t="s">
        <v>2367</v>
      </c>
      <c r="B61" s="462"/>
      <c r="C61" s="474" t="s">
        <v>2404</v>
      </c>
      <c r="D61" s="475"/>
      <c r="E61" s="475"/>
      <c r="F61" s="475"/>
      <c r="G61" s="475"/>
      <c r="H61" s="475"/>
      <c r="I61" s="475"/>
      <c r="J61" s="475"/>
      <c r="K61" s="475"/>
      <c r="L61" s="476"/>
      <c r="M61" s="477"/>
      <c r="N61" s="1057"/>
      <c r="O61" s="1057"/>
      <c r="P61" s="2099"/>
      <c r="Q61" s="456"/>
    </row>
    <row r="62" spans="1:29" s="108" customFormat="1" ht="15.75" thickBot="1">
      <c r="A62" s="473"/>
      <c r="B62" s="462"/>
      <c r="C62" s="463">
        <v>100</v>
      </c>
      <c r="D62" s="464"/>
      <c r="E62" s="464"/>
      <c r="F62" s="464"/>
      <c r="G62" s="464"/>
      <c r="H62" s="464"/>
      <c r="I62" s="464"/>
      <c r="J62" s="464"/>
      <c r="K62" s="464"/>
      <c r="L62" s="464"/>
      <c r="M62" s="466"/>
      <c r="N62" s="1057"/>
      <c r="O62" s="1057"/>
      <c r="P62" s="2098"/>
      <c r="Q62" s="456"/>
    </row>
    <row r="63" spans="1:29">
      <c r="A63" s="479" t="s">
        <v>2405</v>
      </c>
      <c r="B63" s="480" t="s">
        <v>2371</v>
      </c>
      <c r="C63" s="481" t="str">
        <f>C9</f>
        <v>住宅</v>
      </c>
      <c r="D63" s="482"/>
      <c r="E63" s="482"/>
      <c r="F63" s="482"/>
      <c r="G63" s="482"/>
      <c r="H63" s="482"/>
      <c r="I63" s="482"/>
      <c r="J63" s="482"/>
      <c r="K63" s="483"/>
      <c r="L63" s="484"/>
      <c r="M63" s="485"/>
      <c r="N63" s="1058"/>
      <c r="O63" s="1058"/>
      <c r="P63" s="2100"/>
      <c r="Q63" s="456"/>
    </row>
    <row r="64" spans="1:29" ht="15.75" thickBot="1">
      <c r="A64" s="486"/>
      <c r="B64" s="487"/>
      <c r="C64" s="488">
        <v>100</v>
      </c>
      <c r="D64" s="488"/>
      <c r="E64" s="488"/>
      <c r="F64" s="488"/>
      <c r="G64" s="488"/>
      <c r="H64" s="488"/>
      <c r="I64" s="488"/>
      <c r="J64" s="488"/>
      <c r="K64" s="488"/>
      <c r="L64" s="488"/>
      <c r="M64" s="489"/>
      <c r="N64" s="1059"/>
      <c r="O64" s="1059"/>
      <c r="P64" s="2100"/>
      <c r="Q64" s="456"/>
    </row>
    <row r="65" spans="1:17" ht="27.75" thickTop="1">
      <c r="A65" s="486"/>
      <c r="B65" s="490" t="s">
        <v>2374</v>
      </c>
      <c r="C65" s="491" t="s">
        <v>2406</v>
      </c>
      <c r="D65" s="491" t="s">
        <v>2407</v>
      </c>
      <c r="E65" s="491" t="s">
        <v>2408</v>
      </c>
      <c r="F65" s="491" t="s">
        <v>2409</v>
      </c>
      <c r="G65" s="491" t="s">
        <v>2410</v>
      </c>
      <c r="H65" s="491" t="s">
        <v>2411</v>
      </c>
      <c r="I65" s="491" t="s">
        <v>2412</v>
      </c>
      <c r="J65" s="491"/>
      <c r="K65" s="492"/>
      <c r="L65" s="493"/>
      <c r="M65" s="494"/>
      <c r="N65" s="1058"/>
      <c r="O65" s="1058"/>
      <c r="P65" s="2100"/>
      <c r="Q65" s="456"/>
    </row>
    <row r="66" spans="1:17" ht="15.75" thickBot="1">
      <c r="A66" s="486"/>
      <c r="B66" s="495"/>
      <c r="C66" s="496">
        <v>100</v>
      </c>
      <c r="D66" s="496">
        <f t="shared" ref="D66:I66" si="21">C66-$K10</f>
        <v>98</v>
      </c>
      <c r="E66" s="496">
        <f t="shared" si="21"/>
        <v>96</v>
      </c>
      <c r="F66" s="496">
        <f t="shared" si="21"/>
        <v>94</v>
      </c>
      <c r="G66" s="496">
        <f t="shared" si="21"/>
        <v>92</v>
      </c>
      <c r="H66" s="496">
        <f t="shared" si="21"/>
        <v>90</v>
      </c>
      <c r="I66" s="496">
        <f t="shared" si="21"/>
        <v>88</v>
      </c>
      <c r="J66" s="496"/>
      <c r="K66" s="496"/>
      <c r="L66" s="496"/>
      <c r="M66" s="497"/>
      <c r="N66" s="1059"/>
      <c r="O66" s="1059"/>
      <c r="P66" s="2100"/>
      <c r="Q66" s="456"/>
    </row>
    <row r="67" spans="1:17" ht="15.75" thickTop="1">
      <c r="A67" s="486"/>
      <c r="B67" s="498" t="s">
        <v>2375</v>
      </c>
      <c r="C67" s="499" t="str">
        <f>C68&amp;"（含）"&amp;"-"&amp;D68</f>
        <v>0（含）-1</v>
      </c>
      <c r="D67" s="499" t="str">
        <f t="shared" ref="D67:L67" si="22">D68&amp;"（含）"&amp;"-"&amp;E68</f>
        <v>1（含）-1.5</v>
      </c>
      <c r="E67" s="499" t="str">
        <f t="shared" si="22"/>
        <v>1.5（含）-2</v>
      </c>
      <c r="F67" s="499" t="str">
        <f t="shared" si="22"/>
        <v>2（含）-2.5</v>
      </c>
      <c r="G67" s="499" t="str">
        <f t="shared" si="22"/>
        <v>2.5（含）-3</v>
      </c>
      <c r="H67" s="499" t="str">
        <f t="shared" si="22"/>
        <v>3（含）-</v>
      </c>
      <c r="I67" s="499" t="str">
        <f t="shared" si="22"/>
        <v>（含）-</v>
      </c>
      <c r="J67" s="499" t="str">
        <f t="shared" si="22"/>
        <v>（含）-</v>
      </c>
      <c r="K67" s="499" t="str">
        <f>K68&amp;"（含）"&amp;"-"&amp;L68</f>
        <v>（含）-</v>
      </c>
      <c r="L67" s="499" t="str">
        <f t="shared" si="22"/>
        <v>（含）-</v>
      </c>
      <c r="M67" s="402" t="str">
        <f>M68&amp;"（含）"&amp;"-"&amp;P68</f>
        <v>（含）-</v>
      </c>
      <c r="N67" s="1059"/>
      <c r="O67" s="1059"/>
      <c r="P67" s="2100"/>
      <c r="Q67" s="456"/>
    </row>
    <row r="68" spans="1:17" ht="15">
      <c r="A68" s="486"/>
      <c r="B68" s="500"/>
      <c r="C68" s="501">
        <v>0</v>
      </c>
      <c r="D68" s="501">
        <v>1</v>
      </c>
      <c r="E68" s="501">
        <v>1.5</v>
      </c>
      <c r="F68" s="501">
        <v>2</v>
      </c>
      <c r="G68" s="501">
        <v>2.5</v>
      </c>
      <c r="H68" s="501">
        <v>3</v>
      </c>
      <c r="I68" s="501"/>
      <c r="J68" s="501"/>
      <c r="K68" s="502"/>
      <c r="L68" s="503"/>
      <c r="M68" s="504"/>
      <c r="N68" s="1058"/>
      <c r="O68" s="1058"/>
      <c r="P68" s="2100"/>
      <c r="Q68" s="456"/>
    </row>
    <row r="69" spans="1:17" ht="15.75" thickBot="1">
      <c r="A69" s="486"/>
      <c r="B69" s="487"/>
      <c r="C69" s="496">
        <v>100</v>
      </c>
      <c r="D69" s="496">
        <f t="shared" ref="D69:M69" si="23">C69-$K11</f>
        <v>98</v>
      </c>
      <c r="E69" s="496">
        <f t="shared" si="23"/>
        <v>96</v>
      </c>
      <c r="F69" s="496">
        <f t="shared" si="23"/>
        <v>94</v>
      </c>
      <c r="G69" s="496">
        <f t="shared" si="23"/>
        <v>92</v>
      </c>
      <c r="H69" s="496">
        <f t="shared" si="23"/>
        <v>90</v>
      </c>
      <c r="I69" s="496">
        <f t="shared" si="23"/>
        <v>88</v>
      </c>
      <c r="J69" s="496">
        <f t="shared" si="23"/>
        <v>86</v>
      </c>
      <c r="K69" s="496">
        <f t="shared" si="23"/>
        <v>84</v>
      </c>
      <c r="L69" s="496">
        <f t="shared" si="23"/>
        <v>82</v>
      </c>
      <c r="M69" s="497">
        <f t="shared" si="23"/>
        <v>80</v>
      </c>
      <c r="N69" s="1059"/>
      <c r="O69" s="1059"/>
      <c r="P69" s="2100"/>
      <c r="Q69" s="456"/>
    </row>
    <row r="70" spans="1:17" s="425" customFormat="1" ht="15.75" thickTop="1">
      <c r="A70" s="505"/>
      <c r="B70" s="490" t="str">
        <f>B12</f>
        <v>是否为限价房</v>
      </c>
      <c r="C70" s="506"/>
      <c r="D70" s="506"/>
      <c r="E70" s="506"/>
      <c r="F70" s="506"/>
      <c r="G70" s="506"/>
      <c r="H70" s="507"/>
      <c r="I70" s="507"/>
      <c r="J70" s="507"/>
      <c r="K70" s="507"/>
      <c r="L70" s="508"/>
      <c r="M70" s="509"/>
      <c r="N70" s="1060"/>
      <c r="O70" s="1060"/>
      <c r="P70" s="2101"/>
      <c r="Q70" s="511"/>
    </row>
    <row r="71" spans="1:17" s="425" customFormat="1" ht="15.75" thickBot="1">
      <c r="A71" s="505"/>
      <c r="B71" s="495"/>
      <c r="C71" s="512"/>
      <c r="D71" s="488"/>
      <c r="E71" s="488"/>
      <c r="F71" s="488"/>
      <c r="G71" s="488"/>
      <c r="H71" s="488"/>
      <c r="I71" s="488"/>
      <c r="J71" s="488"/>
      <c r="K71" s="488"/>
      <c r="L71" s="488"/>
      <c r="M71" s="489"/>
      <c r="N71" s="1059"/>
      <c r="O71" s="1059"/>
      <c r="P71" s="2101"/>
      <c r="Q71" s="511"/>
    </row>
    <row r="72" spans="1:17" s="425" customFormat="1" ht="15.75" thickTop="1">
      <c r="A72" s="505"/>
      <c r="B72" s="490">
        <f>B13</f>
        <v>111</v>
      </c>
      <c r="C72" s="506"/>
      <c r="D72" s="506"/>
      <c r="E72" s="506"/>
      <c r="F72" s="506"/>
      <c r="G72" s="506"/>
      <c r="H72" s="507"/>
      <c r="I72" s="507"/>
      <c r="J72" s="507"/>
      <c r="K72" s="507"/>
      <c r="L72" s="508"/>
      <c r="M72" s="509"/>
      <c r="N72" s="1060"/>
      <c r="O72" s="1060"/>
      <c r="P72" s="2102"/>
      <c r="Q72" s="513"/>
    </row>
    <row r="73" spans="1:17" s="425" customFormat="1" ht="15.75" thickBot="1">
      <c r="A73" s="505"/>
      <c r="B73" s="495"/>
      <c r="C73" s="512"/>
      <c r="D73" s="512"/>
      <c r="E73" s="512"/>
      <c r="F73" s="512"/>
      <c r="G73" s="512"/>
      <c r="H73" s="514"/>
      <c r="I73" s="514"/>
      <c r="J73" s="514"/>
      <c r="K73" s="514"/>
      <c r="L73" s="514"/>
      <c r="M73" s="515"/>
      <c r="N73" s="1060"/>
      <c r="O73" s="1060"/>
      <c r="P73" s="2101"/>
      <c r="Q73" s="511"/>
    </row>
    <row r="74" spans="1:17" s="425" customFormat="1" ht="15.75" thickTop="1">
      <c r="A74" s="505"/>
      <c r="B74" s="498">
        <f>B14</f>
        <v>111</v>
      </c>
      <c r="C74" s="506"/>
      <c r="D74" s="506"/>
      <c r="E74" s="506"/>
      <c r="F74" s="506"/>
      <c r="G74" s="475"/>
      <c r="H74" s="516"/>
      <c r="I74" s="516"/>
      <c r="J74" s="516"/>
      <c r="K74" s="516"/>
      <c r="L74" s="517"/>
      <c r="M74" s="518"/>
      <c r="N74" s="1060"/>
      <c r="O74" s="1060"/>
      <c r="P74" s="2103"/>
      <c r="Q74" s="511"/>
    </row>
    <row r="75" spans="1:17" s="425" customFormat="1" ht="15.75" thickBot="1">
      <c r="A75" s="520"/>
      <c r="B75" s="521"/>
      <c r="C75" s="522"/>
      <c r="D75" s="522"/>
      <c r="E75" s="522"/>
      <c r="F75" s="522"/>
      <c r="G75" s="522"/>
      <c r="H75" s="523"/>
      <c r="I75" s="523"/>
      <c r="J75" s="523"/>
      <c r="K75" s="523"/>
      <c r="L75" s="523"/>
      <c r="M75" s="524"/>
      <c r="N75" s="1060"/>
      <c r="O75" s="1060"/>
      <c r="P75" s="2101"/>
      <c r="Q75" s="511"/>
    </row>
    <row r="76" spans="1:17">
      <c r="A76" s="479" t="s">
        <v>2376</v>
      </c>
      <c r="B76" s="480" t="s">
        <v>2413</v>
      </c>
      <c r="C76" s="525" t="s">
        <v>2414</v>
      </c>
      <c r="D76" s="525" t="s">
        <v>2415</v>
      </c>
      <c r="E76" s="525" t="s">
        <v>2416</v>
      </c>
      <c r="F76" s="525" t="s">
        <v>2417</v>
      </c>
      <c r="G76" s="525" t="s">
        <v>2418</v>
      </c>
      <c r="H76" s="481"/>
      <c r="I76" s="481"/>
      <c r="J76" s="481"/>
      <c r="K76" s="526"/>
      <c r="L76" s="527"/>
      <c r="M76" s="528"/>
      <c r="N76" s="1058"/>
      <c r="O76" s="1058"/>
      <c r="P76" s="2104"/>
      <c r="Q76" s="456"/>
    </row>
    <row r="77" spans="1:17" ht="15.75" thickBot="1">
      <c r="A77" s="486"/>
      <c r="B77" s="495"/>
      <c r="C77" s="496">
        <v>100</v>
      </c>
      <c r="D77" s="496">
        <f>C77-$K15</f>
        <v>95</v>
      </c>
      <c r="E77" s="496">
        <f>D77-$K15</f>
        <v>90</v>
      </c>
      <c r="F77" s="496">
        <f>E77-$K15</f>
        <v>85</v>
      </c>
      <c r="G77" s="496">
        <f>F77-$K15</f>
        <v>80</v>
      </c>
      <c r="H77" s="496"/>
      <c r="I77" s="496"/>
      <c r="J77" s="496"/>
      <c r="K77" s="496"/>
      <c r="L77" s="496"/>
      <c r="M77" s="497"/>
      <c r="N77" s="1059"/>
      <c r="O77" s="1059"/>
      <c r="P77" s="2100"/>
      <c r="Q77" s="456"/>
    </row>
    <row r="78" spans="1:17" ht="15.75" thickTop="1">
      <c r="A78" s="486"/>
      <c r="B78" s="490" t="s">
        <v>2419</v>
      </c>
      <c r="C78" s="530" t="s">
        <v>2414</v>
      </c>
      <c r="D78" s="530" t="s">
        <v>2415</v>
      </c>
      <c r="E78" s="530" t="s">
        <v>2416</v>
      </c>
      <c r="F78" s="530" t="s">
        <v>2417</v>
      </c>
      <c r="G78" s="530" t="s">
        <v>2418</v>
      </c>
      <c r="H78" s="491"/>
      <c r="I78" s="491"/>
      <c r="J78" s="491"/>
      <c r="K78" s="492"/>
      <c r="L78" s="493"/>
      <c r="M78" s="494"/>
      <c r="N78" s="1058"/>
      <c r="O78" s="1058"/>
      <c r="P78" s="2100"/>
      <c r="Q78" s="456"/>
    </row>
    <row r="79" spans="1:17" ht="15.75" thickBot="1">
      <c r="A79" s="486"/>
      <c r="B79" s="495"/>
      <c r="C79" s="496">
        <v>100</v>
      </c>
      <c r="D79" s="496">
        <f>C79-$K17</f>
        <v>98</v>
      </c>
      <c r="E79" s="496">
        <f>D79-$K17</f>
        <v>96</v>
      </c>
      <c r="F79" s="496">
        <f>E79-$K17</f>
        <v>94</v>
      </c>
      <c r="G79" s="496">
        <f>F79-$K17</f>
        <v>92</v>
      </c>
      <c r="H79" s="496"/>
      <c r="I79" s="496"/>
      <c r="J79" s="496"/>
      <c r="K79" s="496"/>
      <c r="L79" s="496"/>
      <c r="M79" s="497"/>
      <c r="N79" s="1059"/>
      <c r="O79" s="1059"/>
      <c r="P79" s="2100"/>
      <c r="Q79" s="456"/>
    </row>
    <row r="80" spans="1:17" ht="15.75" thickTop="1">
      <c r="A80" s="486"/>
      <c r="B80" s="490" t="s">
        <v>2420</v>
      </c>
      <c r="C80" s="530" t="s">
        <v>2414</v>
      </c>
      <c r="D80" s="530" t="s">
        <v>2415</v>
      </c>
      <c r="E80" s="530" t="s">
        <v>2416</v>
      </c>
      <c r="F80" s="530" t="s">
        <v>2417</v>
      </c>
      <c r="G80" s="530" t="s">
        <v>2418</v>
      </c>
      <c r="H80" s="491"/>
      <c r="I80" s="491"/>
      <c r="J80" s="491"/>
      <c r="K80" s="492"/>
      <c r="L80" s="493"/>
      <c r="M80" s="494"/>
      <c r="N80" s="1058"/>
      <c r="O80" s="1058"/>
      <c r="P80" s="2100"/>
      <c r="Q80" s="456"/>
    </row>
    <row r="81" spans="1:17" ht="15.75" thickBot="1">
      <c r="A81" s="486"/>
      <c r="B81" s="495"/>
      <c r="C81" s="496">
        <v>100</v>
      </c>
      <c r="D81" s="496">
        <f>C81-$K19</f>
        <v>98</v>
      </c>
      <c r="E81" s="496">
        <f>D81-$K19</f>
        <v>96</v>
      </c>
      <c r="F81" s="496">
        <f>E81-$K19</f>
        <v>94</v>
      </c>
      <c r="G81" s="496">
        <f>F81-$K19</f>
        <v>92</v>
      </c>
      <c r="H81" s="496"/>
      <c r="I81" s="496"/>
      <c r="J81" s="496"/>
      <c r="K81" s="496"/>
      <c r="L81" s="496"/>
      <c r="M81" s="497"/>
      <c r="N81" s="1059"/>
      <c r="O81" s="1059"/>
      <c r="P81" s="2100"/>
      <c r="Q81" s="456"/>
    </row>
    <row r="82" spans="1:17" ht="15.75" thickTop="1">
      <c r="A82" s="486"/>
      <c r="B82" s="498" t="s">
        <v>1945</v>
      </c>
      <c r="C82" s="491" t="s">
        <v>2421</v>
      </c>
      <c r="D82" s="491" t="s">
        <v>2422</v>
      </c>
      <c r="E82" s="491" t="s">
        <v>2423</v>
      </c>
      <c r="F82" s="491" t="s">
        <v>2424</v>
      </c>
      <c r="G82" s="491" t="s">
        <v>2425</v>
      </c>
      <c r="H82" s="491"/>
      <c r="I82" s="491"/>
      <c r="J82" s="491"/>
      <c r="K82" s="491"/>
      <c r="L82" s="491"/>
      <c r="M82" s="1285"/>
      <c r="N82" s="1059"/>
      <c r="O82" s="1059"/>
      <c r="P82" s="2100"/>
      <c r="Q82" s="456"/>
    </row>
    <row r="83" spans="1:17" ht="15.75" thickBot="1">
      <c r="A83" s="486"/>
      <c r="B83" s="498"/>
      <c r="C83" s="611">
        <v>100</v>
      </c>
      <c r="D83" s="611">
        <f>C83-$K21</f>
        <v>98</v>
      </c>
      <c r="E83" s="611">
        <f t="shared" ref="E83:G83" si="24">D83-$K21</f>
        <v>96</v>
      </c>
      <c r="F83" s="611">
        <f t="shared" si="24"/>
        <v>94</v>
      </c>
      <c r="G83" s="611">
        <f t="shared" si="24"/>
        <v>92</v>
      </c>
      <c r="H83" s="611"/>
      <c r="I83" s="611"/>
      <c r="J83" s="611"/>
      <c r="K83" s="611"/>
      <c r="L83" s="611"/>
      <c r="M83" s="404"/>
      <c r="N83" s="1059"/>
      <c r="O83" s="1059"/>
      <c r="P83" s="2100"/>
      <c r="Q83" s="456"/>
    </row>
    <row r="84" spans="1:17" ht="15.75" thickTop="1">
      <c r="A84" s="486"/>
      <c r="B84" s="490" t="s">
        <v>2426</v>
      </c>
      <c r="C84" s="530" t="s">
        <v>2414</v>
      </c>
      <c r="D84" s="530" t="s">
        <v>2415</v>
      </c>
      <c r="E84" s="530" t="s">
        <v>2416</v>
      </c>
      <c r="F84" s="530" t="s">
        <v>2417</v>
      </c>
      <c r="G84" s="530" t="s">
        <v>2418</v>
      </c>
      <c r="H84" s="491"/>
      <c r="I84" s="491"/>
      <c r="J84" s="491"/>
      <c r="K84" s="492"/>
      <c r="L84" s="493"/>
      <c r="M84" s="494"/>
      <c r="N84" s="1058"/>
      <c r="O84" s="1058"/>
      <c r="P84" s="2100"/>
      <c r="Q84" s="456"/>
    </row>
    <row r="85" spans="1:17" ht="15.75" thickBot="1">
      <c r="A85" s="486"/>
      <c r="B85" s="495"/>
      <c r="C85" s="496">
        <v>100</v>
      </c>
      <c r="D85" s="496">
        <f>C85-$K23</f>
        <v>98</v>
      </c>
      <c r="E85" s="496">
        <f>D85-$K23</f>
        <v>96</v>
      </c>
      <c r="F85" s="496">
        <f>E85-$K23</f>
        <v>94</v>
      </c>
      <c r="G85" s="496">
        <f>F85-$K23</f>
        <v>92</v>
      </c>
      <c r="H85" s="496"/>
      <c r="I85" s="496"/>
      <c r="J85" s="496"/>
      <c r="K85" s="496"/>
      <c r="L85" s="496"/>
      <c r="M85" s="497"/>
      <c r="N85" s="1059"/>
      <c r="O85" s="1059"/>
      <c r="P85" s="2100"/>
      <c r="Q85" s="456"/>
    </row>
    <row r="86" spans="1:17" s="108" customFormat="1" ht="15.75" thickTop="1">
      <c r="A86" s="531"/>
      <c r="B86" s="490" t="s">
        <v>2427</v>
      </c>
      <c r="C86" s="506"/>
      <c r="D86" s="506"/>
      <c r="E86" s="506"/>
      <c r="F86" s="506"/>
      <c r="G86" s="506"/>
      <c r="H86" s="506"/>
      <c r="I86" s="506"/>
      <c r="J86" s="506"/>
      <c r="K86" s="506"/>
      <c r="L86" s="532"/>
      <c r="M86" s="533"/>
      <c r="N86" s="1057"/>
      <c r="O86" s="1057"/>
      <c r="P86" s="2100"/>
      <c r="Q86" s="456"/>
    </row>
    <row r="87" spans="1:17" s="108" customFormat="1" ht="15.75" thickBot="1">
      <c r="A87" s="531"/>
      <c r="B87" s="495"/>
      <c r="C87" s="534">
        <v>100</v>
      </c>
      <c r="D87" s="496">
        <f t="shared" ref="D87:M87" si="25">$C$87-($C$86-D86)*$K$25</f>
        <v>100</v>
      </c>
      <c r="E87" s="496">
        <f t="shared" si="25"/>
        <v>100</v>
      </c>
      <c r="F87" s="496">
        <f t="shared" si="25"/>
        <v>100</v>
      </c>
      <c r="G87" s="496">
        <f t="shared" si="25"/>
        <v>100</v>
      </c>
      <c r="H87" s="496">
        <f t="shared" si="25"/>
        <v>100</v>
      </c>
      <c r="I87" s="496">
        <f t="shared" si="25"/>
        <v>100</v>
      </c>
      <c r="J87" s="496">
        <f t="shared" si="25"/>
        <v>100</v>
      </c>
      <c r="K87" s="496">
        <f t="shared" si="25"/>
        <v>100</v>
      </c>
      <c r="L87" s="496">
        <f t="shared" si="25"/>
        <v>100</v>
      </c>
      <c r="M87" s="496">
        <f t="shared" si="25"/>
        <v>100</v>
      </c>
      <c r="N87" s="1059"/>
      <c r="O87" s="1059"/>
      <c r="P87" s="2100"/>
      <c r="Q87" s="456"/>
    </row>
    <row r="88" spans="1:17" s="108" customFormat="1" ht="15.75" thickTop="1">
      <c r="A88" s="531"/>
      <c r="B88" s="490" t="s">
        <v>2428</v>
      </c>
      <c r="C88" s="506"/>
      <c r="D88" s="506"/>
      <c r="E88" s="506"/>
      <c r="F88" s="2105"/>
      <c r="G88" s="506"/>
      <c r="H88" s="506"/>
      <c r="I88" s="506"/>
      <c r="J88" s="506"/>
      <c r="K88" s="506"/>
      <c r="L88" s="506"/>
      <c r="M88" s="533"/>
      <c r="N88" s="1057"/>
      <c r="O88" s="1057"/>
      <c r="P88" s="2100"/>
      <c r="Q88" s="456"/>
    </row>
    <row r="89" spans="1:17" s="108" customFormat="1" ht="15.75" thickBot="1">
      <c r="A89" s="531"/>
      <c r="B89" s="495"/>
      <c r="C89" s="534">
        <v>100</v>
      </c>
      <c r="D89" s="496">
        <f t="shared" ref="D89:M89" si="26">C89-$K26</f>
        <v>100</v>
      </c>
      <c r="E89" s="496">
        <f t="shared" si="26"/>
        <v>100</v>
      </c>
      <c r="F89" s="496">
        <f t="shared" si="26"/>
        <v>100</v>
      </c>
      <c r="G89" s="496">
        <f t="shared" si="26"/>
        <v>100</v>
      </c>
      <c r="H89" s="496">
        <f t="shared" si="26"/>
        <v>100</v>
      </c>
      <c r="I89" s="496">
        <f t="shared" si="26"/>
        <v>100</v>
      </c>
      <c r="J89" s="496">
        <f t="shared" si="26"/>
        <v>100</v>
      </c>
      <c r="K89" s="496">
        <f t="shared" si="26"/>
        <v>100</v>
      </c>
      <c r="L89" s="496">
        <f t="shared" si="26"/>
        <v>100</v>
      </c>
      <c r="M89" s="496">
        <f t="shared" si="26"/>
        <v>100</v>
      </c>
      <c r="N89" s="1059"/>
      <c r="O89" s="1059"/>
      <c r="P89" s="2100"/>
      <c r="Q89" s="456"/>
    </row>
    <row r="90" spans="1:17" s="425" customFormat="1" ht="15.75" thickTop="1">
      <c r="A90" s="505"/>
      <c r="B90" s="490">
        <f>B27</f>
        <v>111</v>
      </c>
      <c r="C90" s="506"/>
      <c r="D90" s="506"/>
      <c r="E90" s="506"/>
      <c r="F90" s="506"/>
      <c r="G90" s="506"/>
      <c r="H90" s="507"/>
      <c r="I90" s="507"/>
      <c r="J90" s="507"/>
      <c r="K90" s="507"/>
      <c r="L90" s="508"/>
      <c r="M90" s="509"/>
      <c r="N90" s="1060"/>
      <c r="O90" s="1060"/>
      <c r="P90" s="2101"/>
      <c r="Q90" s="511"/>
    </row>
    <row r="91" spans="1:17" s="425" customFormat="1" ht="15.75" thickBot="1">
      <c r="A91" s="505"/>
      <c r="B91" s="495"/>
      <c r="C91" s="512"/>
      <c r="D91" s="512"/>
      <c r="E91" s="512"/>
      <c r="F91" s="512"/>
      <c r="G91" s="512"/>
      <c r="H91" s="514"/>
      <c r="I91" s="514"/>
      <c r="J91" s="514"/>
      <c r="K91" s="514"/>
      <c r="L91" s="514"/>
      <c r="M91" s="515"/>
      <c r="N91" s="1060"/>
      <c r="O91" s="1060"/>
      <c r="P91" s="2101"/>
      <c r="Q91" s="511"/>
    </row>
    <row r="92" spans="1:17" ht="15.75" thickTop="1">
      <c r="A92" s="486"/>
      <c r="B92" s="490">
        <f>B28</f>
        <v>111</v>
      </c>
      <c r="C92" s="506"/>
      <c r="D92" s="506"/>
      <c r="E92" s="506"/>
      <c r="F92" s="506"/>
      <c r="G92" s="535"/>
      <c r="H92" s="535"/>
      <c r="I92" s="535"/>
      <c r="J92" s="535"/>
      <c r="K92" s="536"/>
      <c r="L92" s="537"/>
      <c r="M92" s="538"/>
      <c r="N92" s="1058"/>
      <c r="O92" s="1058"/>
      <c r="P92" s="2100"/>
      <c r="Q92" s="456"/>
    </row>
    <row r="93" spans="1:17" ht="15.75" thickBot="1">
      <c r="A93" s="486"/>
      <c r="B93" s="495"/>
      <c r="C93" s="512"/>
      <c r="D93" s="488"/>
      <c r="E93" s="488"/>
      <c r="F93" s="488"/>
      <c r="G93" s="488"/>
      <c r="H93" s="488"/>
      <c r="I93" s="488"/>
      <c r="J93" s="488"/>
      <c r="K93" s="488"/>
      <c r="L93" s="488"/>
      <c r="M93" s="489"/>
      <c r="N93" s="1059"/>
      <c r="O93" s="1059"/>
      <c r="P93" s="2100"/>
      <c r="Q93" s="456"/>
    </row>
    <row r="94" spans="1:17" ht="15.75" thickTop="1">
      <c r="A94" s="486"/>
      <c r="B94" s="490">
        <f>B29</f>
        <v>111</v>
      </c>
      <c r="C94" s="506"/>
      <c r="D94" s="506"/>
      <c r="E94" s="506"/>
      <c r="F94" s="506"/>
      <c r="G94" s="535"/>
      <c r="H94" s="535"/>
      <c r="I94" s="535"/>
      <c r="J94" s="535"/>
      <c r="K94" s="536"/>
      <c r="L94" s="537"/>
      <c r="M94" s="538"/>
      <c r="N94" s="1058"/>
      <c r="O94" s="1058"/>
      <c r="P94" s="2100"/>
      <c r="Q94" s="456"/>
    </row>
    <row r="95" spans="1:17" ht="15.75" thickBot="1">
      <c r="A95" s="486"/>
      <c r="B95" s="495"/>
      <c r="C95" s="512"/>
      <c r="D95" s="512"/>
      <c r="E95" s="512"/>
      <c r="F95" s="512"/>
      <c r="G95" s="488"/>
      <c r="H95" s="488"/>
      <c r="I95" s="488"/>
      <c r="J95" s="488"/>
      <c r="K95" s="488"/>
      <c r="L95" s="488"/>
      <c r="M95" s="489"/>
      <c r="N95" s="1059"/>
      <c r="O95" s="1059"/>
      <c r="P95" s="2100"/>
      <c r="Q95" s="456"/>
    </row>
    <row r="96" spans="1:17" ht="15.75" thickTop="1">
      <c r="A96" s="486"/>
      <c r="B96" s="490">
        <f>B30</f>
        <v>111</v>
      </c>
      <c r="C96" s="506"/>
      <c r="D96" s="506"/>
      <c r="E96" s="506"/>
      <c r="F96" s="506"/>
      <c r="G96" s="535"/>
      <c r="H96" s="535"/>
      <c r="I96" s="535"/>
      <c r="J96" s="535"/>
      <c r="K96" s="536"/>
      <c r="L96" s="537"/>
      <c r="M96" s="538"/>
      <c r="N96" s="1058"/>
      <c r="O96" s="1058"/>
      <c r="P96" s="2100"/>
      <c r="Q96" s="456"/>
    </row>
    <row r="97" spans="1:17" ht="15.75" thickBot="1">
      <c r="A97" s="486"/>
      <c r="B97" s="495"/>
      <c r="C97" s="522"/>
      <c r="D97" s="522"/>
      <c r="E97" s="522"/>
      <c r="F97" s="522"/>
      <c r="G97" s="488"/>
      <c r="H97" s="488"/>
      <c r="I97" s="488"/>
      <c r="J97" s="488"/>
      <c r="K97" s="488"/>
      <c r="L97" s="488"/>
      <c r="M97" s="489"/>
      <c r="N97" s="1059"/>
      <c r="O97" s="1059"/>
      <c r="P97" s="2100"/>
      <c r="Q97" s="456"/>
    </row>
    <row r="98" spans="1:17" ht="15.75" thickTop="1">
      <c r="A98" s="486"/>
      <c r="B98" s="498">
        <f>B31</f>
        <v>111</v>
      </c>
      <c r="C98" s="539"/>
      <c r="D98" s="539"/>
      <c r="E98" s="539"/>
      <c r="F98" s="539"/>
      <c r="G98" s="539"/>
      <c r="H98" s="539"/>
      <c r="I98" s="539"/>
      <c r="J98" s="539"/>
      <c r="K98" s="540"/>
      <c r="L98" s="541"/>
      <c r="M98" s="542"/>
      <c r="N98" s="1058"/>
      <c r="O98" s="1058"/>
      <c r="P98" s="2100"/>
      <c r="Q98" s="456"/>
    </row>
    <row r="99" spans="1:17" ht="15.75" thickBot="1">
      <c r="A99" s="2106"/>
      <c r="B99" s="521"/>
      <c r="C99" s="543"/>
      <c r="D99" s="543"/>
      <c r="E99" s="543"/>
      <c r="F99" s="543"/>
      <c r="G99" s="543"/>
      <c r="H99" s="543"/>
      <c r="I99" s="543"/>
      <c r="J99" s="543"/>
      <c r="K99" s="543"/>
      <c r="L99" s="543"/>
      <c r="M99" s="544"/>
      <c r="N99" s="1059"/>
      <c r="O99" s="1059"/>
      <c r="P99" s="2100"/>
      <c r="Q99" s="456"/>
    </row>
    <row r="100" spans="1:17">
      <c r="A100" s="479" t="s">
        <v>2380</v>
      </c>
      <c r="B100" s="480" t="s">
        <v>2429</v>
      </c>
      <c r="C100" s="3090" t="s">
        <v>3484</v>
      </c>
      <c r="D100" s="3090" t="s">
        <v>3486</v>
      </c>
      <c r="E100" s="3090" t="s">
        <v>3481</v>
      </c>
      <c r="F100" s="482"/>
      <c r="G100" s="482"/>
      <c r="H100" s="482"/>
      <c r="I100" s="482"/>
      <c r="J100" s="482"/>
      <c r="K100" s="483"/>
      <c r="L100" s="484"/>
      <c r="M100" s="485"/>
      <c r="N100" s="1058"/>
      <c r="O100" s="1058"/>
      <c r="P100" s="2100"/>
      <c r="Q100" s="456"/>
    </row>
    <row r="101" spans="1:17" ht="15.75" thickBot="1">
      <c r="A101" s="486"/>
      <c r="B101" s="495"/>
      <c r="C101" s="496">
        <v>100</v>
      </c>
      <c r="D101" s="496">
        <f t="shared" ref="D101:M101" si="27">C101-$K32</f>
        <v>90</v>
      </c>
      <c r="E101" s="496">
        <f t="shared" si="27"/>
        <v>80</v>
      </c>
      <c r="F101" s="496">
        <f t="shared" si="27"/>
        <v>70</v>
      </c>
      <c r="G101" s="496">
        <f t="shared" si="27"/>
        <v>60</v>
      </c>
      <c r="H101" s="496">
        <f t="shared" si="27"/>
        <v>50</v>
      </c>
      <c r="I101" s="496">
        <f t="shared" si="27"/>
        <v>40</v>
      </c>
      <c r="J101" s="496">
        <f t="shared" si="27"/>
        <v>30</v>
      </c>
      <c r="K101" s="496">
        <f t="shared" si="27"/>
        <v>20</v>
      </c>
      <c r="L101" s="496">
        <f t="shared" si="27"/>
        <v>10</v>
      </c>
      <c r="M101" s="496">
        <f t="shared" si="27"/>
        <v>0</v>
      </c>
      <c r="N101" s="1059"/>
      <c r="O101" s="1059"/>
      <c r="P101" s="2100"/>
      <c r="Q101" s="456"/>
    </row>
    <row r="102" spans="1:17" ht="29.25" thickTop="1">
      <c r="A102" s="486"/>
      <c r="B102" s="490" t="s">
        <v>2430</v>
      </c>
      <c r="C102" s="530" t="str">
        <f>C103&amp;"(含)"&amp;"-"&amp;D103</f>
        <v>0(含)-50000</v>
      </c>
      <c r="D102" s="530" t="str">
        <f t="shared" ref="D102:L102" si="28">D103&amp;"(含)"&amp;"-"&amp;E103</f>
        <v>50000(含)-100000</v>
      </c>
      <c r="E102" s="530" t="str">
        <f t="shared" si="28"/>
        <v>100000(含)-150000</v>
      </c>
      <c r="F102" s="530" t="str">
        <f t="shared" si="28"/>
        <v>150000(含)-200000</v>
      </c>
      <c r="G102" s="530" t="str">
        <f t="shared" si="28"/>
        <v>200000(含)-</v>
      </c>
      <c r="H102" s="530" t="str">
        <f t="shared" si="28"/>
        <v>(含)-</v>
      </c>
      <c r="I102" s="530" t="str">
        <f t="shared" si="28"/>
        <v>(含)-</v>
      </c>
      <c r="J102" s="530" t="str">
        <f t="shared" si="28"/>
        <v>(含)-</v>
      </c>
      <c r="K102" s="530" t="str">
        <f>K103&amp;"(含)"&amp;"-"&amp;L103</f>
        <v>(含)-</v>
      </c>
      <c r="L102" s="530" t="str">
        <f t="shared" si="28"/>
        <v>(含)-</v>
      </c>
      <c r="M102" s="530" t="str">
        <f>M103&amp;"(含)"&amp;"-"&amp;P103</f>
        <v>(含)-</v>
      </c>
      <c r="N102" s="1057"/>
      <c r="O102" s="1057"/>
      <c r="P102" s="2100"/>
      <c r="Q102" s="456"/>
    </row>
    <row r="103" spans="1:17" s="425" customFormat="1">
      <c r="A103" s="545"/>
      <c r="B103" s="546"/>
      <c r="C103" s="547">
        <v>0</v>
      </c>
      <c r="D103" s="547">
        <v>50000</v>
      </c>
      <c r="E103" s="547">
        <v>100000</v>
      </c>
      <c r="F103" s="547">
        <v>150000</v>
      </c>
      <c r="G103" s="547">
        <v>200000</v>
      </c>
      <c r="H103" s="547"/>
      <c r="I103" s="547"/>
      <c r="J103" s="548"/>
      <c r="K103" s="548"/>
      <c r="L103" s="549"/>
      <c r="M103" s="550"/>
      <c r="N103" s="1060"/>
      <c r="O103" s="1060"/>
      <c r="P103" s="2101"/>
      <c r="Q103" s="511"/>
    </row>
    <row r="104" spans="1:17" s="425" customFormat="1" ht="15.75" thickBot="1">
      <c r="A104" s="505"/>
      <c r="B104" s="495"/>
      <c r="C104" s="512">
        <v>100</v>
      </c>
      <c r="D104" s="488">
        <v>102</v>
      </c>
      <c r="E104" s="488">
        <v>104</v>
      </c>
      <c r="F104" s="488">
        <v>106</v>
      </c>
      <c r="G104" s="488">
        <v>108</v>
      </c>
      <c r="H104" s="488"/>
      <c r="I104" s="488"/>
      <c r="J104" s="488"/>
      <c r="K104" s="488"/>
      <c r="L104" s="488"/>
      <c r="M104" s="488"/>
      <c r="N104" s="1059"/>
      <c r="O104" s="1059"/>
      <c r="P104" s="2101"/>
      <c r="Q104" s="511"/>
    </row>
    <row r="105" spans="1:17" ht="15" thickTop="1">
      <c r="A105" s="551"/>
      <c r="B105" s="490" t="s">
        <v>2431</v>
      </c>
      <c r="C105" s="3089" t="s">
        <v>3464</v>
      </c>
      <c r="D105" s="506"/>
      <c r="E105" s="535"/>
      <c r="F105" s="535"/>
      <c r="G105" s="535"/>
      <c r="H105" s="535"/>
      <c r="I105" s="535"/>
      <c r="J105" s="535"/>
      <c r="K105" s="536"/>
      <c r="L105" s="537"/>
      <c r="M105" s="538"/>
      <c r="N105" s="1058"/>
      <c r="O105" s="1058"/>
      <c r="P105" s="2100"/>
      <c r="Q105" s="456"/>
    </row>
    <row r="106" spans="1:17" ht="15.75" thickBot="1">
      <c r="A106" s="486"/>
      <c r="B106" s="495"/>
      <c r="C106" s="496">
        <v>100</v>
      </c>
      <c r="D106" s="496">
        <f t="shared" ref="D106:M106" si="29">C106-$K34</f>
        <v>98</v>
      </c>
      <c r="E106" s="496">
        <f t="shared" si="29"/>
        <v>96</v>
      </c>
      <c r="F106" s="496">
        <f t="shared" si="29"/>
        <v>94</v>
      </c>
      <c r="G106" s="496">
        <f t="shared" si="29"/>
        <v>92</v>
      </c>
      <c r="H106" s="496">
        <f t="shared" si="29"/>
        <v>90</v>
      </c>
      <c r="I106" s="496">
        <f t="shared" si="29"/>
        <v>88</v>
      </c>
      <c r="J106" s="496">
        <f t="shared" si="29"/>
        <v>86</v>
      </c>
      <c r="K106" s="496">
        <f t="shared" si="29"/>
        <v>84</v>
      </c>
      <c r="L106" s="496">
        <f t="shared" si="29"/>
        <v>82</v>
      </c>
      <c r="M106" s="496">
        <f t="shared" si="29"/>
        <v>80</v>
      </c>
      <c r="N106" s="1059"/>
      <c r="O106" s="1059"/>
      <c r="P106" s="2100"/>
      <c r="Q106" s="456"/>
    </row>
    <row r="107" spans="1:17" ht="15" thickTop="1">
      <c r="A107" s="551"/>
      <c r="B107" s="490" t="s">
        <v>2432</v>
      </c>
      <c r="C107" s="3088" t="s">
        <v>3466</v>
      </c>
      <c r="D107" s="3088" t="s">
        <v>3467</v>
      </c>
      <c r="E107" s="3088" t="s">
        <v>3468</v>
      </c>
      <c r="F107" s="535"/>
      <c r="G107" s="535"/>
      <c r="H107" s="535"/>
      <c r="I107" s="535"/>
      <c r="J107" s="535"/>
      <c r="K107" s="536"/>
      <c r="L107" s="537"/>
      <c r="M107" s="538"/>
      <c r="N107" s="1058"/>
      <c r="O107" s="1058"/>
      <c r="P107" s="2100"/>
      <c r="Q107" s="456"/>
    </row>
    <row r="108" spans="1:17" ht="15.75" thickBot="1">
      <c r="A108" s="486"/>
      <c r="B108" s="495"/>
      <c r="C108" s="496">
        <v>100</v>
      </c>
      <c r="D108" s="496">
        <f t="shared" ref="D108:M108" si="30">C108-$K35</f>
        <v>98</v>
      </c>
      <c r="E108" s="496">
        <f t="shared" si="30"/>
        <v>96</v>
      </c>
      <c r="F108" s="496">
        <f t="shared" si="30"/>
        <v>94</v>
      </c>
      <c r="G108" s="496">
        <f t="shared" si="30"/>
        <v>92</v>
      </c>
      <c r="H108" s="496">
        <f t="shared" si="30"/>
        <v>90</v>
      </c>
      <c r="I108" s="496">
        <f t="shared" si="30"/>
        <v>88</v>
      </c>
      <c r="J108" s="496">
        <f t="shared" si="30"/>
        <v>86</v>
      </c>
      <c r="K108" s="496">
        <f t="shared" si="30"/>
        <v>84</v>
      </c>
      <c r="L108" s="496">
        <f t="shared" si="30"/>
        <v>82</v>
      </c>
      <c r="M108" s="496">
        <f t="shared" si="30"/>
        <v>80</v>
      </c>
      <c r="N108" s="1059"/>
      <c r="O108" s="1059"/>
      <c r="P108" s="2100"/>
      <c r="Q108" s="456"/>
    </row>
    <row r="109" spans="1:17" ht="15" thickTop="1">
      <c r="A109" s="551"/>
      <c r="B109" s="490" t="s">
        <v>2433</v>
      </c>
      <c r="C109" s="3089" t="s">
        <v>3440</v>
      </c>
      <c r="D109" s="3089" t="s">
        <v>3441</v>
      </c>
      <c r="E109" s="3088" t="s">
        <v>3442</v>
      </c>
      <c r="F109" s="3088" t="s">
        <v>3444</v>
      </c>
      <c r="G109" s="535"/>
      <c r="H109" s="535"/>
      <c r="I109" s="535"/>
      <c r="J109" s="535"/>
      <c r="K109" s="536"/>
      <c r="L109" s="537"/>
      <c r="M109" s="538"/>
      <c r="N109" s="1058"/>
      <c r="O109" s="1058"/>
      <c r="P109" s="2100"/>
      <c r="Q109" s="456"/>
    </row>
    <row r="110" spans="1:17" ht="15.75" thickBot="1">
      <c r="A110" s="486"/>
      <c r="B110" s="495"/>
      <c r="C110" s="496">
        <v>100</v>
      </c>
      <c r="D110" s="496">
        <f t="shared" ref="D110:M110" si="31">C110-$K36</f>
        <v>100</v>
      </c>
      <c r="E110" s="496">
        <f t="shared" si="31"/>
        <v>100</v>
      </c>
      <c r="F110" s="496">
        <f t="shared" si="31"/>
        <v>100</v>
      </c>
      <c r="G110" s="496">
        <f t="shared" si="31"/>
        <v>100</v>
      </c>
      <c r="H110" s="496">
        <f t="shared" si="31"/>
        <v>100</v>
      </c>
      <c r="I110" s="496">
        <f t="shared" si="31"/>
        <v>100</v>
      </c>
      <c r="J110" s="496">
        <f t="shared" si="31"/>
        <v>100</v>
      </c>
      <c r="K110" s="496">
        <f t="shared" si="31"/>
        <v>100</v>
      </c>
      <c r="L110" s="496">
        <f t="shared" si="31"/>
        <v>100</v>
      </c>
      <c r="M110" s="496">
        <f t="shared" si="31"/>
        <v>100</v>
      </c>
      <c r="N110" s="1059"/>
      <c r="O110" s="1059"/>
      <c r="P110" s="2100"/>
      <c r="Q110" s="456"/>
    </row>
    <row r="111" spans="1:17" s="425" customFormat="1" ht="15" thickTop="1">
      <c r="A111" s="545"/>
      <c r="B111" s="490" t="s">
        <v>1875</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60"/>
      <c r="O111" s="1060"/>
      <c r="P111" s="2101"/>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60"/>
      <c r="O112" s="1060"/>
      <c r="P112" s="2101"/>
      <c r="Q112" s="511"/>
    </row>
    <row r="113" spans="1:17" s="425" customFormat="1" ht="15.75" thickBot="1">
      <c r="A113" s="505"/>
      <c r="B113" s="495"/>
      <c r="C113" s="534">
        <v>100</v>
      </c>
      <c r="D113" s="496">
        <f>C113+$K37</f>
        <v>102</v>
      </c>
      <c r="E113" s="496">
        <f>D113+$K37</f>
        <v>104</v>
      </c>
      <c r="F113" s="496">
        <f>E113+$K37</f>
        <v>106</v>
      </c>
      <c r="G113" s="496">
        <f>F113+$K37</f>
        <v>108</v>
      </c>
      <c r="H113" s="496">
        <f>G113+$K37</f>
        <v>110</v>
      </c>
      <c r="I113" s="534"/>
      <c r="J113" s="559"/>
      <c r="K113" s="559"/>
      <c r="L113" s="559"/>
      <c r="M113" s="560"/>
      <c r="N113" s="1060"/>
      <c r="O113" s="1060"/>
      <c r="P113" s="2101"/>
      <c r="Q113" s="511"/>
    </row>
    <row r="114" spans="1:17" ht="15" thickTop="1">
      <c r="A114" s="551"/>
      <c r="B114" s="490" t="s">
        <v>2434</v>
      </c>
      <c r="C114" s="3089" t="s">
        <v>3469</v>
      </c>
      <c r="D114" s="3089" t="s">
        <v>3423</v>
      </c>
      <c r="E114" s="535"/>
      <c r="F114" s="535"/>
      <c r="G114" s="535"/>
      <c r="H114" s="535"/>
      <c r="I114" s="535"/>
      <c r="J114" s="535"/>
      <c r="K114" s="536"/>
      <c r="L114" s="537"/>
      <c r="M114" s="538"/>
      <c r="N114" s="1058"/>
      <c r="O114" s="1058"/>
      <c r="P114" s="2100"/>
      <c r="Q114" s="456"/>
    </row>
    <row r="115" spans="1:17" ht="15.75" thickBot="1">
      <c r="A115" s="486"/>
      <c r="B115" s="495"/>
      <c r="C115" s="496">
        <v>100</v>
      </c>
      <c r="D115" s="496">
        <f t="shared" ref="D115:M115" si="32">C115-$K38</f>
        <v>98</v>
      </c>
      <c r="E115" s="496">
        <f t="shared" si="32"/>
        <v>96</v>
      </c>
      <c r="F115" s="496">
        <f t="shared" si="32"/>
        <v>94</v>
      </c>
      <c r="G115" s="496">
        <f t="shared" si="32"/>
        <v>92</v>
      </c>
      <c r="H115" s="496">
        <f t="shared" si="32"/>
        <v>90</v>
      </c>
      <c r="I115" s="496">
        <f t="shared" si="32"/>
        <v>88</v>
      </c>
      <c r="J115" s="496">
        <f t="shared" si="32"/>
        <v>86</v>
      </c>
      <c r="K115" s="496">
        <f t="shared" si="32"/>
        <v>84</v>
      </c>
      <c r="L115" s="496">
        <f t="shared" si="32"/>
        <v>82</v>
      </c>
      <c r="M115" s="496">
        <f t="shared" si="32"/>
        <v>80</v>
      </c>
      <c r="N115" s="1059"/>
      <c r="O115" s="1059"/>
      <c r="P115" s="2100"/>
      <c r="Q115" s="456"/>
    </row>
    <row r="116" spans="1:17" ht="15" thickTop="1">
      <c r="A116" s="551"/>
      <c r="B116" s="490" t="s">
        <v>2435</v>
      </c>
      <c r="C116" s="506"/>
      <c r="D116" s="506"/>
      <c r="E116" s="506"/>
      <c r="F116" s="506"/>
      <c r="G116" s="506"/>
      <c r="H116" s="535"/>
      <c r="I116" s="535"/>
      <c r="J116" s="535"/>
      <c r="K116" s="536"/>
      <c r="L116" s="537"/>
      <c r="M116" s="538"/>
      <c r="N116" s="1058"/>
      <c r="O116" s="1058"/>
      <c r="P116" s="2100"/>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1059"/>
      <c r="O117" s="1059"/>
      <c r="P117" s="2100"/>
      <c r="Q117" s="456"/>
    </row>
    <row r="118" spans="1:17" ht="15" thickTop="1">
      <c r="A118" s="551"/>
      <c r="B118" s="490" t="s">
        <v>2436</v>
      </c>
      <c r="C118" s="535"/>
      <c r="D118" s="535"/>
      <c r="E118" s="535"/>
      <c r="F118" s="535"/>
      <c r="G118" s="535"/>
      <c r="H118" s="535"/>
      <c r="I118" s="535"/>
      <c r="J118" s="535"/>
      <c r="K118" s="536"/>
      <c r="L118" s="537"/>
      <c r="M118" s="538"/>
      <c r="N118" s="1058"/>
      <c r="O118" s="1058"/>
      <c r="P118" s="2100"/>
      <c r="Q118" s="456"/>
    </row>
    <row r="119" spans="1:17" ht="15.75" thickBot="1">
      <c r="A119" s="486"/>
      <c r="B119" s="495"/>
      <c r="C119" s="496">
        <v>100</v>
      </c>
      <c r="D119" s="496">
        <f t="shared" ref="D119:M119" si="33">C119-$K40</f>
        <v>100</v>
      </c>
      <c r="E119" s="496">
        <f t="shared" si="33"/>
        <v>100</v>
      </c>
      <c r="F119" s="496">
        <f t="shared" si="33"/>
        <v>100</v>
      </c>
      <c r="G119" s="496">
        <f t="shared" si="33"/>
        <v>100</v>
      </c>
      <c r="H119" s="496">
        <f t="shared" si="33"/>
        <v>100</v>
      </c>
      <c r="I119" s="496">
        <f t="shared" si="33"/>
        <v>100</v>
      </c>
      <c r="J119" s="496">
        <f t="shared" si="33"/>
        <v>100</v>
      </c>
      <c r="K119" s="496">
        <f t="shared" si="33"/>
        <v>100</v>
      </c>
      <c r="L119" s="496">
        <f t="shared" si="33"/>
        <v>100</v>
      </c>
      <c r="M119" s="496">
        <f t="shared" si="33"/>
        <v>100</v>
      </c>
      <c r="N119" s="1059"/>
      <c r="O119" s="1059"/>
      <c r="P119" s="2100"/>
      <c r="Q119" s="456"/>
    </row>
    <row r="120" spans="1:17" s="425" customFormat="1" ht="28.5" thickTop="1">
      <c r="A120" s="545"/>
      <c r="B120" s="490" t="s">
        <v>2391</v>
      </c>
      <c r="C120" s="506"/>
      <c r="D120" s="506"/>
      <c r="E120" s="506"/>
      <c r="F120" s="506"/>
      <c r="G120" s="506"/>
      <c r="H120" s="506"/>
      <c r="I120" s="506"/>
      <c r="J120" s="506"/>
      <c r="K120" s="506"/>
      <c r="L120" s="532"/>
      <c r="M120" s="533"/>
      <c r="N120" s="1060"/>
      <c r="O120" s="1060"/>
      <c r="P120" s="2101"/>
      <c r="Q120" s="511"/>
    </row>
    <row r="121" spans="1:17" s="425" customFormat="1" ht="15.75" thickBot="1">
      <c r="A121" s="505"/>
      <c r="B121" s="487"/>
      <c r="C121" s="512"/>
      <c r="D121" s="488"/>
      <c r="E121" s="488"/>
      <c r="F121" s="488"/>
      <c r="G121" s="488"/>
      <c r="H121" s="488"/>
      <c r="I121" s="488"/>
      <c r="J121" s="488"/>
      <c r="K121" s="488"/>
      <c r="L121" s="488"/>
      <c r="M121" s="488"/>
      <c r="N121" s="1060"/>
      <c r="O121" s="1060"/>
      <c r="P121" s="2101"/>
      <c r="Q121" s="511"/>
    </row>
    <row r="122" spans="1:17" ht="15" thickTop="1">
      <c r="A122" s="551"/>
      <c r="B122" s="490" t="s">
        <v>2437</v>
      </c>
      <c r="C122" s="3089" t="s">
        <v>3440</v>
      </c>
      <c r="D122" s="3089" t="s">
        <v>3441</v>
      </c>
      <c r="E122" s="3088" t="s">
        <v>3442</v>
      </c>
      <c r="F122" s="3088" t="s">
        <v>3444</v>
      </c>
      <c r="G122" s="535"/>
      <c r="H122" s="535"/>
      <c r="I122" s="535"/>
      <c r="J122" s="535"/>
      <c r="K122" s="536"/>
      <c r="L122" s="537"/>
      <c r="M122" s="538"/>
      <c r="N122" s="1058"/>
      <c r="O122" s="1058"/>
      <c r="P122" s="2100"/>
      <c r="Q122" s="456"/>
    </row>
    <row r="123" spans="1:17" ht="15.75" thickBot="1">
      <c r="A123" s="486"/>
      <c r="B123" s="495"/>
      <c r="C123" s="496">
        <v>100</v>
      </c>
      <c r="D123" s="496">
        <f t="shared" ref="D123:M123" si="34">C123-$K42</f>
        <v>97</v>
      </c>
      <c r="E123" s="496">
        <f t="shared" si="34"/>
        <v>94</v>
      </c>
      <c r="F123" s="496">
        <f t="shared" si="34"/>
        <v>91</v>
      </c>
      <c r="G123" s="496">
        <f t="shared" si="34"/>
        <v>88</v>
      </c>
      <c r="H123" s="496">
        <f t="shared" si="34"/>
        <v>85</v>
      </c>
      <c r="I123" s="496">
        <f t="shared" si="34"/>
        <v>82</v>
      </c>
      <c r="J123" s="496">
        <f t="shared" si="34"/>
        <v>79</v>
      </c>
      <c r="K123" s="496">
        <f t="shared" si="34"/>
        <v>76</v>
      </c>
      <c r="L123" s="496">
        <f t="shared" si="34"/>
        <v>73</v>
      </c>
      <c r="M123" s="496">
        <f t="shared" si="34"/>
        <v>70</v>
      </c>
      <c r="N123" s="1059"/>
      <c r="O123" s="1059"/>
      <c r="P123" s="2100"/>
      <c r="Q123" s="456"/>
    </row>
    <row r="124" spans="1:17" ht="15" thickTop="1">
      <c r="A124" s="551"/>
      <c r="B124" s="490" t="s">
        <v>2438</v>
      </c>
      <c r="C124" s="530" t="s">
        <v>2414</v>
      </c>
      <c r="D124" s="530" t="s">
        <v>2415</v>
      </c>
      <c r="E124" s="530" t="s">
        <v>2416</v>
      </c>
      <c r="F124" s="530" t="s">
        <v>2417</v>
      </c>
      <c r="G124" s="530" t="s">
        <v>2418</v>
      </c>
      <c r="H124" s="491"/>
      <c r="I124" s="491"/>
      <c r="J124" s="491"/>
      <c r="K124" s="492"/>
      <c r="L124" s="493"/>
      <c r="M124" s="494"/>
      <c r="N124" s="1058"/>
      <c r="O124" s="1058"/>
      <c r="P124" s="2101"/>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1059"/>
      <c r="O125" s="1059"/>
      <c r="P125" s="2100"/>
      <c r="Q125" s="456"/>
    </row>
    <row r="126" spans="1:17" s="425" customFormat="1" ht="15" thickTop="1">
      <c r="A126" s="545"/>
      <c r="B126" s="490">
        <f>B44</f>
        <v>111</v>
      </c>
      <c r="C126" s="506"/>
      <c r="D126" s="506"/>
      <c r="E126" s="506"/>
      <c r="F126" s="506"/>
      <c r="G126" s="506"/>
      <c r="H126" s="507"/>
      <c r="I126" s="507"/>
      <c r="J126" s="507"/>
      <c r="K126" s="507"/>
      <c r="L126" s="508"/>
      <c r="M126" s="509"/>
      <c r="N126" s="1060"/>
      <c r="O126" s="1060"/>
      <c r="P126" s="2101"/>
      <c r="Q126" s="511"/>
    </row>
    <row r="127" spans="1:17" s="425" customFormat="1" ht="15.75" thickBot="1">
      <c r="A127" s="505"/>
      <c r="B127" s="495"/>
      <c r="C127" s="512"/>
      <c r="D127" s="488"/>
      <c r="E127" s="488"/>
      <c r="F127" s="488"/>
      <c r="G127" s="512"/>
      <c r="H127" s="514"/>
      <c r="I127" s="514"/>
      <c r="J127" s="514"/>
      <c r="K127" s="514"/>
      <c r="L127" s="514"/>
      <c r="M127" s="515"/>
      <c r="N127" s="1060"/>
      <c r="O127" s="1060"/>
      <c r="P127" s="2101"/>
      <c r="Q127" s="511"/>
    </row>
    <row r="128" spans="1:17" ht="15" thickTop="1">
      <c r="A128" s="551"/>
      <c r="B128" s="490">
        <f>B45</f>
        <v>111</v>
      </c>
      <c r="C128" s="506"/>
      <c r="D128" s="506"/>
      <c r="E128" s="506"/>
      <c r="F128" s="506"/>
      <c r="G128" s="535"/>
      <c r="H128" s="535"/>
      <c r="I128" s="535"/>
      <c r="J128" s="535"/>
      <c r="K128" s="536"/>
      <c r="L128" s="537"/>
      <c r="M128" s="538"/>
      <c r="N128" s="1058"/>
      <c r="O128" s="1058"/>
      <c r="P128" s="2100"/>
      <c r="Q128" s="456"/>
    </row>
    <row r="129" spans="1:17" ht="15.75" thickBot="1">
      <c r="A129" s="486"/>
      <c r="B129" s="495"/>
      <c r="C129" s="512"/>
      <c r="D129" s="512"/>
      <c r="E129" s="512"/>
      <c r="F129" s="512"/>
      <c r="G129" s="488"/>
      <c r="H129" s="488"/>
      <c r="I129" s="488"/>
      <c r="J129" s="488"/>
      <c r="K129" s="488"/>
      <c r="L129" s="488"/>
      <c r="M129" s="489"/>
      <c r="N129" s="1059"/>
      <c r="O129" s="1059"/>
      <c r="P129" s="2100"/>
      <c r="Q129" s="456"/>
    </row>
    <row r="130" spans="1:17" ht="15" thickTop="1">
      <c r="A130" s="551"/>
      <c r="B130" s="498">
        <f>B46</f>
        <v>111</v>
      </c>
      <c r="C130" s="506"/>
      <c r="D130" s="506"/>
      <c r="E130" s="506"/>
      <c r="F130" s="506"/>
      <c r="G130" s="539"/>
      <c r="H130" s="539"/>
      <c r="I130" s="539"/>
      <c r="J130" s="539"/>
      <c r="K130" s="475"/>
      <c r="L130" s="476"/>
      <c r="M130" s="542"/>
      <c r="N130" s="1058"/>
      <c r="O130" s="1058"/>
      <c r="P130" s="2100"/>
      <c r="Q130" s="456"/>
    </row>
    <row r="131" spans="1:17" ht="15.75" thickBot="1">
      <c r="A131" s="2106"/>
      <c r="B131" s="521"/>
      <c r="C131" s="522"/>
      <c r="D131" s="522"/>
      <c r="E131" s="522"/>
      <c r="F131" s="522"/>
      <c r="G131" s="543"/>
      <c r="H131" s="543"/>
      <c r="I131" s="543"/>
      <c r="J131" s="543"/>
      <c r="K131" s="543"/>
      <c r="L131" s="543"/>
      <c r="M131" s="544"/>
      <c r="N131" s="1059"/>
      <c r="O131" s="1059"/>
      <c r="P131" s="2100"/>
      <c r="Q131" s="456"/>
    </row>
    <row r="136" spans="1:17" ht="15" thickBot="1">
      <c r="B136" s="2107" t="s">
        <v>2439</v>
      </c>
    </row>
    <row r="137" spans="1:17" ht="15">
      <c r="B137" s="2108" t="s">
        <v>2440</v>
      </c>
      <c r="C137" s="2109"/>
      <c r="D137" s="2109"/>
      <c r="E137" s="2109"/>
      <c r="F137" s="2109"/>
      <c r="G137" s="2110"/>
      <c r="H137" s="2111"/>
      <c r="I137" s="2112" t="s">
        <v>2441</v>
      </c>
      <c r="J137" s="2109"/>
      <c r="K137" s="2113"/>
    </row>
    <row r="138" spans="1:17" ht="15">
      <c r="B138" s="2114"/>
      <c r="C138" s="137" t="s">
        <v>2442</v>
      </c>
      <c r="D138" s="137" t="s">
        <v>2443</v>
      </c>
      <c r="E138" s="2115" t="s">
        <v>2444</v>
      </c>
      <c r="F138" s="2116" t="s">
        <v>2445</v>
      </c>
      <c r="G138" s="137" t="s">
        <v>2443</v>
      </c>
      <c r="H138" s="138" t="s">
        <v>2444</v>
      </c>
      <c r="I138" s="2117"/>
      <c r="J138" s="137" t="s">
        <v>2446</v>
      </c>
      <c r="K138" s="138" t="s">
        <v>2447</v>
      </c>
    </row>
    <row r="139" spans="1:17" ht="15">
      <c r="B139" s="992">
        <v>6</v>
      </c>
      <c r="C139" s="993">
        <v>96</v>
      </c>
      <c r="D139" s="2118" t="s">
        <v>2448</v>
      </c>
      <c r="E139" s="994">
        <v>100</v>
      </c>
      <c r="F139" s="995">
        <v>102.5</v>
      </c>
      <c r="G139" s="2118" t="s">
        <v>2448</v>
      </c>
      <c r="H139" s="996">
        <v>105</v>
      </c>
      <c r="I139" s="2119" t="s">
        <v>2449</v>
      </c>
      <c r="J139" s="993">
        <v>20</v>
      </c>
      <c r="K139" s="997">
        <f>C145/(J139-2)</f>
        <v>4.0555555555555553E-3</v>
      </c>
    </row>
    <row r="140" spans="1:17" ht="15">
      <c r="B140" s="998">
        <v>5</v>
      </c>
      <c r="C140" s="999">
        <v>100</v>
      </c>
      <c r="D140" s="999"/>
      <c r="E140" s="1000"/>
      <c r="F140" s="1001">
        <v>102</v>
      </c>
      <c r="G140" s="999"/>
      <c r="H140" s="1002"/>
      <c r="I140" s="2120" t="s">
        <v>2450</v>
      </c>
      <c r="J140" s="272">
        <f>ROUNDUP((J139-1)/2,0)</f>
        <v>10</v>
      </c>
      <c r="K140" s="1003">
        <v>100</v>
      </c>
    </row>
    <row r="141" spans="1:17" ht="15">
      <c r="B141" s="998">
        <v>4</v>
      </c>
      <c r="C141" s="999">
        <v>102</v>
      </c>
      <c r="D141" s="999"/>
      <c r="E141" s="1000"/>
      <c r="F141" s="1001">
        <v>101.5</v>
      </c>
      <c r="G141" s="999"/>
      <c r="H141" s="1002"/>
      <c r="I141" s="2120" t="s">
        <v>2451</v>
      </c>
      <c r="J141" s="272">
        <v>1</v>
      </c>
      <c r="K141" s="1004">
        <f>ROUND(100+(J141-J140)*K139*100,1)</f>
        <v>96.4</v>
      </c>
    </row>
    <row r="142" spans="1:17" ht="15">
      <c r="B142" s="998">
        <v>3</v>
      </c>
      <c r="C142" s="999">
        <v>103</v>
      </c>
      <c r="D142" s="999"/>
      <c r="E142" s="1000"/>
      <c r="F142" s="1001">
        <v>101</v>
      </c>
      <c r="G142" s="999"/>
      <c r="H142" s="1002"/>
      <c r="I142" s="2120" t="s">
        <v>2452</v>
      </c>
      <c r="J142" s="272">
        <f>J139</f>
        <v>20</v>
      </c>
      <c r="K142" s="1005">
        <v>95</v>
      </c>
    </row>
    <row r="143" spans="1:17" ht="15">
      <c r="B143" s="998">
        <v>2</v>
      </c>
      <c r="C143" s="999">
        <v>100</v>
      </c>
      <c r="D143" s="999"/>
      <c r="E143" s="1000"/>
      <c r="F143" s="1001">
        <v>100.5</v>
      </c>
      <c r="G143" s="999"/>
      <c r="H143" s="1002"/>
      <c r="I143" s="2120" t="s">
        <v>2453</v>
      </c>
      <c r="J143" s="999">
        <v>15</v>
      </c>
      <c r="K143" s="1004">
        <f>ROUND(100+(J143-J140)*K139*100,1)</f>
        <v>102</v>
      </c>
    </row>
    <row r="144" spans="1:17" ht="15">
      <c r="B144" s="998">
        <v>1</v>
      </c>
      <c r="C144" s="999">
        <v>98</v>
      </c>
      <c r="D144" s="2121" t="s">
        <v>2454</v>
      </c>
      <c r="E144" s="1000">
        <v>102</v>
      </c>
      <c r="F144" s="1006">
        <v>100</v>
      </c>
      <c r="G144" s="2121" t="s">
        <v>2454</v>
      </c>
      <c r="H144" s="1002">
        <v>105</v>
      </c>
      <c r="I144" s="2120" t="s">
        <v>2453</v>
      </c>
      <c r="J144" s="999">
        <v>18</v>
      </c>
      <c r="K144" s="1004">
        <f>ROUND(100+(J144-J140)*K139*100,1)</f>
        <v>103.2</v>
      </c>
    </row>
    <row r="145" spans="2:11" ht="15.75" thickBot="1">
      <c r="B145" s="2122" t="s">
        <v>2455</v>
      </c>
      <c r="C145" s="1007">
        <f>ROUND(MAX(C139:C144)/MIN(C139:C144)-1,3)</f>
        <v>7.2999999999999995E-2</v>
      </c>
      <c r="D145" s="1008"/>
      <c r="E145" s="1008"/>
      <c r="F145" s="2123" t="s">
        <v>2456</v>
      </c>
      <c r="G145" s="2124"/>
      <c r="H145" s="2125"/>
      <c r="I145" s="2126" t="s">
        <v>2453</v>
      </c>
      <c r="J145" s="1009">
        <v>8</v>
      </c>
      <c r="K145" s="1010">
        <f>ROUND(100+(J145-J140)*K139*100,1)</f>
        <v>99.2</v>
      </c>
    </row>
    <row r="147" spans="2:11">
      <c r="B147" s="2107" t="s">
        <v>2457</v>
      </c>
    </row>
    <row r="148" spans="2:11">
      <c r="B148" s="2107" t="s">
        <v>2458</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J52">
    <cfRule type="containsText" dxfId="51" priority="18" stopIfTrue="1" operator="containsText" text="超过">
      <formula>NOT(ISERROR(SEARCH("超过",F52)))</formula>
    </cfRule>
  </conditionalFormatting>
  <conditionalFormatting sqref="J54">
    <cfRule type="containsText" dxfId="50" priority="17" stopIfTrue="1" operator="containsText" text="超过">
      <formula>NOT(ISERROR(SEARCH("超过",J54)))</formula>
    </cfRule>
  </conditionalFormatting>
  <conditionalFormatting sqref="H54">
    <cfRule type="containsText" dxfId="49" priority="16" stopIfTrue="1" operator="containsText" text="超过">
      <formula>NOT(ISERROR(SEARCH("超过",H54)))</formula>
    </cfRule>
  </conditionalFormatting>
  <conditionalFormatting sqref="F54">
    <cfRule type="containsText" dxfId="48" priority="15" stopIfTrue="1" operator="containsText" text="超过">
      <formula>NOT(ISERROR(SEARCH("超过",F54)))</formula>
    </cfRule>
  </conditionalFormatting>
  <conditionalFormatting sqref="F53 H53 J53">
    <cfRule type="containsText" dxfId="47" priority="14" stopIfTrue="1" operator="containsText" text="超过">
      <formula>NOT(ISERROR(SEARCH("超过",F53)))</formula>
    </cfRule>
  </conditionalFormatting>
  <conditionalFormatting sqref="E52">
    <cfRule type="expression" dxfId="46" priority="13" stopIfTrue="1">
      <formula>$F$52="超过30%"</formula>
    </cfRule>
  </conditionalFormatting>
  <conditionalFormatting sqref="G54">
    <cfRule type="expression" dxfId="45" priority="12" stopIfTrue="1">
      <formula>$H$54="超过30%"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2">
    <cfRule type="expression" dxfId="42" priority="9" stopIfTrue="1">
      <formula>$H$52="超过30%"</formula>
    </cfRule>
  </conditionalFormatting>
  <conditionalFormatting sqref="G53">
    <cfRule type="expression" dxfId="41" priority="8" stopIfTrue="1">
      <formula>$H$53="超过20%"</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F7:F46 H7:H46 J7:J46">
    <cfRule type="cellIs" dxfId="34" priority="1" operator="notEqual">
      <formula>100</formula>
    </cfRule>
  </conditionalFormatting>
  <dataValidations count="24">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E9 G9 I9" xr:uid="{00000000-0002-0000-1E00-000005000000}">
      <formula1>住宅用途</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D1" xr:uid="{00000000-0002-0000-1E00-000007000000}">
      <formula1>项目类型</formula1>
    </dataValidation>
    <dataValidation type="list" allowBlank="1" showInputMessage="1" showErrorMessage="1" sqref="E8 G8 I8 C8" xr:uid="{00000000-0002-0000-1E00-000008000000}">
      <formula1>住宅交易情况</formula1>
    </dataValidation>
    <dataValidation type="list" allowBlank="1" showInputMessage="1" showErrorMessage="1" sqref="E43 G43 I43 C43" xr:uid="{00000000-0002-0000-1E00-000009000000}">
      <formula1>内部装修维护情况</formula1>
    </dataValidation>
    <dataValidation type="list" allowBlank="1" showInputMessage="1" showErrorMessage="1" sqref="E42 G42 I42 C42" xr:uid="{00000000-0002-0000-1E00-00000A000000}">
      <formula1>住宅内部装修</formula1>
    </dataValidation>
    <dataValidation type="list" allowBlank="1" showInputMessage="1" showErrorMessage="1" sqref="E40 G40 I40 C40" xr:uid="{00000000-0002-0000-1E00-00000B000000}">
      <formula1>住宅房型</formula1>
    </dataValidation>
    <dataValidation type="list" allowBlank="1" showInputMessage="1" showErrorMessage="1" sqref="E39 G39 I39 C39" xr:uid="{00000000-0002-0000-1E00-00000C000000}">
      <formula1>住宅基础设施水平</formula1>
    </dataValidation>
    <dataValidation type="list" allowBlank="1" showInputMessage="1" showErrorMessage="1" sqref="E38 G38 I38 C38" xr:uid="{00000000-0002-0000-1E00-00000D000000}">
      <formula1>住宅物业管理</formula1>
    </dataValidation>
    <dataValidation type="list" allowBlank="1" showInputMessage="1" showErrorMessage="1" sqref="E36 G36 I36 C36" xr:uid="{00000000-0002-0000-1E00-00000E000000}">
      <formula1>住宅公共部分装修</formula1>
    </dataValidation>
    <dataValidation type="list" allowBlank="1" showInputMessage="1" showErrorMessage="1" sqref="E35 G35 I35 C35" xr:uid="{00000000-0002-0000-1E00-00000F000000}">
      <formula1>住宅建筑品质</formula1>
    </dataValidation>
    <dataValidation type="list" allowBlank="1" showInputMessage="1" showErrorMessage="1" sqref="E34 G34 I34 C34" xr:uid="{00000000-0002-0000-1E00-000010000000}">
      <formula1>住宅建筑结构</formula1>
    </dataValidation>
    <dataValidation type="list" allowBlank="1" showInputMessage="1" showErrorMessage="1" sqref="E32 G32 I32 C32" xr:uid="{00000000-0002-0000-1E00-000011000000}">
      <formula1>住宅建筑类型</formula1>
    </dataValidation>
    <dataValidation type="list" allowBlank="1" showInputMessage="1" showErrorMessage="1" sqref="E26 G26 I26 C26" xr:uid="{00000000-0002-0000-1E00-000012000000}">
      <formula1>住宅朝向</formula1>
    </dataValidation>
    <dataValidation type="list" allowBlank="1" showInputMessage="1" showErrorMessage="1" sqref="E25 G25 I25 C25" xr:uid="{00000000-0002-0000-1E00-000013000000}">
      <formula1>住宅楼层</formula1>
    </dataValidation>
    <dataValidation type="list" allowBlank="1" showInputMessage="1" showErrorMessage="1" sqref="C20 G20 E20 I20" xr:uid="{00000000-0002-0000-1E00-000014000000}">
      <formula1>公共配套设施</formula1>
    </dataValidation>
    <dataValidation type="list" allowBlank="1" showInputMessage="1" showErrorMessage="1" sqref="E18 G18 I18 C18" xr:uid="{00000000-0002-0000-1E00-000015000000}">
      <formula1>交通便捷度</formula1>
    </dataValidation>
    <dataValidation type="list" allowBlank="1" showInputMessage="1" showErrorMessage="1" sqref="E16 G16 I16 C16" xr:uid="{00000000-0002-0000-1E00-000016000000}">
      <formula1>居住社区成熟度</formula1>
    </dataValidation>
    <dataValidation type="list" allowBlank="1" showInputMessage="1" showErrorMessage="1" sqref="E24 G24 I24 C24" xr:uid="{00000000-0002-0000-1E00-000017000000}">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90" zoomScaleNormal="70" zoomScaleSheetLayoutView="90" workbookViewId="0">
      <selection activeCell="D30" sqref="D3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5493</v>
      </c>
      <c r="D1" s="1539" t="s">
        <v>5407</v>
      </c>
      <c r="E1" s="1540" t="s">
        <v>1352</v>
      </c>
      <c r="F1" s="1187">
        <f ca="1">J53</f>
        <v>44.18</v>
      </c>
      <c r="G1" s="1555">
        <f>MATCH(C1,'数据-取费表'!A6:A16,0)+5</f>
        <v>12</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2175</v>
      </c>
      <c r="C2" s="1564" t="s">
        <v>1481</v>
      </c>
      <c r="D2" s="1564"/>
      <c r="E2" s="1565"/>
      <c r="F2" s="1566"/>
      <c r="G2" s="2923"/>
      <c r="H2" s="2912"/>
      <c r="I2" s="2912"/>
      <c r="J2" s="2912"/>
      <c r="K2" s="2913"/>
      <c r="L2" s="2912"/>
      <c r="M2" s="2912"/>
    </row>
    <row r="3" spans="1:37" ht="18" customHeight="1" thickBot="1">
      <c r="A3" s="1567" t="s">
        <v>1482</v>
      </c>
      <c r="B3" s="1568">
        <f ca="1">IF(ISERROR(B2*10000/F43),0,ROUND(B2*10000/F43,0))</f>
        <v>4387</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231</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231</v>
      </c>
      <c r="D6" s="155" t="s">
        <v>2847</v>
      </c>
      <c r="E6" s="303" t="s">
        <v>1370</v>
      </c>
      <c r="F6" s="304">
        <f ca="1">INDIRECT("'数据-取费表'!u"&amp;$G$1)</f>
        <v>1.5</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3166" t="s">
        <v>1371</v>
      </c>
      <c r="F7" s="304">
        <f ca="1">IF(INDIRECT("'数据-取费表'!ah"&amp;$G$1)="",INDIRECT("'数据-取费表'!k"&amp;$G$1),INDIRECT("'数据-取费表'!ah"&amp;$G$1))</f>
        <v>4957.7199999999993</v>
      </c>
      <c r="G7" s="1561"/>
      <c r="H7" s="305"/>
      <c r="I7" s="3554"/>
      <c r="J7" s="307"/>
      <c r="K7" s="308"/>
      <c r="L7" s="303" t="s">
        <v>1371</v>
      </c>
      <c r="M7" s="304">
        <f ca="1">F7</f>
        <v>4957.7199999999993</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0</v>
      </c>
      <c r="D10" s="1543" t="s">
        <v>2854</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3372</v>
      </c>
      <c r="D13" s="3157" t="s">
        <v>1380</v>
      </c>
      <c r="E13" s="3157"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2479</v>
      </c>
      <c r="D14" s="3162" t="s">
        <v>1383</v>
      </c>
      <c r="E14" s="3160"/>
      <c r="F14" s="320"/>
      <c r="G14" s="1561"/>
      <c r="H14" s="1107" t="s">
        <v>1003</v>
      </c>
      <c r="I14" s="303" t="s">
        <v>1384</v>
      </c>
      <c r="J14" s="23">
        <f ca="1">C29</f>
        <v>3372</v>
      </c>
      <c r="K14" s="3165"/>
      <c r="L14" s="910"/>
      <c r="M14" s="911"/>
    </row>
    <row r="15" spans="1:37" s="1574" customFormat="1" ht="18" customHeight="1" thickBot="1">
      <c r="A15" s="1107" t="s">
        <v>1004</v>
      </c>
      <c r="B15" s="303" t="s">
        <v>1385</v>
      </c>
      <c r="C15" s="23">
        <f ca="1">ROUND(C14*F15,0)</f>
        <v>124</v>
      </c>
      <c r="D15" s="3158" t="s">
        <v>1386</v>
      </c>
      <c r="E15" s="3158"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0</v>
      </c>
      <c r="D16" s="303" t="s">
        <v>1386</v>
      </c>
      <c r="E16" s="303" t="s">
        <v>1387</v>
      </c>
      <c r="F16" s="323">
        <f ca="1">IF(INDIRECT("'数据-取费表'!c"&amp;$G$1)="住宅",'数据-取费表'!B34,0)</f>
        <v>0</v>
      </c>
      <c r="G16" s="1561"/>
      <c r="H16" s="1233" t="s">
        <v>998</v>
      </c>
      <c r="I16" s="1234" t="s">
        <v>1389</v>
      </c>
      <c r="J16" s="311">
        <f ca="1">ROUND(J17+J22+J23+J24,0)</f>
        <v>80</v>
      </c>
      <c r="K16" s="1241" t="s">
        <v>1390</v>
      </c>
      <c r="L16" s="3163"/>
      <c r="M16" s="1198"/>
    </row>
    <row r="17" spans="1:37" s="1574" customFormat="1" ht="18" customHeight="1">
      <c r="A17" s="1107" t="s">
        <v>1355</v>
      </c>
      <c r="B17" s="303" t="s">
        <v>1391</v>
      </c>
      <c r="C17" s="23">
        <f ca="1">ROUND(F17*(F43+INDIRECT("'数据-取费表'!S"&amp;$G$1))/10000,0)</f>
        <v>99</v>
      </c>
      <c r="D17" s="303" t="s">
        <v>1392</v>
      </c>
      <c r="E17" s="303" t="s">
        <v>1393</v>
      </c>
      <c r="F17" s="25">
        <f>'数据-取费表'!B35</f>
        <v>200</v>
      </c>
      <c r="G17" s="1573"/>
      <c r="H17" s="1107" t="s">
        <v>1003</v>
      </c>
      <c r="I17" s="303" t="s">
        <v>1394</v>
      </c>
      <c r="J17" s="2526">
        <f ca="1">ROUND(IF(AND(项目基本情况!B11="自然人",项目基本情况!B10="北京市"),J6*M17/(1+'数据-取费表'!C42),J18+J19+J20),0)</f>
        <v>29</v>
      </c>
      <c r="K17" s="3162" t="s">
        <v>1395</v>
      </c>
      <c r="L17" s="316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37</v>
      </c>
      <c r="D18" s="303" t="s">
        <v>1386</v>
      </c>
      <c r="E18" s="303" t="s">
        <v>1387</v>
      </c>
      <c r="F18" s="323">
        <f>'数据-取费表'!B36</f>
        <v>1.4999999999999999E-2</v>
      </c>
      <c r="G18" s="1573"/>
      <c r="H18" s="1107" t="s">
        <v>1002</v>
      </c>
      <c r="I18" s="303" t="s">
        <v>1398</v>
      </c>
      <c r="J18" s="23">
        <f ca="1">ROUND(J6*M18/(1+'数据-取费表'!C42),2)</f>
        <v>0</v>
      </c>
      <c r="K18" s="316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2739</v>
      </c>
      <c r="D19" s="131" t="s">
        <v>1401</v>
      </c>
      <c r="E19" s="3168"/>
      <c r="F19" s="25"/>
      <c r="G19" s="1561"/>
      <c r="H19" s="1107" t="s">
        <v>1004</v>
      </c>
      <c r="I19" s="303" t="s">
        <v>1402</v>
      </c>
      <c r="J19" s="23">
        <f ca="1">IF(K19="按租金收入计税",ROUND(J6*M19/(1+'数据-取费表'!C42),2),ROUND(C29*M19*0.7,2))</f>
        <v>28.32</v>
      </c>
      <c r="K19" s="1547" t="s">
        <v>1403</v>
      </c>
      <c r="L19" s="303" t="s">
        <v>1387</v>
      </c>
      <c r="M19" s="323">
        <f>IF(K19="按租金收入计税",'数据-取费表'!B51,'数据-取费表'!B50)</f>
        <v>1.2E-2</v>
      </c>
    </row>
    <row r="20" spans="1:37" s="1574" customFormat="1" ht="18" customHeight="1">
      <c r="A20" s="1107" t="s">
        <v>1007</v>
      </c>
      <c r="B20" s="303" t="s">
        <v>1404</v>
      </c>
      <c r="C20" s="23">
        <f ca="1">ROUND(C19*F20,0)</f>
        <v>82</v>
      </c>
      <c r="D20" s="324" t="s">
        <v>1405</v>
      </c>
      <c r="E20" s="303" t="s">
        <v>1387</v>
      </c>
      <c r="F20" s="323">
        <f>'数据-取费表'!B37</f>
        <v>0.03</v>
      </c>
      <c r="G20" s="1573"/>
      <c r="H20" s="1107" t="s">
        <v>1354</v>
      </c>
      <c r="I20" s="155" t="s">
        <v>1406</v>
      </c>
      <c r="J20" s="24">
        <f ca="1">ROUND(M20*M21/10000,2)</f>
        <v>0.3</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f ca="1">INDIRECT("'数据-取费表'!r"&amp;$G$1)</f>
        <v>2021.15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3168"/>
      <c r="F22" s="25"/>
      <c r="G22" s="1561"/>
      <c r="H22" s="1107" t="s">
        <v>1007</v>
      </c>
      <c r="I22" s="303" t="s">
        <v>1414</v>
      </c>
      <c r="J22" s="23">
        <f ca="1">ROUND(J14*M22,1)</f>
        <v>50.6</v>
      </c>
      <c r="K22" s="3161"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123</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3161" t="s">
        <v>1419</v>
      </c>
      <c r="L23" s="303" t="s">
        <v>1387</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1357</v>
      </c>
      <c r="I24" s="1244" t="s">
        <v>1404</v>
      </c>
      <c r="J24" s="1245">
        <f ca="1">ROUND(J5*M24,1)</f>
        <v>0</v>
      </c>
      <c r="K24" s="1246" t="s">
        <v>1424</v>
      </c>
      <c r="L24" s="1244" t="s">
        <v>1387</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3168"/>
      <c r="F25" s="25"/>
      <c r="G25" s="1561"/>
      <c r="H25" s="1233" t="s">
        <v>999</v>
      </c>
      <c r="I25" s="1248" t="s">
        <v>1428</v>
      </c>
      <c r="J25" s="311">
        <f ca="1">J5-J16</f>
        <v>-80</v>
      </c>
      <c r="K25" s="1249" t="s">
        <v>1429</v>
      </c>
      <c r="L25" s="1250"/>
      <c r="M25" s="1251"/>
    </row>
    <row r="26" spans="1:37">
      <c r="A26" s="1107" t="s">
        <v>1002</v>
      </c>
      <c r="B26" s="303" t="s">
        <v>1430</v>
      </c>
      <c r="C26" s="23">
        <f ca="1">ROUND((C19+C20)*F26,0)</f>
        <v>141</v>
      </c>
      <c r="D26" s="324" t="s">
        <v>1431</v>
      </c>
      <c r="E26" s="314" t="s">
        <v>1432</v>
      </c>
      <c r="F26" s="313">
        <f ca="1">INDIRECT("'数据-取费表'!q"&amp;$G$1)</f>
        <v>0.05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1.5E-3</v>
      </c>
      <c r="D27" s="324" t="s">
        <v>1437</v>
      </c>
      <c r="E27" s="3158"/>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3372</v>
      </c>
      <c r="D29" s="1246"/>
      <c r="E29" s="1244"/>
      <c r="F29" s="1247"/>
      <c r="G29" s="1573"/>
      <c r="H29" s="335" t="s">
        <v>1001</v>
      </c>
      <c r="I29" s="336" t="s">
        <v>1444</v>
      </c>
      <c r="J29" s="337">
        <f ca="1">ROUND(J26/(1+F40)^F41,0)</f>
        <v>0</v>
      </c>
      <c r="K29" s="338" t="s">
        <v>1445</v>
      </c>
      <c r="L29" s="339"/>
      <c r="M29" s="340">
        <f ca="1">INDIRECT("'数据-取费表'!k"&amp;$G$1)</f>
        <v>4957.7199999999993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99</v>
      </c>
      <c r="D30" s="1241" t="s">
        <v>1390</v>
      </c>
      <c r="E30" s="3163"/>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39</v>
      </c>
      <c r="D31" s="3162" t="s">
        <v>1395</v>
      </c>
      <c r="E31" s="316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12.1</v>
      </c>
      <c r="D32" s="316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26.4</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0.3</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2021.15</v>
      </c>
      <c r="G35" s="1561"/>
      <c r="H35" s="2914"/>
      <c r="I35" s="1575"/>
      <c r="J35" s="1576"/>
      <c r="K35" s="2918"/>
      <c r="L35" s="2917"/>
      <c r="M35" s="2917"/>
    </row>
    <row r="36" spans="1:18" ht="18" customHeight="1">
      <c r="A36" s="1256" t="s">
        <v>1007</v>
      </c>
      <c r="B36" s="303" t="s">
        <v>1414</v>
      </c>
      <c r="C36" s="23">
        <f ca="1">ROUND(C29*F36,1)</f>
        <v>50.6</v>
      </c>
      <c r="D36" s="3161"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5.0999999999999996</v>
      </c>
      <c r="D37" s="3161" t="s">
        <v>1419</v>
      </c>
      <c r="E37" s="303" t="s">
        <v>1387</v>
      </c>
      <c r="F37" s="331">
        <f ca="1">INDIRECT("'数据-取费表'!Al"&amp;$G$1)</f>
        <v>1.5E-3</v>
      </c>
      <c r="G37" s="1561"/>
      <c r="H37" s="2917"/>
      <c r="I37" s="1575"/>
      <c r="J37" s="1576"/>
      <c r="K37" s="2759"/>
      <c r="L37" s="2917"/>
      <c r="M37" s="2917"/>
    </row>
    <row r="38" spans="1:18" ht="18" customHeight="1" thickBot="1">
      <c r="A38" s="1243" t="s">
        <v>1357</v>
      </c>
      <c r="B38" s="1244" t="s">
        <v>1404</v>
      </c>
      <c r="C38" s="1245">
        <f ca="1">ROUND(C5*F38,1)</f>
        <v>4.5999999999999996</v>
      </c>
      <c r="D38" s="1246" t="s">
        <v>1424</v>
      </c>
      <c r="E38" s="1244" t="s">
        <v>1387</v>
      </c>
      <c r="F38" s="1240">
        <f ca="1">INDIRECT("'数据-取费表'!Am"&amp;$G$1)</f>
        <v>0.02</v>
      </c>
      <c r="G38" s="1561"/>
      <c r="H38" s="2917"/>
      <c r="I38" s="1575"/>
      <c r="J38" s="1576"/>
      <c r="K38" s="2921"/>
      <c r="L38" s="2917"/>
      <c r="M38" s="2917"/>
    </row>
    <row r="39" spans="1:18" ht="24.6" customHeight="1" thickTop="1">
      <c r="A39" s="1233" t="s">
        <v>999</v>
      </c>
      <c r="B39" s="1248" t="s">
        <v>1428</v>
      </c>
      <c r="C39" s="311">
        <f ca="1">C5-C30</f>
        <v>132</v>
      </c>
      <c r="D39" s="1249" t="s">
        <v>1429</v>
      </c>
      <c r="E39" s="1250"/>
      <c r="F39" s="1251"/>
      <c r="G39" s="1561"/>
      <c r="H39" s="2917"/>
      <c r="I39" s="1575"/>
      <c r="J39" s="1576"/>
      <c r="K39" s="2921"/>
      <c r="L39" s="2917"/>
      <c r="M39" s="2917"/>
    </row>
    <row r="40" spans="1:18" ht="18" customHeight="1">
      <c r="A40" s="300" t="s">
        <v>1000</v>
      </c>
      <c r="B40" s="301" t="s">
        <v>1450</v>
      </c>
      <c r="C40" s="302">
        <f ca="1">ROUND(C39*(1-((1+F42)/(1+F40))^F41)/(F40-F42),0)</f>
        <v>2175</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44.18</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4387</v>
      </c>
      <c r="D43" s="338" t="s">
        <v>1453</v>
      </c>
      <c r="E43" s="339" t="s">
        <v>1454</v>
      </c>
      <c r="F43" s="340">
        <f ca="1">INDIRECT("'数据-取费表'!k"&amp;$G$1)</f>
        <v>4957.7199999999993</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-7776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50</v>
      </c>
      <c r="M47" s="1557" t="str">
        <f>IF(ISNUMBER(FIND("住宅",C1)),"住宅","非住宅")</f>
        <v>非住宅</v>
      </c>
      <c r="O47" s="1595" t="s">
        <v>1008</v>
      </c>
      <c r="P47" s="1596" t="s">
        <v>1493</v>
      </c>
      <c r="Q47" s="1597">
        <f ca="1">C40+J29</f>
        <v>2175</v>
      </c>
      <c r="R47" s="1597" t="s">
        <v>1494</v>
      </c>
    </row>
    <row r="48" spans="1:18" s="1561" customFormat="1" ht="28.5" thickBot="1">
      <c r="A48" s="1264" t="s">
        <v>1103</v>
      </c>
      <c r="B48" s="301" t="s">
        <v>1366</v>
      </c>
      <c r="C48" s="3167">
        <f ca="1">C49+C53+C55</f>
        <v>0</v>
      </c>
      <c r="D48" s="1266"/>
      <c r="E48" s="1267"/>
      <c r="F48" s="1087"/>
      <c r="G48" s="726"/>
      <c r="H48" s="727"/>
      <c r="I48" s="1598" t="s">
        <v>1495</v>
      </c>
      <c r="J48" s="1599" t="s">
        <v>5411</v>
      </c>
      <c r="K48" s="1600" t="s">
        <v>1496</v>
      </c>
      <c r="L48" s="1601">
        <f ca="1">INDIRECT("'数据-取费表'!f"&amp;$G$1)</f>
        <v>45.58</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27"/>
      <c r="I49" s="1598" t="s">
        <v>1499</v>
      </c>
      <c r="J49" s="1603">
        <v>2022</v>
      </c>
      <c r="K49" s="1600" t="s">
        <v>1500</v>
      </c>
      <c r="L49" s="1604"/>
      <c r="O49" s="1605" t="s">
        <v>1010</v>
      </c>
      <c r="P49" s="1596" t="s">
        <v>1501</v>
      </c>
      <c r="Q49" s="1597">
        <f ca="1">C29</f>
        <v>3372</v>
      </c>
      <c r="R49" s="1597" t="s">
        <v>1494</v>
      </c>
    </row>
    <row r="50" spans="1:18" s="1561" customFormat="1" ht="13.5" thickBot="1">
      <c r="A50" s="1101"/>
      <c r="B50" s="1104"/>
      <c r="C50" s="1272"/>
      <c r="D50" s="1078"/>
      <c r="E50" s="1181" t="s">
        <v>1371</v>
      </c>
      <c r="F50" s="1182">
        <f ca="1">F7</f>
        <v>4957.7199999999993</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-3498</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44.18</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44.18</v>
      </c>
      <c r="K53" s="3556" t="s">
        <v>1513</v>
      </c>
      <c r="L53" s="3557"/>
      <c r="O53" s="1595" t="s">
        <v>1014</v>
      </c>
      <c r="P53" s="1596" t="s">
        <v>1514</v>
      </c>
      <c r="Q53" s="1597">
        <f ca="1">Q47+Q48</f>
        <v>2175</v>
      </c>
      <c r="R53" s="1597" t="s">
        <v>1015</v>
      </c>
    </row>
    <row r="54" spans="1:18" s="1561" customFormat="1" ht="13.5" thickBot="1">
      <c r="A54" s="1309"/>
      <c r="B54" s="1544" t="s">
        <v>1353</v>
      </c>
      <c r="C54" s="1084"/>
      <c r="D54" s="1543"/>
      <c r="E54" s="3164"/>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164"/>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3372</v>
      </c>
      <c r="D56" s="1624"/>
      <c r="E56" s="1625"/>
      <c r="F56" s="1617"/>
      <c r="I56" s="1626" t="s">
        <v>1519</v>
      </c>
      <c r="J56" s="1627" t="s">
        <v>3229</v>
      </c>
      <c r="K56" s="1598" t="s">
        <v>1520</v>
      </c>
      <c r="L56" s="1601" t="str">
        <f ca="1">IF(L48&lt;J51,"——",L48-J53)</f>
        <v>——</v>
      </c>
      <c r="O56" s="1595" t="s">
        <v>1008</v>
      </c>
      <c r="P56" s="1596" t="s">
        <v>1493</v>
      </c>
      <c r="Q56" s="1597">
        <f ca="1">C40+J29</f>
        <v>2175</v>
      </c>
      <c r="R56" s="1597" t="s">
        <v>1494</v>
      </c>
    </row>
    <row r="57" spans="1:18" s="1561" customFormat="1" ht="24.75" thickBot="1">
      <c r="A57" s="1628"/>
      <c r="B57" s="1075" t="s">
        <v>1443</v>
      </c>
      <c r="C57" s="239">
        <f ca="1">C29</f>
        <v>3372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6" t="s">
        <v>998</v>
      </c>
      <c r="B58" s="1083" t="s">
        <v>1389</v>
      </c>
      <c r="C58" s="317">
        <f ca="1">ROUND(C59+C64+C65+C66,0)</f>
        <v>340</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284</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3">
        <f ca="1">IF(项目基本情况!B11="自然人","——",IF(D61="按租金收入计税",ROUND(C49*F61/(1+'数据-取费表'!C42),2),IF(D61="按房产原值计税",ROUND(C57*F61*0.7,2),INDIRECT("'数据-取费表'!Aj"&amp;$G$1))))</f>
        <v>283.25</v>
      </c>
      <c r="D61" s="1547" t="s">
        <v>1403</v>
      </c>
      <c r="E61" s="1075" t="s">
        <v>1387</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4">
        <f ca="1">IF(项目基本情况!B11="自然人","——",ROUND(F62*F63/10000,2))</f>
        <v>0.3</v>
      </c>
      <c r="D62" s="1090" t="s">
        <v>1407</v>
      </c>
      <c r="E62" s="1075" t="s">
        <v>1408</v>
      </c>
      <c r="F62" s="326">
        <f t="shared" si="0"/>
        <v>1.5</v>
      </c>
      <c r="I62" s="1639" t="s">
        <v>1535</v>
      </c>
      <c r="J62" s="1640" t="s">
        <v>1536</v>
      </c>
      <c r="K62" s="1640" t="s">
        <v>1537</v>
      </c>
      <c r="L62" s="1640" t="s">
        <v>1538</v>
      </c>
      <c r="M62" s="1641" t="s">
        <v>1539</v>
      </c>
      <c r="O62" s="1595" t="s">
        <v>1014</v>
      </c>
      <c r="P62" s="1596" t="s">
        <v>1514</v>
      </c>
      <c r="Q62" s="1597">
        <f ca="1">Q56+Q57</f>
        <v>2175</v>
      </c>
      <c r="R62" s="1597" t="s">
        <v>1015</v>
      </c>
    </row>
    <row r="63" spans="1:18" s="1561" customFormat="1" ht="13.5" thickBot="1">
      <c r="A63" s="327"/>
      <c r="B63" s="1081"/>
      <c r="C63" s="28"/>
      <c r="D63" s="1091"/>
      <c r="E63" s="1075" t="s">
        <v>1412</v>
      </c>
      <c r="F63" s="304">
        <f t="shared" ca="1" si="0"/>
        <v>2021.15</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3">
        <f ca="1">ROUND(C57*F64,1)</f>
        <v>50.6</v>
      </c>
      <c r="D64" s="1089" t="s">
        <v>1447</v>
      </c>
      <c r="E64" s="1075" t="s">
        <v>1387</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5.0999999999999996</v>
      </c>
      <c r="D65" s="1089" t="s">
        <v>1419</v>
      </c>
      <c r="E65" s="1075" t="s">
        <v>1387</v>
      </c>
      <c r="F65" s="331">
        <f t="shared" ca="1" si="0"/>
        <v>1.5E-3</v>
      </c>
      <c r="I65" s="1639" t="s">
        <v>1544</v>
      </c>
      <c r="J65" s="1640">
        <v>40</v>
      </c>
      <c r="K65" s="1640">
        <v>30</v>
      </c>
      <c r="L65" s="1640">
        <v>50</v>
      </c>
      <c r="M65" s="1642">
        <v>0.02</v>
      </c>
      <c r="O65" s="1595" t="s">
        <v>1008</v>
      </c>
      <c r="P65" s="1596" t="s">
        <v>1493</v>
      </c>
      <c r="Q65" s="1597">
        <f ca="1">C40+J29</f>
        <v>2175</v>
      </c>
      <c r="R65" s="1597" t="s">
        <v>1494</v>
      </c>
    </row>
    <row r="66" spans="1:18" s="1561" customFormat="1" ht="16.5" thickBot="1">
      <c r="A66" s="1107" t="s">
        <v>1469</v>
      </c>
      <c r="B66" s="1075" t="s">
        <v>1404</v>
      </c>
      <c r="C66" s="23">
        <f ca="1">ROUND(C48*F66,1)</f>
        <v>0</v>
      </c>
      <c r="D66" s="1089" t="s">
        <v>1424</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-340</v>
      </c>
      <c r="D67" s="1088" t="s">
        <v>1429</v>
      </c>
      <c r="E67" s="1093"/>
      <c r="F67" s="1094"/>
      <c r="O67" s="1605" t="s">
        <v>1010</v>
      </c>
      <c r="P67" s="1596" t="s">
        <v>1527</v>
      </c>
      <c r="Q67" s="1643">
        <f ca="1">L51</f>
        <v>-3498</v>
      </c>
      <c r="R67" s="1597" t="s">
        <v>1547</v>
      </c>
    </row>
    <row r="68" spans="1:18" s="1561" customFormat="1" ht="16.5" thickBot="1">
      <c r="A68" s="1072" t="s">
        <v>1000</v>
      </c>
      <c r="B68" s="1073" t="s">
        <v>1450</v>
      </c>
      <c r="C68" s="302">
        <f ca="1">ROUND(C67*(1-((1+F70)/(1+F68))^F69)/(F68-F70),0)</f>
        <v>-5601</v>
      </c>
      <c r="D68" s="1090" t="s">
        <v>1434</v>
      </c>
      <c r="E68" s="1075" t="s">
        <v>1435</v>
      </c>
      <c r="F68" s="313">
        <f ca="1">F40</f>
        <v>5.5E-2</v>
      </c>
      <c r="O68" s="1605" t="s">
        <v>1011</v>
      </c>
      <c r="P68" s="1644" t="s">
        <v>1548</v>
      </c>
      <c r="Q68" s="1597">
        <f ca="1">ROUND(Q69-Q70*Q71,0)</f>
        <v>-155</v>
      </c>
      <c r="R68" s="1597" t="s">
        <v>1019</v>
      </c>
    </row>
    <row r="69" spans="1:18" s="1561" customFormat="1" ht="13.5" thickBot="1">
      <c r="A69" s="1076"/>
      <c r="B69" s="1077"/>
      <c r="C69" s="307"/>
      <c r="D69" s="1095" t="s">
        <v>1438</v>
      </c>
      <c r="E69" s="1075" t="s">
        <v>1439</v>
      </c>
      <c r="F69" s="334">
        <f ca="1">F41</f>
        <v>44.18</v>
      </c>
      <c r="O69" s="1605" t="s">
        <v>1016</v>
      </c>
      <c r="P69" s="1644" t="s">
        <v>1549</v>
      </c>
      <c r="Q69" s="1597">
        <f ca="1">C39</f>
        <v>132</v>
      </c>
      <c r="R69" s="1597" t="s">
        <v>1494</v>
      </c>
    </row>
    <row r="70" spans="1:18" s="1561" customFormat="1" ht="13.5" thickBot="1">
      <c r="A70" s="1079"/>
      <c r="B70" s="1080"/>
      <c r="C70" s="311"/>
      <c r="D70" s="1091"/>
      <c r="E70" s="1075" t="s">
        <v>1442</v>
      </c>
      <c r="F70" s="1179"/>
      <c r="O70" s="1605" t="s">
        <v>1017</v>
      </c>
      <c r="P70" s="1644" t="s">
        <v>1550</v>
      </c>
      <c r="Q70" s="1597">
        <f ca="1">C13</f>
        <v>3372</v>
      </c>
      <c r="R70" s="1597" t="s">
        <v>1494</v>
      </c>
    </row>
    <row r="71" spans="1:18" s="1561" customFormat="1" ht="13.5" thickBot="1">
      <c r="A71" s="1096" t="s">
        <v>1001</v>
      </c>
      <c r="B71" s="1097" t="s">
        <v>1452</v>
      </c>
      <c r="C71" s="337">
        <f ca="1">ROUND(C68*10000/F71,0)</f>
        <v>-11298</v>
      </c>
      <c r="D71" s="1098" t="s">
        <v>1453</v>
      </c>
      <c r="E71" s="1099" t="s">
        <v>1454</v>
      </c>
      <c r="F71" s="340">
        <f ca="1">F43</f>
        <v>4957.7199999999993</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287</v>
      </c>
      <c r="D75" s="1561"/>
      <c r="E75" s="1561"/>
      <c r="F75" s="1561"/>
      <c r="K75" s="1579"/>
      <c r="L75" s="1561"/>
      <c r="O75" s="1595" t="s">
        <v>1014</v>
      </c>
      <c r="P75" s="1596" t="s">
        <v>1514</v>
      </c>
      <c r="Q75" s="1597">
        <f ca="1">Q65+Q66</f>
        <v>2175</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-1.1739999999999999</v>
      </c>
    </row>
    <row r="80" spans="1:18">
      <c r="B80" s="341" t="s">
        <v>1476</v>
      </c>
      <c r="C80" s="275">
        <f ca="1">ROUND(C75/C39,3)</f>
        <v>2.1739999999999999</v>
      </c>
    </row>
    <row r="81" spans="2:3">
      <c r="B81" s="271" t="s">
        <v>1477</v>
      </c>
      <c r="C81" s="239"/>
    </row>
    <row r="82" spans="2:3">
      <c r="B82" s="274" t="s">
        <v>1478</v>
      </c>
      <c r="C82" s="276">
        <f ca="1">1-C83</f>
        <v>-0.55000000000000004</v>
      </c>
    </row>
    <row r="83" spans="2:3">
      <c r="B83" s="274" t="s">
        <v>1479</v>
      </c>
      <c r="C83" s="275">
        <f ca="1">ROUND(C13/C40,3)</f>
        <v>1.55</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xr:uid="{00000000-0002-0000-2B00-000000000000}">
      <formula1>"在建（套用方法）,土地（套用方法）,——"</formula1>
    </dataValidation>
    <dataValidation type="list" allowBlank="1" showInputMessage="1" showErrorMessage="1" sqref="M10 F10 F53" xr:uid="{00000000-0002-0000-2B00-000001000000}">
      <formula1>"押一,押二,押三,自定义"</formula1>
    </dataValidation>
    <dataValidation type="list" allowBlank="1" showInputMessage="1" showErrorMessage="1" sqref="L55" xr:uid="{00000000-0002-0000-2B00-000002000000}">
      <formula1>"比较法,基准地价,收益还原"</formula1>
    </dataValidation>
    <dataValidation type="list" allowBlank="1" showInputMessage="1" showErrorMessage="1" sqref="J56" xr:uid="{00000000-0002-0000-2B00-000003000000}">
      <formula1>判定</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47" xr:uid="{00000000-0002-0000-2B00-000005000000}">
      <formula1>"钢,钢混,砖混"</formula1>
    </dataValidation>
    <dataValidation type="list" allowBlank="1" showInputMessage="1" showErrorMessage="1" sqref="C1" xr:uid="{00000000-0002-0000-2B00-000006000000}">
      <formula1>项目类型</formula1>
    </dataValidation>
    <dataValidation type="list" allowBlank="1" showInputMessage="1" showErrorMessage="1" sqref="D33 D61" xr:uid="{00000000-0002-0000-2B00-000007000000}">
      <formula1>"按租金收入计税,按房产原值计税,按票据"</formula1>
    </dataValidation>
    <dataValidation type="list" allowBlank="1" showInputMessage="1" showErrorMessage="1" sqref="K19" xr:uid="{00000000-0002-0000-2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306" t="str">
        <f>IF(项目基本情况!B9="房地产市场价值","估价结果一览表","结果表-2")</f>
        <v>结果表-2</v>
      </c>
      <c r="B1" s="3306"/>
      <c r="C1" s="3306"/>
      <c r="D1" s="3306"/>
      <c r="E1" s="3306"/>
      <c r="F1" s="3306"/>
      <c r="G1" s="3306"/>
      <c r="H1" s="3306"/>
      <c r="I1" s="3306"/>
    </row>
    <row r="2" spans="1:9" ht="30" customHeight="1" thickTop="1">
      <c r="A2" s="3307" t="s">
        <v>1606</v>
      </c>
      <c r="B2" s="3307" t="s">
        <v>1607</v>
      </c>
      <c r="C2" s="3307" t="s">
        <v>1608</v>
      </c>
      <c r="D2" s="3307" t="str">
        <f>结果表!D116</f>
        <v>出让国有建设用地使用权价值</v>
      </c>
      <c r="E2" s="3307"/>
      <c r="F2" s="3307" t="str">
        <f>结果表!F116</f>
        <v>在建建筑物价值</v>
      </c>
      <c r="G2" s="3307"/>
      <c r="H2" s="3307" t="str">
        <f>IF(项目基本情况!B9="房地产市场价值","房地产市场价值","房地产价值")</f>
        <v>房地产价值</v>
      </c>
      <c r="I2" s="3307"/>
    </row>
    <row r="3" spans="1:9" ht="15">
      <c r="A3" s="3308"/>
      <c r="B3" s="3308"/>
      <c r="C3" s="3308"/>
      <c r="D3" s="957" t="s">
        <v>1603</v>
      </c>
      <c r="E3" s="957" t="s">
        <v>1609</v>
      </c>
      <c r="F3" s="957" t="s">
        <v>1603</v>
      </c>
      <c r="G3" s="957" t="s">
        <v>1604</v>
      </c>
      <c r="H3" s="957" t="s">
        <v>1603</v>
      </c>
      <c r="I3" s="957" t="s">
        <v>1604</v>
      </c>
    </row>
    <row r="4" spans="1:9" ht="45">
      <c r="A4" s="1683" t="str">
        <f>项目基本情况!S2</f>
        <v>北京市0331地块部分在建工程出让国有建设用地使用权及在建建筑物房地产</v>
      </c>
      <c r="B4" s="957">
        <f>项目基本情况!C17</f>
        <v>86417.1</v>
      </c>
      <c r="C4" s="957">
        <f>项目基本情况!C18</f>
        <v>35230.35</v>
      </c>
      <c r="D4" s="957">
        <f ca="1">结果表!D118</f>
        <v>160839</v>
      </c>
      <c r="E4" s="957">
        <f ca="1">结果表!E118</f>
        <v>18612</v>
      </c>
      <c r="F4" s="957">
        <f ca="1">结果表!F118</f>
        <v>19105</v>
      </c>
      <c r="G4" s="957">
        <f ca="1">结果表!G118</f>
        <v>2211</v>
      </c>
      <c r="H4" s="957">
        <f ca="1">结果表!H118</f>
        <v>179944</v>
      </c>
      <c r="I4" s="957">
        <f ca="1">结果表!I118</f>
        <v>20823</v>
      </c>
    </row>
    <row r="5" spans="1:9" ht="30" customHeight="1">
      <c r="A5" s="3308" t="s">
        <v>1605</v>
      </c>
      <c r="B5" s="3308"/>
      <c r="C5" s="3308"/>
      <c r="D5" s="3309" t="str">
        <f ca="1">结果表!D119</f>
        <v>壹拾陆亿零捌佰叁拾玖万元整</v>
      </c>
      <c r="E5" s="3309"/>
      <c r="F5" s="3309" t="str">
        <f ca="1">结果表!F119</f>
        <v>壹亿玖仟壹佰零伍万元整</v>
      </c>
      <c r="G5" s="3309"/>
      <c r="H5" s="3309" t="str">
        <f ca="1">结果表!H119</f>
        <v>壹拾柒亿玖仟玖佰肆拾肆万元整</v>
      </c>
      <c r="I5" s="3309"/>
    </row>
    <row r="6" spans="1:9" ht="15.75">
      <c r="A6" s="3310" t="str">
        <f>结果表!A120</f>
        <v>估价师知悉的法定优先受偿款</v>
      </c>
      <c r="B6" s="3310"/>
      <c r="C6" s="3310"/>
      <c r="D6" s="3310">
        <f>结果表!D120</f>
        <v>0</v>
      </c>
      <c r="E6" s="3310"/>
      <c r="F6" s="3310"/>
      <c r="G6" s="3310"/>
      <c r="H6" s="3310"/>
      <c r="I6" s="3310"/>
    </row>
    <row r="7" spans="1:9" ht="15">
      <c r="A7" s="3308" t="s">
        <v>1605</v>
      </c>
      <c r="B7" s="3308"/>
      <c r="C7" s="3308"/>
      <c r="D7" s="3311" t="str">
        <f>结果表!D121</f>
        <v>零元整</v>
      </c>
      <c r="E7" s="3312"/>
      <c r="F7" s="3312"/>
      <c r="G7" s="3312"/>
      <c r="H7" s="3312"/>
      <c r="I7" s="3313"/>
    </row>
    <row r="8" spans="1:9" ht="15.75">
      <c r="A8" s="3310" t="str">
        <f>结果表!A122</f>
        <v>房地产抵押价值</v>
      </c>
      <c r="B8" s="3310"/>
      <c r="C8" s="3310"/>
      <c r="D8" s="3310">
        <f ca="1">结果表!D122</f>
        <v>179944</v>
      </c>
      <c r="E8" s="3310"/>
      <c r="F8" s="3310"/>
      <c r="G8" s="3310"/>
      <c r="H8" s="3310"/>
      <c r="I8" s="3310"/>
    </row>
    <row r="9" spans="1:9" ht="15">
      <c r="A9" s="3308" t="s">
        <v>1605</v>
      </c>
      <c r="B9" s="3308"/>
      <c r="C9" s="3308"/>
      <c r="D9" s="3309" t="str">
        <f ca="1">结果表!D123</f>
        <v>壹拾柒亿玖仟玖佰肆拾肆万元整</v>
      </c>
      <c r="E9" s="3309"/>
      <c r="F9" s="3309"/>
      <c r="G9" s="3309"/>
      <c r="H9" s="3309"/>
      <c r="I9" s="3309"/>
    </row>
    <row r="10" spans="1:9" ht="15.75">
      <c r="A10" s="3310" t="str">
        <f>结果表!A124</f>
        <v/>
      </c>
      <c r="B10" s="3310"/>
      <c r="C10" s="3310"/>
      <c r="D10" s="3310" t="str">
        <f>结果表!D124</f>
        <v>——</v>
      </c>
      <c r="E10" s="3310"/>
      <c r="F10" s="3310"/>
      <c r="G10" s="3310"/>
      <c r="H10" s="3310"/>
      <c r="I10" s="3310"/>
    </row>
    <row r="11" spans="1:9" ht="15">
      <c r="A11" s="3308" t="s">
        <v>1605</v>
      </c>
      <c r="B11" s="3308"/>
      <c r="C11" s="3308"/>
      <c r="D11" s="3309" t="e">
        <f>结果表!D125</f>
        <v>#VALUE!</v>
      </c>
      <c r="E11" s="3309"/>
      <c r="F11" s="3309"/>
      <c r="G11" s="3309"/>
      <c r="H11" s="3309"/>
      <c r="I11" s="3309"/>
    </row>
    <row r="12" spans="1:9" ht="15.75">
      <c r="A12" s="3310" t="str">
        <f>结果表!A126</f>
        <v/>
      </c>
      <c r="B12" s="3310"/>
      <c r="C12" s="3310"/>
      <c r="D12" s="3310" t="str">
        <f>结果表!D126</f>
        <v>——</v>
      </c>
      <c r="E12" s="3310"/>
      <c r="F12" s="3310"/>
      <c r="G12" s="3310"/>
      <c r="H12" s="3310"/>
      <c r="I12" s="3310"/>
    </row>
    <row r="13" spans="1:9" ht="15.75" thickBot="1">
      <c r="A13" s="3314" t="s">
        <v>1605</v>
      </c>
      <c r="B13" s="3314"/>
      <c r="C13" s="3314"/>
      <c r="D13" s="3315" t="e">
        <f>结果表!D127</f>
        <v>#VALUE!</v>
      </c>
      <c r="E13" s="3315"/>
      <c r="F13" s="3315"/>
      <c r="G13" s="3315"/>
      <c r="H13" s="3315"/>
      <c r="I13" s="3315"/>
    </row>
    <row r="14" spans="1:9" ht="15" thickTop="1">
      <c r="A14" s="3316" t="s">
        <v>1610</v>
      </c>
      <c r="B14" s="3316"/>
      <c r="C14" s="3316"/>
      <c r="D14" s="3316"/>
      <c r="E14" s="3316"/>
      <c r="F14" s="3316"/>
      <c r="G14" s="3316"/>
      <c r="H14" s="3316"/>
      <c r="I14" s="331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8427B-89FE-46DF-9171-9BA81E3E5494}">
  <sheetPr>
    <tabColor rgb="FF92D050"/>
  </sheetPr>
  <dimension ref="A1:AK83"/>
  <sheetViews>
    <sheetView view="pageBreakPreview" zoomScale="90" zoomScaleNormal="70" zoomScaleSheetLayoutView="90" workbookViewId="0">
      <selection activeCell="D30" sqref="D3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1343</v>
      </c>
      <c r="D1" s="1539" t="s">
        <v>5407</v>
      </c>
      <c r="E1" s="1540" t="s">
        <v>1352</v>
      </c>
      <c r="F1" s="1187">
        <f ca="1">J53</f>
        <v>34.17</v>
      </c>
      <c r="G1" s="1555">
        <f>MATCH(C1,'数据-取费表'!A6:A16,0)+5</f>
        <v>13</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1374</v>
      </c>
      <c r="C2" s="1564" t="s">
        <v>1481</v>
      </c>
      <c r="D2" s="1564"/>
      <c r="E2" s="1565"/>
      <c r="F2" s="1566"/>
      <c r="G2" s="2923"/>
      <c r="H2" s="2912"/>
      <c r="I2" s="2912"/>
      <c r="J2" s="2912"/>
      <c r="K2" s="2913"/>
      <c r="L2" s="2912"/>
      <c r="M2" s="2912"/>
    </row>
    <row r="3" spans="1:37" ht="18" customHeight="1" thickBot="1">
      <c r="A3" s="1567" t="s">
        <v>1482</v>
      </c>
      <c r="B3" s="1568">
        <f ca="1">IF(ISERROR(B2*10000/F43),0,ROUND(B2*10000/F43,0))</f>
        <v>21271</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120</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120</v>
      </c>
      <c r="D6" s="155" t="s">
        <v>2847</v>
      </c>
      <c r="E6" s="303" t="s">
        <v>1370</v>
      </c>
      <c r="F6" s="304">
        <f ca="1">INDIRECT("'数据-取费表'!u"&amp;$G$1)</f>
        <v>6</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3222" t="s">
        <v>1371</v>
      </c>
      <c r="F7" s="304">
        <f ca="1">IF(INDIRECT("'数据-取费表'!ah"&amp;$G$1)="",INDIRECT("'数据-取费表'!k"&amp;$G$1),INDIRECT("'数据-取费表'!ah"&amp;$G$1))</f>
        <v>645.96</v>
      </c>
      <c r="G7" s="1561"/>
      <c r="H7" s="305"/>
      <c r="I7" s="3554"/>
      <c r="J7" s="307"/>
      <c r="K7" s="308"/>
      <c r="L7" s="303" t="s">
        <v>1371</v>
      </c>
      <c r="M7" s="304">
        <f ca="1">F7</f>
        <v>645.96</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0</v>
      </c>
      <c r="D10" s="1543" t="s">
        <v>2854</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481</v>
      </c>
      <c r="D13" s="3214" t="s">
        <v>1380</v>
      </c>
      <c r="E13" s="3214"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323</v>
      </c>
      <c r="D14" s="3218" t="s">
        <v>1383</v>
      </c>
      <c r="E14" s="3216"/>
      <c r="F14" s="320"/>
      <c r="G14" s="1561"/>
      <c r="H14" s="1107" t="s">
        <v>1003</v>
      </c>
      <c r="I14" s="303" t="s">
        <v>1384</v>
      </c>
      <c r="J14" s="23">
        <f ca="1">C29</f>
        <v>481</v>
      </c>
      <c r="K14" s="3221"/>
      <c r="L14" s="910"/>
      <c r="M14" s="911"/>
    </row>
    <row r="15" spans="1:37" s="1574" customFormat="1" ht="18" customHeight="1" thickBot="1">
      <c r="A15" s="1107" t="s">
        <v>1004</v>
      </c>
      <c r="B15" s="303" t="s">
        <v>1385</v>
      </c>
      <c r="C15" s="23">
        <f ca="1">ROUND(C14*F15,0)</f>
        <v>16</v>
      </c>
      <c r="D15" s="3215" t="s">
        <v>1386</v>
      </c>
      <c r="E15" s="3215"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0</v>
      </c>
      <c r="D16" s="303" t="s">
        <v>1386</v>
      </c>
      <c r="E16" s="303" t="s">
        <v>1387</v>
      </c>
      <c r="F16" s="323">
        <f ca="1">IF(INDIRECT("'数据-取费表'!c"&amp;$G$1)="住宅",'数据-取费表'!B34,0)</f>
        <v>0</v>
      </c>
      <c r="G16" s="1561"/>
      <c r="H16" s="1233" t="s">
        <v>998</v>
      </c>
      <c r="I16" s="1234" t="s">
        <v>1389</v>
      </c>
      <c r="J16" s="311">
        <f ca="1">ROUND(J17+J22+J23+J24,0)</f>
        <v>11</v>
      </c>
      <c r="K16" s="1241" t="s">
        <v>1390</v>
      </c>
      <c r="L16" s="3219"/>
      <c r="M16" s="1198"/>
    </row>
    <row r="17" spans="1:37" s="1574" customFormat="1" ht="18" customHeight="1">
      <c r="A17" s="1107" t="s">
        <v>1355</v>
      </c>
      <c r="B17" s="303" t="s">
        <v>1391</v>
      </c>
      <c r="C17" s="23">
        <f ca="1">ROUND(F17*(F43+INDIRECT("'数据-取费表'!S"&amp;$G$1))/10000,0)</f>
        <v>13</v>
      </c>
      <c r="D17" s="303" t="s">
        <v>1392</v>
      </c>
      <c r="E17" s="303" t="s">
        <v>1393</v>
      </c>
      <c r="F17" s="25">
        <f>'数据-取费表'!B35</f>
        <v>200</v>
      </c>
      <c r="G17" s="1573"/>
      <c r="H17" s="1107" t="s">
        <v>1003</v>
      </c>
      <c r="I17" s="303" t="s">
        <v>1394</v>
      </c>
      <c r="J17" s="2526">
        <f ca="1">ROUND(IF(AND(项目基本情况!B11="自然人",项目基本情况!B10="北京市"),J6*M17/(1+'数据-取费表'!C42),J18+J19+J20),0)</f>
        <v>4</v>
      </c>
      <c r="K17" s="3218" t="s">
        <v>1395</v>
      </c>
      <c r="L17" s="3217"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5</v>
      </c>
      <c r="D18" s="303" t="s">
        <v>1386</v>
      </c>
      <c r="E18" s="303" t="s">
        <v>1387</v>
      </c>
      <c r="F18" s="323">
        <f>'数据-取费表'!B36</f>
        <v>1.4999999999999999E-2</v>
      </c>
      <c r="G18" s="1573"/>
      <c r="H18" s="1107" t="s">
        <v>1002</v>
      </c>
      <c r="I18" s="303" t="s">
        <v>1398</v>
      </c>
      <c r="J18" s="23">
        <f ca="1">ROUND(J6*M18/(1+'数据-取费表'!C42),2)</f>
        <v>0</v>
      </c>
      <c r="K18" s="3217"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357</v>
      </c>
      <c r="D19" s="131" t="s">
        <v>1401</v>
      </c>
      <c r="E19" s="3224"/>
      <c r="F19" s="25"/>
      <c r="G19" s="1561"/>
      <c r="H19" s="1107" t="s">
        <v>1004</v>
      </c>
      <c r="I19" s="303" t="s">
        <v>1402</v>
      </c>
      <c r="J19" s="23">
        <f ca="1">IF(K19="按租金收入计税",ROUND(J6*M19/(1+'数据-取费表'!C42),2),ROUND(C29*M19*0.7,2))</f>
        <v>4.04</v>
      </c>
      <c r="K19" s="1547" t="s">
        <v>1403</v>
      </c>
      <c r="L19" s="303" t="s">
        <v>1387</v>
      </c>
      <c r="M19" s="323">
        <f>IF(K19="按租金收入计税",'数据-取费表'!B51,'数据-取费表'!B50)</f>
        <v>1.2E-2</v>
      </c>
    </row>
    <row r="20" spans="1:37" s="1574" customFormat="1" ht="18" customHeight="1">
      <c r="A20" s="1107" t="s">
        <v>1007</v>
      </c>
      <c r="B20" s="303" t="s">
        <v>1404</v>
      </c>
      <c r="C20" s="23">
        <f ca="1">ROUND(C19*F20,0)</f>
        <v>11</v>
      </c>
      <c r="D20" s="324" t="s">
        <v>1405</v>
      </c>
      <c r="E20" s="303" t="s">
        <v>1387</v>
      </c>
      <c r="F20" s="323">
        <f>'数据-取费表'!B37</f>
        <v>0.03</v>
      </c>
      <c r="G20" s="1573"/>
      <c r="H20" s="1107" t="s">
        <v>1354</v>
      </c>
      <c r="I20" s="155" t="s">
        <v>1406</v>
      </c>
      <c r="J20" s="24">
        <f ca="1">ROUND(M20*M21/10000,2)</f>
        <v>0.04</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f ca="1">INDIRECT("'数据-取费表'!r"&amp;$G$1)</f>
        <v>263.33999999999997</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3224"/>
      <c r="F22" s="25"/>
      <c r="G22" s="1561"/>
      <c r="H22" s="1107" t="s">
        <v>1007</v>
      </c>
      <c r="I22" s="303" t="s">
        <v>1414</v>
      </c>
      <c r="J22" s="23">
        <f ca="1">ROUND(J14*M22,1)</f>
        <v>7.2</v>
      </c>
      <c r="K22" s="3217"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16</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3217" t="s">
        <v>1419</v>
      </c>
      <c r="L23" s="303" t="s">
        <v>1387</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1357</v>
      </c>
      <c r="I24" s="1244" t="s">
        <v>1404</v>
      </c>
      <c r="J24" s="1245">
        <f ca="1">ROUND(J5*M24,1)</f>
        <v>0</v>
      </c>
      <c r="K24" s="1246" t="s">
        <v>1424</v>
      </c>
      <c r="L24" s="1244" t="s">
        <v>1387</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3224"/>
      <c r="F25" s="25"/>
      <c r="G25" s="1561"/>
      <c r="H25" s="1233" t="s">
        <v>999</v>
      </c>
      <c r="I25" s="1248" t="s">
        <v>1428</v>
      </c>
      <c r="J25" s="311">
        <f ca="1">J5-J16</f>
        <v>-11</v>
      </c>
      <c r="K25" s="1249" t="s">
        <v>1429</v>
      </c>
      <c r="L25" s="1250"/>
      <c r="M25" s="1251"/>
    </row>
    <row r="26" spans="1:37">
      <c r="A26" s="1107" t="s">
        <v>1002</v>
      </c>
      <c r="B26" s="303" t="s">
        <v>1430</v>
      </c>
      <c r="C26" s="23">
        <f ca="1">ROUND((C19+C20)*F26,0)</f>
        <v>55</v>
      </c>
      <c r="D26" s="324" t="s">
        <v>1431</v>
      </c>
      <c r="E26" s="314" t="s">
        <v>1432</v>
      </c>
      <c r="F26" s="313">
        <f ca="1">INDIRECT("'数据-取费表'!q"&amp;$G$1)</f>
        <v>0.15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4.4999999999999997E-3</v>
      </c>
      <c r="D27" s="324" t="s">
        <v>1437</v>
      </c>
      <c r="E27" s="3215"/>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481</v>
      </c>
      <c r="D29" s="1246"/>
      <c r="E29" s="1244"/>
      <c r="F29" s="1247"/>
      <c r="G29" s="1573"/>
      <c r="H29" s="335" t="s">
        <v>1001</v>
      </c>
      <c r="I29" s="336" t="s">
        <v>1444</v>
      </c>
      <c r="J29" s="337">
        <f ca="1">ROUND(J26/(1+F40)^F41,0)</f>
        <v>0</v>
      </c>
      <c r="K29" s="338" t="s">
        <v>1445</v>
      </c>
      <c r="L29" s="339"/>
      <c r="M29" s="340">
        <f ca="1">INDIRECT("'数据-取费表'!k"&amp;$G$1)</f>
        <v>645.96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30</v>
      </c>
      <c r="D30" s="1241" t="s">
        <v>1390</v>
      </c>
      <c r="E30" s="3219"/>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20</v>
      </c>
      <c r="D31" s="3218" t="s">
        <v>1395</v>
      </c>
      <c r="E31" s="3217"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6.29</v>
      </c>
      <c r="D32" s="3217"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13.71</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0.04</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263.33999999999997</v>
      </c>
      <c r="G35" s="1561"/>
      <c r="H35" s="2914"/>
      <c r="I35" s="1575"/>
      <c r="J35" s="1576"/>
      <c r="K35" s="2918"/>
      <c r="L35" s="2917"/>
      <c r="M35" s="2917"/>
    </row>
    <row r="36" spans="1:18" ht="18" customHeight="1">
      <c r="A36" s="1256" t="s">
        <v>1007</v>
      </c>
      <c r="B36" s="303" t="s">
        <v>1414</v>
      </c>
      <c r="C36" s="23">
        <f ca="1">ROUND(C29*F36,1)</f>
        <v>7.2</v>
      </c>
      <c r="D36" s="3217"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0.7</v>
      </c>
      <c r="D37" s="3217" t="s">
        <v>1419</v>
      </c>
      <c r="E37" s="303" t="s">
        <v>1387</v>
      </c>
      <c r="F37" s="331">
        <f ca="1">INDIRECT("'数据-取费表'!Al"&amp;$G$1)</f>
        <v>1.5E-3</v>
      </c>
      <c r="G37" s="1561"/>
      <c r="H37" s="2917"/>
      <c r="I37" s="1575"/>
      <c r="J37" s="1576"/>
      <c r="K37" s="2759"/>
      <c r="L37" s="2917"/>
      <c r="M37" s="2917"/>
    </row>
    <row r="38" spans="1:18" ht="18" customHeight="1" thickBot="1">
      <c r="A38" s="1243" t="s">
        <v>1357</v>
      </c>
      <c r="B38" s="1244" t="s">
        <v>1404</v>
      </c>
      <c r="C38" s="1245">
        <f ca="1">ROUND(C5*F38,1)</f>
        <v>2.4</v>
      </c>
      <c r="D38" s="1246" t="s">
        <v>1424</v>
      </c>
      <c r="E38" s="1244" t="s">
        <v>1387</v>
      </c>
      <c r="F38" s="1240">
        <f ca="1">INDIRECT("'数据-取费表'!Am"&amp;$G$1)</f>
        <v>0.02</v>
      </c>
      <c r="G38" s="1561"/>
      <c r="H38" s="2917"/>
      <c r="I38" s="1575"/>
      <c r="J38" s="1576"/>
      <c r="K38" s="2921"/>
      <c r="L38" s="2917"/>
      <c r="M38" s="2917"/>
    </row>
    <row r="39" spans="1:18" ht="24.6" customHeight="1" thickTop="1">
      <c r="A39" s="1233" t="s">
        <v>999</v>
      </c>
      <c r="B39" s="1248" t="s">
        <v>1428</v>
      </c>
      <c r="C39" s="311">
        <f ca="1">C5-C30</f>
        <v>90</v>
      </c>
      <c r="D39" s="1249" t="s">
        <v>1429</v>
      </c>
      <c r="E39" s="1250"/>
      <c r="F39" s="1251"/>
      <c r="G39" s="1561"/>
      <c r="H39" s="2917"/>
      <c r="I39" s="1575"/>
      <c r="J39" s="1576"/>
      <c r="K39" s="2921"/>
      <c r="L39" s="2917"/>
      <c r="M39" s="2917"/>
    </row>
    <row r="40" spans="1:18" ht="18" customHeight="1">
      <c r="A40" s="300" t="s">
        <v>1000</v>
      </c>
      <c r="B40" s="301" t="s">
        <v>1450</v>
      </c>
      <c r="C40" s="302">
        <f ca="1">ROUND(C39*(1-((1+F42)/(1+F40))^F41)/(F40-F42),0)</f>
        <v>1374</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34.17</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21271</v>
      </c>
      <c r="D43" s="338" t="s">
        <v>1453</v>
      </c>
      <c r="E43" s="339" t="s">
        <v>1454</v>
      </c>
      <c r="F43" s="340">
        <f ca="1">INDIRECT("'数据-取费表'!k"&amp;$G$1)</f>
        <v>645.96</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-2107</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40</v>
      </c>
      <c r="M47" s="1557" t="str">
        <f>IF(ISNUMBER(FIND("住宅",C1)),"住宅","非住宅")</f>
        <v>非住宅</v>
      </c>
      <c r="O47" s="1595" t="s">
        <v>1008</v>
      </c>
      <c r="P47" s="1596" t="s">
        <v>1493</v>
      </c>
      <c r="Q47" s="1597">
        <f ca="1">C40+J29</f>
        <v>1374</v>
      </c>
      <c r="R47" s="1597" t="s">
        <v>1494</v>
      </c>
    </row>
    <row r="48" spans="1:18" s="1561" customFormat="1" ht="28.5" thickBot="1">
      <c r="A48" s="1264" t="s">
        <v>1103</v>
      </c>
      <c r="B48" s="301" t="s">
        <v>1366</v>
      </c>
      <c r="C48" s="3223">
        <f ca="1">C49+C53+C55</f>
        <v>0</v>
      </c>
      <c r="D48" s="1266"/>
      <c r="E48" s="1267"/>
      <c r="F48" s="1087"/>
      <c r="G48" s="726"/>
      <c r="H48" s="727"/>
      <c r="I48" s="1598" t="s">
        <v>1495</v>
      </c>
      <c r="J48" s="1599" t="s">
        <v>5411</v>
      </c>
      <c r="K48" s="1600" t="s">
        <v>1496</v>
      </c>
      <c r="L48" s="1601">
        <f ca="1">INDIRECT("'数据-取费表'!f"&amp;$G$1)</f>
        <v>35.57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27"/>
      <c r="I49" s="1598" t="s">
        <v>1499</v>
      </c>
      <c r="J49" s="1603">
        <v>2022</v>
      </c>
      <c r="K49" s="1600" t="s">
        <v>1500</v>
      </c>
      <c r="L49" s="1604"/>
      <c r="O49" s="1605" t="s">
        <v>1010</v>
      </c>
      <c r="P49" s="1596" t="s">
        <v>1501</v>
      </c>
      <c r="Q49" s="1597">
        <f ca="1">C29</f>
        <v>481</v>
      </c>
      <c r="R49" s="1597" t="s">
        <v>1494</v>
      </c>
    </row>
    <row r="50" spans="1:18" s="1561" customFormat="1" ht="13.5" thickBot="1">
      <c r="A50" s="1101"/>
      <c r="B50" s="1104"/>
      <c r="C50" s="1272"/>
      <c r="D50" s="1078"/>
      <c r="E50" s="1181" t="s">
        <v>1371</v>
      </c>
      <c r="F50" s="1182">
        <f ca="1">F7</f>
        <v>645.96</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1111</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34.17</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34.17</v>
      </c>
      <c r="K53" s="3556" t="s">
        <v>1513</v>
      </c>
      <c r="L53" s="3557"/>
      <c r="O53" s="1595" t="s">
        <v>1014</v>
      </c>
      <c r="P53" s="1596" t="s">
        <v>1514</v>
      </c>
      <c r="Q53" s="1597">
        <f ca="1">Q47+Q48</f>
        <v>1374</v>
      </c>
      <c r="R53" s="1597" t="s">
        <v>1015</v>
      </c>
    </row>
    <row r="54" spans="1:18" s="1561" customFormat="1" ht="13.5" thickBot="1">
      <c r="A54" s="1309"/>
      <c r="B54" s="1544" t="s">
        <v>1353</v>
      </c>
      <c r="C54" s="1084"/>
      <c r="D54" s="1543"/>
      <c r="E54" s="322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22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481</v>
      </c>
      <c r="D56" s="1624"/>
      <c r="E56" s="1625"/>
      <c r="F56" s="1617"/>
      <c r="I56" s="1626" t="s">
        <v>1519</v>
      </c>
      <c r="J56" s="1627" t="s">
        <v>3229</v>
      </c>
      <c r="K56" s="1598" t="s">
        <v>1520</v>
      </c>
      <c r="L56" s="1601" t="str">
        <f ca="1">IF(L48&lt;J51,"——",L48-J53)</f>
        <v>——</v>
      </c>
      <c r="O56" s="1595" t="s">
        <v>1008</v>
      </c>
      <c r="P56" s="1596" t="s">
        <v>1493</v>
      </c>
      <c r="Q56" s="1597">
        <f ca="1">C40+J29</f>
        <v>1374</v>
      </c>
      <c r="R56" s="1597" t="s">
        <v>1494</v>
      </c>
    </row>
    <row r="57" spans="1:18" s="1561" customFormat="1" ht="24.75" thickBot="1">
      <c r="A57" s="1628"/>
      <c r="B57" s="1075" t="s">
        <v>1443</v>
      </c>
      <c r="C57" s="239">
        <f ca="1">C29</f>
        <v>481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6" t="s">
        <v>998</v>
      </c>
      <c r="B58" s="1083" t="s">
        <v>1389</v>
      </c>
      <c r="C58" s="317">
        <f ca="1">ROUND(C59+C64+C65+C66,0)</f>
        <v>48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40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3">
        <f ca="1">IF(项目基本情况!B11="自然人","——",IF(D61="按租金收入计税",ROUND(C49*F61/(1+'数据-取费表'!C42),2),IF(D61="按房产原值计税",ROUND(C57*F61*0.7,2),INDIRECT("'数据-取费表'!Aj"&amp;$G$1))))</f>
        <v>40.4</v>
      </c>
      <c r="D61" s="1547" t="s">
        <v>1403</v>
      </c>
      <c r="E61" s="1075" t="s">
        <v>1387</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4">
        <f ca="1">IF(项目基本情况!B11="自然人","——",ROUND(F62*F63/10000,2))</f>
        <v>0.04</v>
      </c>
      <c r="D62" s="1090" t="s">
        <v>1407</v>
      </c>
      <c r="E62" s="1075" t="s">
        <v>1408</v>
      </c>
      <c r="F62" s="326">
        <f t="shared" si="0"/>
        <v>1.5</v>
      </c>
      <c r="I62" s="1639" t="s">
        <v>1535</v>
      </c>
      <c r="J62" s="1640" t="s">
        <v>1536</v>
      </c>
      <c r="K62" s="1640" t="s">
        <v>1537</v>
      </c>
      <c r="L62" s="1640" t="s">
        <v>1538</v>
      </c>
      <c r="M62" s="1641" t="s">
        <v>1539</v>
      </c>
      <c r="O62" s="1595" t="s">
        <v>1014</v>
      </c>
      <c r="P62" s="1596" t="s">
        <v>1514</v>
      </c>
      <c r="Q62" s="1597">
        <f ca="1">Q56+Q57</f>
        <v>1374</v>
      </c>
      <c r="R62" s="1597" t="s">
        <v>1015</v>
      </c>
    </row>
    <row r="63" spans="1:18" s="1561" customFormat="1" ht="13.5" thickBot="1">
      <c r="A63" s="327"/>
      <c r="B63" s="1081"/>
      <c r="C63" s="28"/>
      <c r="D63" s="1091"/>
      <c r="E63" s="1075" t="s">
        <v>1412</v>
      </c>
      <c r="F63" s="304">
        <f t="shared" ca="1" si="0"/>
        <v>263.33999999999997</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3">
        <f ca="1">ROUND(C57*F64,1)</f>
        <v>7.2</v>
      </c>
      <c r="D64" s="1089" t="s">
        <v>1447</v>
      </c>
      <c r="E64" s="1075" t="s">
        <v>1387</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0.7</v>
      </c>
      <c r="D65" s="1089" t="s">
        <v>1419</v>
      </c>
      <c r="E65" s="1075" t="s">
        <v>1387</v>
      </c>
      <c r="F65" s="331">
        <f t="shared" ca="1" si="0"/>
        <v>1.5E-3</v>
      </c>
      <c r="I65" s="1639" t="s">
        <v>1544</v>
      </c>
      <c r="J65" s="1640">
        <v>40</v>
      </c>
      <c r="K65" s="1640">
        <v>30</v>
      </c>
      <c r="L65" s="1640">
        <v>50</v>
      </c>
      <c r="M65" s="1642">
        <v>0.02</v>
      </c>
      <c r="O65" s="1595" t="s">
        <v>1008</v>
      </c>
      <c r="P65" s="1596" t="s">
        <v>1493</v>
      </c>
      <c r="Q65" s="1597">
        <f ca="1">C40+J29</f>
        <v>1374</v>
      </c>
      <c r="R65" s="1597" t="s">
        <v>1494</v>
      </c>
    </row>
    <row r="66" spans="1:18" s="1561" customFormat="1" ht="16.5" thickBot="1">
      <c r="A66" s="1107" t="s">
        <v>1469</v>
      </c>
      <c r="B66" s="1075" t="s">
        <v>1404</v>
      </c>
      <c r="C66" s="23">
        <f ca="1">ROUND(C48*F66,1)</f>
        <v>0</v>
      </c>
      <c r="D66" s="1089" t="s">
        <v>1424</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-48</v>
      </c>
      <c r="D67" s="1088" t="s">
        <v>1429</v>
      </c>
      <c r="E67" s="1093"/>
      <c r="F67" s="1094"/>
      <c r="O67" s="1605" t="s">
        <v>1010</v>
      </c>
      <c r="P67" s="1596" t="s">
        <v>1527</v>
      </c>
      <c r="Q67" s="1643">
        <f ca="1">L51</f>
        <v>1111</v>
      </c>
      <c r="R67" s="1597" t="s">
        <v>1547</v>
      </c>
    </row>
    <row r="68" spans="1:18" s="1561" customFormat="1" ht="16.5" thickBot="1">
      <c r="A68" s="1072" t="s">
        <v>1000</v>
      </c>
      <c r="B68" s="1073" t="s">
        <v>1450</v>
      </c>
      <c r="C68" s="302">
        <f ca="1">ROUND(C67*(1-((1+F70)/(1+F68))^F69)/(F68-F70),0)</f>
        <v>-733</v>
      </c>
      <c r="D68" s="1090" t="s">
        <v>1434</v>
      </c>
      <c r="E68" s="1075" t="s">
        <v>1435</v>
      </c>
      <c r="F68" s="313">
        <f ca="1">F40</f>
        <v>5.5E-2</v>
      </c>
      <c r="O68" s="1605" t="s">
        <v>1011</v>
      </c>
      <c r="P68" s="1644" t="s">
        <v>1548</v>
      </c>
      <c r="Q68" s="1597">
        <f ca="1">ROUND(Q69-Q70*Q71,0)</f>
        <v>49</v>
      </c>
      <c r="R68" s="1597" t="s">
        <v>1019</v>
      </c>
    </row>
    <row r="69" spans="1:18" s="1561" customFormat="1" ht="13.5" thickBot="1">
      <c r="A69" s="1076"/>
      <c r="B69" s="1077"/>
      <c r="C69" s="307"/>
      <c r="D69" s="1095" t="s">
        <v>1438</v>
      </c>
      <c r="E69" s="1075" t="s">
        <v>1439</v>
      </c>
      <c r="F69" s="334">
        <f ca="1">F41</f>
        <v>34.17</v>
      </c>
      <c r="O69" s="1605" t="s">
        <v>1016</v>
      </c>
      <c r="P69" s="1644" t="s">
        <v>1549</v>
      </c>
      <c r="Q69" s="1597">
        <f ca="1">C39</f>
        <v>90</v>
      </c>
      <c r="R69" s="1597" t="s">
        <v>1494</v>
      </c>
    </row>
    <row r="70" spans="1:18" s="1561" customFormat="1" ht="13.5" thickBot="1">
      <c r="A70" s="1079"/>
      <c r="B70" s="1080"/>
      <c r="C70" s="311"/>
      <c r="D70" s="1091"/>
      <c r="E70" s="1075" t="s">
        <v>1442</v>
      </c>
      <c r="F70" s="1179"/>
      <c r="O70" s="1605" t="s">
        <v>1017</v>
      </c>
      <c r="P70" s="1644" t="s">
        <v>1550</v>
      </c>
      <c r="Q70" s="1597">
        <f ca="1">C13</f>
        <v>481</v>
      </c>
      <c r="R70" s="1597" t="s">
        <v>1494</v>
      </c>
    </row>
    <row r="71" spans="1:18" s="1561" customFormat="1" ht="13.5" thickBot="1">
      <c r="A71" s="1096" t="s">
        <v>1001</v>
      </c>
      <c r="B71" s="1097" t="s">
        <v>1452</v>
      </c>
      <c r="C71" s="337">
        <f ca="1">ROUND(C68*10000/F71,0)</f>
        <v>-11347</v>
      </c>
      <c r="D71" s="1098" t="s">
        <v>1453</v>
      </c>
      <c r="E71" s="1099" t="s">
        <v>1454</v>
      </c>
      <c r="F71" s="340">
        <f ca="1">F43</f>
        <v>645.96</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41</v>
      </c>
      <c r="D75" s="1561"/>
      <c r="E75" s="1561"/>
      <c r="F75" s="1561"/>
      <c r="K75" s="1579"/>
      <c r="L75" s="1561"/>
      <c r="O75" s="1595" t="s">
        <v>1014</v>
      </c>
      <c r="P75" s="1596" t="s">
        <v>1514</v>
      </c>
      <c r="Q75" s="1597">
        <f ca="1">Q65+Q66</f>
        <v>1374</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0.54400000000000004</v>
      </c>
    </row>
    <row r="80" spans="1:18">
      <c r="B80" s="341" t="s">
        <v>1476</v>
      </c>
      <c r="C80" s="275">
        <f ca="1">ROUND(C75/C39,3)</f>
        <v>0.45600000000000002</v>
      </c>
    </row>
    <row r="81" spans="2:3">
      <c r="B81" s="271" t="s">
        <v>1477</v>
      </c>
      <c r="C81" s="239"/>
    </row>
    <row r="82" spans="2:3">
      <c r="B82" s="274" t="s">
        <v>1478</v>
      </c>
      <c r="C82" s="276">
        <f ca="1">1-C83</f>
        <v>0.65</v>
      </c>
    </row>
    <row r="83" spans="2:3">
      <c r="B83" s="274" t="s">
        <v>1479</v>
      </c>
      <c r="C83" s="275">
        <f ca="1">ROUND(C13/C40,3)</f>
        <v>0.35</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xr:uid="{6D33D373-6D7B-4110-986D-B32B23C0187D}">
      <formula1>"按租金收入计税,按房产原值计税"</formula1>
    </dataValidation>
    <dataValidation type="list" allowBlank="1" showInputMessage="1" showErrorMessage="1" sqref="D33 D61" xr:uid="{BF977688-5DB5-4D03-9625-626A6049E597}">
      <formula1>"按租金收入计税,按房产原值计税,按票据"</formula1>
    </dataValidation>
    <dataValidation type="list" allowBlank="1" showInputMessage="1" showErrorMessage="1" sqref="C1" xr:uid="{F63331DD-7A3F-4862-958A-8F5E3610CFBA}">
      <formula1>项目类型</formula1>
    </dataValidation>
    <dataValidation type="list" allowBlank="1" showInputMessage="1" showErrorMessage="1" sqref="J47" xr:uid="{52B980DE-266F-4E4F-AC50-37AC8F06D419}">
      <formula1>"钢,钢混,砖混"</formula1>
    </dataValidation>
    <dataValidation type="list" allowBlank="1" showInputMessage="1" showErrorMessage="1" sqref="J48" xr:uid="{91ED9928-0BEA-4493-A79A-651F3C30DE89}">
      <formula1>"非生产用房,生产用房,受腐蚀的生产用房"</formula1>
    </dataValidation>
    <dataValidation type="list" allowBlank="1" showInputMessage="1" showErrorMessage="1" sqref="J56" xr:uid="{F4EF5069-F9A5-4B40-873D-7A792CDCB842}">
      <formula1>判定</formula1>
    </dataValidation>
    <dataValidation type="list" allowBlank="1" showInputMessage="1" showErrorMessage="1" sqref="L55" xr:uid="{54901C0D-2401-45A4-B8CF-CB4A1C094FD4}">
      <formula1>"比较法,基准地价,收益还原"</formula1>
    </dataValidation>
    <dataValidation type="list" allowBlank="1" showInputMessage="1" showErrorMessage="1" sqref="M10 F10 F53" xr:uid="{1176B5C7-EA54-4260-812B-7626F492497B}">
      <formula1>"押一,押二,押三,自定义"</formula1>
    </dataValidation>
    <dataValidation type="list" allowBlank="1" showInputMessage="1" showErrorMessage="1" sqref="D1" xr:uid="{4AC5B759-B0AD-441A-8E46-075567FDD20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2561</v>
      </c>
      <c r="B1" s="350"/>
      <c r="C1" s="351" t="s">
        <v>2613</v>
      </c>
      <c r="D1" s="690"/>
      <c r="E1" s="690"/>
      <c r="F1" s="689" t="s">
        <v>2460</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3" customFormat="1" ht="28.5" customHeight="1">
      <c r="A2" s="202" t="s">
        <v>2147</v>
      </c>
      <c r="B2" s="622" t="e">
        <f>F61</f>
        <v>#DIV/0!</v>
      </c>
      <c r="C2" s="1033"/>
      <c r="D2" s="1033"/>
      <c r="E2" s="1033"/>
      <c r="F2" s="1034"/>
      <c r="G2" s="1033"/>
      <c r="H2" s="1033"/>
      <c r="I2" s="1033"/>
      <c r="J2" s="1033"/>
      <c r="K2" s="1035"/>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t="e">
        <f>ROUND(IF(D3="",B2*10000/'数据-汇总表'!E3,B2*10000/D3),0)</f>
        <v>#DIV/0!</v>
      </c>
      <c r="C3" s="204" t="s">
        <v>2563</v>
      </c>
      <c r="D3" s="1348"/>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594" t="s">
        <v>2614</v>
      </c>
      <c r="D6" s="3595"/>
      <c r="E6" s="3596" t="s">
        <v>2614</v>
      </c>
      <c r="F6" s="3597"/>
      <c r="G6" s="3594" t="s">
        <v>2614</v>
      </c>
      <c r="H6" s="3595"/>
      <c r="I6" s="3594" t="s">
        <v>2614</v>
      </c>
      <c r="J6" s="3595"/>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c r="F7" s="368">
        <f>SUMIF(65:65,YEAR(E7)&amp;"-"&amp;INT((MONTH(E7)+2)/3),66:66)</f>
        <v>0</v>
      </c>
      <c r="G7" s="2152"/>
      <c r="H7" s="366">
        <f>SUMIF(65:65,YEAR(G7)&amp;"-"&amp;INT((MONTH(G7)+2)/3),66:66)</f>
        <v>0</v>
      </c>
      <c r="I7" s="2152"/>
      <c r="J7" s="366">
        <f>SUMIF(65:65,YEAR(I7)&amp;"-"&amp;INT((MONTH(I7)+2)/3),66:66)</f>
        <v>0</v>
      </c>
      <c r="K7" s="563"/>
      <c r="L7" s="2934"/>
      <c r="M7" s="2935"/>
      <c r="N7" s="2935"/>
      <c r="O7" s="2935"/>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2368</v>
      </c>
      <c r="D8" s="366">
        <v>100</v>
      </c>
      <c r="E8" s="369"/>
      <c r="F8" s="368">
        <f>SUMIF(68:68,E8,69:69)-SUMIF(68:68,C8,69:69)+100</f>
        <v>0</v>
      </c>
      <c r="G8" s="369"/>
      <c r="H8" s="366">
        <f>SUMIF(68:68,G8,69:69)-SUMIF(68:68,C8,69:69)+100</f>
        <v>0</v>
      </c>
      <c r="I8" s="369"/>
      <c r="J8" s="366">
        <f>SUMIF(68:68,I8,69:69)-SUMIF(68:68,C8,69:69)+100</f>
        <v>0</v>
      </c>
      <c r="K8" s="563"/>
      <c r="L8" s="2934"/>
      <c r="M8" s="2935"/>
      <c r="N8" s="2935"/>
      <c r="O8" s="2935"/>
      <c r="P8" s="3584" t="s">
        <v>2369</v>
      </c>
      <c r="Q8" s="3585"/>
      <c r="R8" s="705" t="s">
        <v>17</v>
      </c>
      <c r="S8" s="706">
        <f t="shared" si="0"/>
        <v>0</v>
      </c>
      <c r="T8" s="705" t="s">
        <v>17</v>
      </c>
      <c r="U8" s="706">
        <f t="shared" si="1"/>
        <v>0</v>
      </c>
      <c r="V8" s="705" t="s">
        <v>17</v>
      </c>
      <c r="W8" s="706">
        <f t="shared" si="2"/>
        <v>0</v>
      </c>
      <c r="X8" s="707"/>
      <c r="Y8" s="3584" t="s">
        <v>2369</v>
      </c>
      <c r="Z8" s="3585"/>
      <c r="AA8" s="708" t="e">
        <f t="shared" ref="AA8:AA40" si="3">D8/F8</f>
        <v>#DIV/0!</v>
      </c>
      <c r="AB8" s="708" t="e">
        <f t="shared" ref="AB8:AB40" si="4">D8/H8</f>
        <v>#DIV/0!</v>
      </c>
      <c r="AC8" s="708" t="e">
        <f t="shared" ref="AC8:AC40" si="5">D8/J8</f>
        <v>#DIV/0!</v>
      </c>
    </row>
    <row r="9" spans="1:29" s="108" customFormat="1">
      <c r="A9" s="370" t="s">
        <v>2370</v>
      </c>
      <c r="B9" s="63" t="s">
        <v>2371</v>
      </c>
      <c r="C9" s="2155"/>
      <c r="D9" s="126">
        <v>100</v>
      </c>
      <c r="E9" s="2155"/>
      <c r="F9" s="126">
        <f>SUMIF(70:70,E9,71:71)-SUMIF(70:70,C9,71:71)+100</f>
        <v>100</v>
      </c>
      <c r="G9" s="2155"/>
      <c r="H9" s="126">
        <f>SUMIF(70:70,G9,71:71)-SUMIF(70:70,C9,71:71)+100</f>
        <v>100</v>
      </c>
      <c r="I9" s="2155"/>
      <c r="J9" s="126">
        <f>SUMIF(70:70,I9,71:71)-SUMIF(70:70,C9,71:71)+100</f>
        <v>100</v>
      </c>
      <c r="K9" s="563"/>
      <c r="L9" s="2934"/>
      <c r="M9" s="2935"/>
      <c r="N9" s="2935"/>
      <c r="O9" s="2989"/>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86"/>
      <c r="D10" s="127">
        <v>100</v>
      </c>
      <c r="E10" s="386"/>
      <c r="F10" s="127">
        <f>ROUND(100/'数据-取费表'!G16,0)</f>
        <v>102</v>
      </c>
      <c r="G10" s="386"/>
      <c r="H10" s="127">
        <f>ROUND(100/'数据-取费表'!G16,0)</f>
        <v>102</v>
      </c>
      <c r="I10" s="386"/>
      <c r="J10" s="127">
        <f>ROUND(100/'数据-取费表'!G16,0)</f>
        <v>102</v>
      </c>
      <c r="K10" s="623"/>
      <c r="L10" s="2936"/>
      <c r="M10" s="2937"/>
      <c r="N10" s="2937"/>
      <c r="O10" s="2990"/>
      <c r="P10" s="3598"/>
      <c r="Q10" s="1520" t="str">
        <f t="shared" si="6"/>
        <v>土地使用年限（年）</v>
      </c>
      <c r="R10" s="705" t="s">
        <v>17</v>
      </c>
      <c r="S10" s="706">
        <f t="shared" si="0"/>
        <v>102</v>
      </c>
      <c r="T10" s="705" t="s">
        <v>17</v>
      </c>
      <c r="U10" s="706">
        <f t="shared" si="1"/>
        <v>102</v>
      </c>
      <c r="V10" s="705" t="s">
        <v>17</v>
      </c>
      <c r="W10" s="706">
        <f t="shared" si="2"/>
        <v>102</v>
      </c>
      <c r="X10" s="707"/>
      <c r="Y10" s="3522"/>
      <c r="Z10" s="53" t="str">
        <f t="shared" si="7"/>
        <v>土地使用年限（年）</v>
      </c>
      <c r="AA10" s="708">
        <f t="shared" si="3"/>
        <v>0.98039215686274506</v>
      </c>
      <c r="AB10" s="708">
        <f t="shared" si="4"/>
        <v>0.98039215686274506</v>
      </c>
      <c r="AC10" s="708">
        <f t="shared" si="5"/>
        <v>0.98039215686274506</v>
      </c>
    </row>
    <row r="11" spans="1:29" ht="15">
      <c r="A11" s="382"/>
      <c r="B11" s="376" t="s">
        <v>2375</v>
      </c>
      <c r="C11" s="383"/>
      <c r="D11" s="127">
        <v>100</v>
      </c>
      <c r="E11" s="383"/>
      <c r="F11" s="127" t="e">
        <f>LOOKUP(E11,75:75,76:76)-LOOKUP(C11,75:75,76:76)+100</f>
        <v>#N/A</v>
      </c>
      <c r="G11" s="384"/>
      <c r="H11" s="127" t="e">
        <f>LOOKUP(G11,75:75,76:76)-LOOKUP(C11,75:75,76:76)+100</f>
        <v>#N/A</v>
      </c>
      <c r="I11" s="383"/>
      <c r="J11" s="127" t="e">
        <f>LOOKUP(I11,75:75,76:76)-LOOKUP(C11,75:75,76:76)+100</f>
        <v>#N/A</v>
      </c>
      <c r="K11" s="624"/>
      <c r="L11" s="2938"/>
      <c r="M11" s="2933"/>
      <c r="N11" s="2933"/>
      <c r="O11" s="2991"/>
      <c r="P11" s="3598"/>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501"/>
      <c r="F12" s="127">
        <f>SUMIF(77:77,E12,78:78)-SUMIF(77:77,C12,78:78)+100</f>
        <v>100</v>
      </c>
      <c r="G12" s="625"/>
      <c r="H12" s="127">
        <f>SUMIF(77:77,G12,78:78)-SUMIF(77:77,C12,78:78)+100</f>
        <v>100</v>
      </c>
      <c r="I12" s="501"/>
      <c r="J12" s="127">
        <f>SUMIF(77:77,I12,78:78)-SUMIF(77:77,C12,78:78)+100</f>
        <v>100</v>
      </c>
      <c r="K12" s="623"/>
      <c r="L12" s="2934"/>
      <c r="M12" s="2935"/>
      <c r="N12" s="2935"/>
      <c r="O12" s="2989"/>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501"/>
      <c r="F13" s="127">
        <f>SUMIF(79:79,E13,80:80)-SUMIF(79:79,C13,80:80)+100</f>
        <v>100</v>
      </c>
      <c r="G13" s="625"/>
      <c r="H13" s="389">
        <f>SUMIF(79:79,G13,80:80)-SUMIF(79:79,C13,80:80)+100</f>
        <v>100</v>
      </c>
      <c r="I13" s="501"/>
      <c r="J13" s="389">
        <f>SUMIF(79:79,I13,80:80)-SUMIF(79:79,C13,80:80)+100</f>
        <v>100</v>
      </c>
      <c r="K13" s="623"/>
      <c r="L13" s="2939"/>
      <c r="M13" s="2933"/>
      <c r="N13" s="2933"/>
      <c r="O13" s="2991"/>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501"/>
      <c r="F14" s="392">
        <f>SUMIF(81:81,E14,82:82)-SUMIF(81:81,C14,82:82)+100</f>
        <v>100</v>
      </c>
      <c r="G14" s="625"/>
      <c r="H14" s="392">
        <f>SUMIF(81:81,G14,82:82)-SUMIF(81:81,C14,82:82)+100</f>
        <v>100</v>
      </c>
      <c r="I14" s="501"/>
      <c r="J14" s="392">
        <f>SUMIF(81:81,I14,82:82)-SUMIF(81:81,C14,82:82)+100</f>
        <v>100</v>
      </c>
      <c r="K14" s="623"/>
      <c r="L14" s="2939"/>
      <c r="M14" s="2933"/>
      <c r="N14" s="2933"/>
      <c r="O14" s="2991"/>
      <c r="P14" s="3598"/>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57">
      <c r="A15" s="394" t="s">
        <v>2376</v>
      </c>
      <c r="B15" s="580" t="s">
        <v>2615</v>
      </c>
      <c r="C15" s="2149"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939"/>
      <c r="M15" s="2933"/>
      <c r="N15" s="2933"/>
      <c r="O15" s="2991"/>
      <c r="P15" s="3613" t="s">
        <v>2377</v>
      </c>
      <c r="Q15" s="1529" t="str">
        <f t="shared" si="6"/>
        <v>产业集聚程度</v>
      </c>
      <c r="R15" s="709" t="s">
        <v>17</v>
      </c>
      <c r="S15" s="710">
        <f t="shared" si="0"/>
        <v>100</v>
      </c>
      <c r="T15" s="709" t="s">
        <v>17</v>
      </c>
      <c r="U15" s="710">
        <f t="shared" si="1"/>
        <v>100</v>
      </c>
      <c r="V15" s="709" t="s">
        <v>17</v>
      </c>
      <c r="W15" s="710">
        <f t="shared" si="2"/>
        <v>100</v>
      </c>
      <c r="X15" s="1532"/>
      <c r="Y15" s="3613" t="s">
        <v>2377</v>
      </c>
      <c r="Z15" s="1533" t="str">
        <f t="shared" si="7"/>
        <v>产业集聚程度</v>
      </c>
      <c r="AA15" s="1530">
        <f t="shared" si="3"/>
        <v>1</v>
      </c>
      <c r="AB15" s="1530">
        <f t="shared" si="4"/>
        <v>1</v>
      </c>
      <c r="AC15" s="1530">
        <f t="shared" si="5"/>
        <v>1</v>
      </c>
    </row>
    <row r="16" spans="1:29" ht="15">
      <c r="A16" s="382"/>
      <c r="B16" s="581"/>
      <c r="C16" s="401"/>
      <c r="D16" s="402"/>
      <c r="E16" s="2082"/>
      <c r="F16" s="402"/>
      <c r="G16" s="2082"/>
      <c r="H16" s="404"/>
      <c r="I16" s="2082"/>
      <c r="J16" s="402"/>
      <c r="K16" s="623"/>
      <c r="L16" s="2939"/>
      <c r="M16" s="2933"/>
      <c r="N16" s="2933"/>
      <c r="O16" s="2991"/>
      <c r="P16" s="3614"/>
      <c r="Q16" s="1529"/>
      <c r="R16" s="709"/>
      <c r="S16" s="710"/>
      <c r="T16" s="709"/>
      <c r="U16" s="710"/>
      <c r="V16" s="709"/>
      <c r="W16" s="710"/>
      <c r="X16" s="1532"/>
      <c r="Y16" s="3614"/>
      <c r="Z16" s="1533"/>
      <c r="AA16" s="1530">
        <v>1</v>
      </c>
      <c r="AB16" s="1530">
        <v>1</v>
      </c>
      <c r="AC16" s="1530">
        <v>1</v>
      </c>
    </row>
    <row r="17" spans="1:29" ht="85.5">
      <c r="A17" s="382"/>
      <c r="B17" s="582" t="s">
        <v>2526</v>
      </c>
      <c r="C17" s="2078"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939"/>
      <c r="M17" s="2933"/>
      <c r="N17" s="2933"/>
      <c r="O17" s="2991"/>
      <c r="P17" s="3614"/>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583"/>
      <c r="C18" s="401"/>
      <c r="D18" s="402"/>
      <c r="E18" s="2076"/>
      <c r="F18" s="402"/>
      <c r="G18" s="2076"/>
      <c r="H18" s="402"/>
      <c r="I18" s="2075"/>
      <c r="J18" s="402"/>
      <c r="K18" s="623"/>
      <c r="L18" s="2939"/>
      <c r="M18" s="2933"/>
      <c r="N18" s="2933"/>
      <c r="O18" s="2991"/>
      <c r="P18" s="3614"/>
      <c r="Q18" s="1529"/>
      <c r="R18" s="709"/>
      <c r="S18" s="710"/>
      <c r="T18" s="709"/>
      <c r="U18" s="710"/>
      <c r="V18" s="709"/>
      <c r="W18" s="710"/>
      <c r="X18" s="1532"/>
      <c r="Y18" s="3614"/>
      <c r="Z18" s="1533"/>
      <c r="AA18" s="1530">
        <v>1</v>
      </c>
      <c r="AB18" s="1530">
        <v>1</v>
      </c>
      <c r="AC18" s="1530">
        <v>1</v>
      </c>
    </row>
    <row r="19" spans="1:29" ht="15">
      <c r="A19" s="382"/>
      <c r="B19" s="582" t="s">
        <v>2565</v>
      </c>
      <c r="C19" s="2078">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939"/>
      <c r="M19" s="2933"/>
      <c r="N19" s="2933"/>
      <c r="O19" s="2991"/>
      <c r="P19" s="3614"/>
      <c r="Q19" s="1529" t="str">
        <f t="shared" ref="Q19:Q33" si="8">B19</f>
        <v>区域土地利用方向</v>
      </c>
      <c r="R19" s="709" t="s">
        <v>17</v>
      </c>
      <c r="S19" s="710">
        <f>F19</f>
        <v>100</v>
      </c>
      <c r="T19" s="709" t="s">
        <v>17</v>
      </c>
      <c r="U19" s="710">
        <f>H19</f>
        <v>100</v>
      </c>
      <c r="V19" s="709" t="s">
        <v>17</v>
      </c>
      <c r="W19" s="710">
        <f>J19</f>
        <v>100</v>
      </c>
      <c r="X19" s="1532"/>
      <c r="Y19" s="3614"/>
      <c r="Z19" s="1533" t="str">
        <f>Q19</f>
        <v>区域土地利用方向</v>
      </c>
      <c r="AA19" s="1530">
        <f t="shared" si="3"/>
        <v>1</v>
      </c>
      <c r="AB19" s="1530">
        <f t="shared" si="4"/>
        <v>1</v>
      </c>
      <c r="AC19" s="1530">
        <f t="shared" si="5"/>
        <v>1</v>
      </c>
    </row>
    <row r="20" spans="1:29" ht="15">
      <c r="A20" s="359"/>
      <c r="B20" s="583"/>
      <c r="C20" s="401"/>
      <c r="D20" s="402"/>
      <c r="E20" s="2076"/>
      <c r="F20" s="402"/>
      <c r="G20" s="2076"/>
      <c r="H20" s="402"/>
      <c r="I20" s="2076"/>
      <c r="J20" s="402"/>
      <c r="K20" s="745"/>
      <c r="L20" s="2939"/>
      <c r="M20" s="2933"/>
      <c r="N20" s="2933"/>
      <c r="O20" s="2991"/>
      <c r="P20" s="3614"/>
      <c r="Q20" s="1529"/>
      <c r="R20" s="709"/>
      <c r="S20" s="710"/>
      <c r="T20" s="709"/>
      <c r="U20" s="710"/>
      <c r="V20" s="709"/>
      <c r="W20" s="710"/>
      <c r="X20" s="1532"/>
      <c r="Y20" s="3614"/>
      <c r="Z20" s="1533"/>
      <c r="AA20" s="1530"/>
      <c r="AB20" s="1530"/>
      <c r="AC20" s="1530"/>
    </row>
    <row r="21" spans="1:29" ht="71.25">
      <c r="A21" s="359"/>
      <c r="B21" s="582" t="s">
        <v>2616</v>
      </c>
      <c r="C21" s="2078"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939"/>
      <c r="M21" s="2933"/>
      <c r="N21" s="2933"/>
      <c r="O21" s="2991"/>
      <c r="P21" s="3614"/>
      <c r="Q21" s="1529" t="str">
        <f t="shared" si="8"/>
        <v>环境状况</v>
      </c>
      <c r="R21" s="709" t="s">
        <v>17</v>
      </c>
      <c r="S21" s="710">
        <f>F21</f>
        <v>100</v>
      </c>
      <c r="T21" s="709" t="s">
        <v>17</v>
      </c>
      <c r="U21" s="710">
        <f>H21</f>
        <v>100</v>
      </c>
      <c r="V21" s="709" t="s">
        <v>17</v>
      </c>
      <c r="W21" s="710">
        <f>J21</f>
        <v>100</v>
      </c>
      <c r="X21" s="1532"/>
      <c r="Y21" s="3614"/>
      <c r="Z21" s="1533" t="str">
        <f>Q21</f>
        <v>环境状况</v>
      </c>
      <c r="AA21" s="1530">
        <f t="shared" si="3"/>
        <v>1</v>
      </c>
      <c r="AB21" s="1530">
        <f t="shared" si="4"/>
        <v>1</v>
      </c>
      <c r="AC21" s="1530">
        <f t="shared" si="5"/>
        <v>1</v>
      </c>
    </row>
    <row r="22" spans="1:29" ht="15">
      <c r="A22" s="359"/>
      <c r="B22" s="583"/>
      <c r="C22" s="401"/>
      <c r="D22" s="402"/>
      <c r="E22" s="2082"/>
      <c r="F22" s="402"/>
      <c r="G22" s="2082"/>
      <c r="H22" s="402"/>
      <c r="I22" s="401"/>
      <c r="J22" s="402"/>
      <c r="K22" s="623"/>
      <c r="L22" s="2939"/>
      <c r="M22" s="2933"/>
      <c r="N22" s="2933"/>
      <c r="O22" s="2991"/>
      <c r="P22" s="3614"/>
      <c r="Q22" s="1529"/>
      <c r="R22" s="709"/>
      <c r="S22" s="710"/>
      <c r="T22" s="709"/>
      <c r="U22" s="710"/>
      <c r="V22" s="709"/>
      <c r="W22" s="710"/>
      <c r="X22" s="1532"/>
      <c r="Y22" s="3614"/>
      <c r="Z22" s="1533"/>
      <c r="AA22" s="1530">
        <v>1</v>
      </c>
      <c r="AB22" s="1530">
        <v>1</v>
      </c>
      <c r="AC22" s="1530">
        <v>1</v>
      </c>
    </row>
    <row r="23" spans="1:29" s="108" customFormat="1" ht="42.75">
      <c r="A23" s="600"/>
      <c r="B23" s="584" t="s">
        <v>2471</v>
      </c>
      <c r="C23" s="2078"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934"/>
      <c r="M23" s="2935"/>
      <c r="N23" s="2935"/>
      <c r="O23" s="2989"/>
      <c r="P23" s="3614"/>
      <c r="Q23" s="1520" t="str">
        <f t="shared" si="8"/>
        <v>公共配套设施</v>
      </c>
      <c r="R23" s="705" t="s">
        <v>17</v>
      </c>
      <c r="S23" s="706">
        <f>F23</f>
        <v>100</v>
      </c>
      <c r="T23" s="705" t="s">
        <v>17</v>
      </c>
      <c r="U23" s="706">
        <f>H23</f>
        <v>100</v>
      </c>
      <c r="V23" s="705" t="s">
        <v>17</v>
      </c>
      <c r="W23" s="706">
        <f>J23</f>
        <v>100</v>
      </c>
      <c r="X23" s="707"/>
      <c r="Y23" s="3614"/>
      <c r="Z23" s="53" t="str">
        <f>Q23</f>
        <v>公共配套设施</v>
      </c>
      <c r="AA23" s="1530">
        <f>D23/F23</f>
        <v>1</v>
      </c>
      <c r="AB23" s="1530">
        <f>D23/H23</f>
        <v>1</v>
      </c>
      <c r="AC23" s="1530">
        <f>D23/J23</f>
        <v>1</v>
      </c>
    </row>
    <row r="24" spans="1:29" s="108" customFormat="1" ht="15">
      <c r="A24" s="600"/>
      <c r="B24" s="583"/>
      <c r="C24" s="2156"/>
      <c r="D24" s="402"/>
      <c r="E24" s="2082"/>
      <c r="F24" s="402"/>
      <c r="G24" s="2082"/>
      <c r="H24" s="402"/>
      <c r="I24" s="401"/>
      <c r="J24" s="402"/>
      <c r="K24" s="623"/>
      <c r="L24" s="2934"/>
      <c r="M24" s="2935"/>
      <c r="N24" s="2935"/>
      <c r="O24" s="2989"/>
      <c r="P24" s="3614"/>
      <c r="Q24" s="1520"/>
      <c r="R24" s="705"/>
      <c r="S24" s="706"/>
      <c r="T24" s="705"/>
      <c r="U24" s="706"/>
      <c r="V24" s="705"/>
      <c r="W24" s="706"/>
      <c r="X24" s="707"/>
      <c r="Y24" s="3614"/>
      <c r="Z24" s="53"/>
      <c r="AA24" s="708">
        <v>1</v>
      </c>
      <c r="AB24" s="708">
        <v>1</v>
      </c>
      <c r="AC24" s="708">
        <v>1</v>
      </c>
    </row>
    <row r="25" spans="1:29" s="108" customFormat="1" ht="28.5">
      <c r="A25" s="600"/>
      <c r="B25" s="584" t="s">
        <v>2472</v>
      </c>
      <c r="C25" s="2078"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934"/>
      <c r="M25" s="2935"/>
      <c r="N25" s="2935"/>
      <c r="O25" s="2989"/>
      <c r="P25" s="3614"/>
      <c r="Q25" s="1520" t="str">
        <f t="shared" ref="Q25" si="9">B25</f>
        <v>基础设施水平</v>
      </c>
      <c r="R25" s="705" t="s">
        <v>17</v>
      </c>
      <c r="S25" s="706">
        <f>F25</f>
        <v>100</v>
      </c>
      <c r="T25" s="705" t="s">
        <v>17</v>
      </c>
      <c r="U25" s="706">
        <f>H25</f>
        <v>100</v>
      </c>
      <c r="V25" s="705" t="s">
        <v>17</v>
      </c>
      <c r="W25" s="706">
        <f>J25</f>
        <v>100</v>
      </c>
      <c r="X25" s="707"/>
      <c r="Y25" s="3614"/>
      <c r="Z25" s="53" t="str">
        <f>Q25</f>
        <v>基础设施水平</v>
      </c>
      <c r="AA25" s="1530">
        <f>D25/F25</f>
        <v>1</v>
      </c>
      <c r="AB25" s="1530">
        <f>D25/H25</f>
        <v>1</v>
      </c>
      <c r="AC25" s="1530">
        <f>D25/J25</f>
        <v>1</v>
      </c>
    </row>
    <row r="26" spans="1:29" s="108" customFormat="1" ht="15">
      <c r="A26" s="600"/>
      <c r="B26" s="583"/>
      <c r="C26" s="2156"/>
      <c r="D26" s="402"/>
      <c r="E26" s="2157"/>
      <c r="F26" s="402"/>
      <c r="G26" s="2157"/>
      <c r="H26" s="402"/>
      <c r="I26" s="2157"/>
      <c r="J26" s="402"/>
      <c r="K26" s="623"/>
      <c r="L26" s="2934"/>
      <c r="M26" s="2935"/>
      <c r="N26" s="2935"/>
      <c r="O26" s="2989"/>
      <c r="P26" s="3614"/>
      <c r="Q26" s="1520"/>
      <c r="R26" s="705"/>
      <c r="S26" s="706"/>
      <c r="T26" s="705"/>
      <c r="U26" s="706"/>
      <c r="V26" s="705"/>
      <c r="W26" s="706"/>
      <c r="X26" s="707"/>
      <c r="Y26" s="3614"/>
      <c r="Z26" s="53"/>
      <c r="AA26" s="708">
        <v>1</v>
      </c>
      <c r="AB26" s="708">
        <v>1</v>
      </c>
      <c r="AC26" s="708">
        <v>1</v>
      </c>
    </row>
    <row r="27" spans="1:29" ht="15">
      <c r="A27" s="382"/>
      <c r="B27" s="583" t="s">
        <v>2473</v>
      </c>
      <c r="C27" s="568"/>
      <c r="D27" s="389">
        <v>100</v>
      </c>
      <c r="E27" s="585"/>
      <c r="F27" s="389">
        <f>SUMIF(95:95,E27,96:96)-SUMIF(95:95,C27,96:96)+100</f>
        <v>100</v>
      </c>
      <c r="G27" s="585"/>
      <c r="H27" s="389">
        <f>SUMIF(95:95,G27,96:96)-SUMIF(95:95,C27,96:96)+100</f>
        <v>100</v>
      </c>
      <c r="I27" s="585"/>
      <c r="J27" s="389">
        <f>SUMIF(95:95,I27,96:96)-SUMIF(95:95,C27,96:96)+100</f>
        <v>100</v>
      </c>
      <c r="K27" s="624"/>
      <c r="L27" s="2939"/>
      <c r="M27" s="2933"/>
      <c r="N27" s="2933"/>
      <c r="O27" s="2991"/>
      <c r="P27" s="3614"/>
      <c r="Q27" s="1529" t="str">
        <f t="shared" si="8"/>
        <v>临街状况</v>
      </c>
      <c r="R27" s="709" t="s">
        <v>17</v>
      </c>
      <c r="S27" s="710">
        <f t="shared" ref="S27:S40" si="10">F27</f>
        <v>100</v>
      </c>
      <c r="T27" s="709" t="s">
        <v>17</v>
      </c>
      <c r="U27" s="710">
        <f t="shared" ref="U27:U40" si="11">H27</f>
        <v>100</v>
      </c>
      <c r="V27" s="709" t="s">
        <v>17</v>
      </c>
      <c r="W27" s="710">
        <f t="shared" ref="W27:W40" si="12">J27</f>
        <v>100</v>
      </c>
      <c r="X27" s="1532"/>
      <c r="Y27" s="3614"/>
      <c r="Z27" s="1533" t="str">
        <f t="shared" ref="Z27:Z40" si="13">Q27</f>
        <v>临街状况</v>
      </c>
      <c r="AA27" s="1530">
        <f t="shared" si="3"/>
        <v>1</v>
      </c>
      <c r="AB27" s="1530">
        <f t="shared" si="4"/>
        <v>1</v>
      </c>
      <c r="AC27" s="1530">
        <f t="shared" si="5"/>
        <v>1</v>
      </c>
    </row>
    <row r="28" spans="1:29" ht="27">
      <c r="A28" s="382"/>
      <c r="B28" s="584" t="s">
        <v>2508</v>
      </c>
      <c r="C28" s="2169">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939"/>
      <c r="M28" s="2933"/>
      <c r="N28" s="2933"/>
      <c r="O28" s="2991"/>
      <c r="P28" s="3614"/>
      <c r="Q28" s="1529" t="str">
        <f t="shared" si="8"/>
        <v>毗邻道路的类型与等级</v>
      </c>
      <c r="R28" s="709" t="s">
        <v>17</v>
      </c>
      <c r="S28" s="710">
        <f t="shared" si="10"/>
        <v>100</v>
      </c>
      <c r="T28" s="709" t="s">
        <v>17</v>
      </c>
      <c r="U28" s="710">
        <f t="shared" si="11"/>
        <v>100</v>
      </c>
      <c r="V28" s="709" t="s">
        <v>17</v>
      </c>
      <c r="W28" s="710">
        <f t="shared" si="12"/>
        <v>100</v>
      </c>
      <c r="X28" s="1532"/>
      <c r="Y28" s="3614"/>
      <c r="Z28" s="1533" t="str">
        <f t="shared" si="13"/>
        <v>毗邻道路的类型与等级</v>
      </c>
      <c r="AA28" s="1530">
        <f t="shared" si="3"/>
        <v>1</v>
      </c>
      <c r="AB28" s="1530">
        <f t="shared" si="4"/>
        <v>1</v>
      </c>
      <c r="AC28" s="1530">
        <f t="shared" si="5"/>
        <v>1</v>
      </c>
    </row>
    <row r="29" spans="1:29" ht="15">
      <c r="A29" s="382"/>
      <c r="B29" s="583"/>
      <c r="C29" s="401"/>
      <c r="D29" s="402"/>
      <c r="E29" s="2082"/>
      <c r="F29" s="402"/>
      <c r="G29" s="2082"/>
      <c r="H29" s="402"/>
      <c r="I29" s="2082"/>
      <c r="J29" s="402"/>
      <c r="K29" s="565"/>
      <c r="L29" s="2939"/>
      <c r="M29" s="2933"/>
      <c r="N29" s="2933"/>
      <c r="O29" s="2991"/>
      <c r="P29" s="3614"/>
      <c r="Q29" s="1529"/>
      <c r="R29" s="709"/>
      <c r="S29" s="710"/>
      <c r="T29" s="709"/>
      <c r="U29" s="710"/>
      <c r="V29" s="709"/>
      <c r="W29" s="710"/>
      <c r="X29" s="1532"/>
      <c r="Y29" s="3614"/>
      <c r="Z29" s="1533"/>
      <c r="AA29" s="1530">
        <v>1</v>
      </c>
      <c r="AB29" s="1530">
        <v>1</v>
      </c>
      <c r="AC29" s="1530">
        <v>1</v>
      </c>
    </row>
    <row r="30" spans="1:29" ht="15">
      <c r="A30" s="382"/>
      <c r="B30" s="605" t="s">
        <v>2567</v>
      </c>
      <c r="C30" s="1292">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939"/>
      <c r="M30" s="2933"/>
      <c r="N30" s="2933"/>
      <c r="O30" s="2991"/>
      <c r="P30" s="3614"/>
      <c r="Q30" s="1529" t="str">
        <f t="shared" si="8"/>
        <v>土地级别</v>
      </c>
      <c r="R30" s="709" t="s">
        <v>17</v>
      </c>
      <c r="S30" s="710">
        <f t="shared" si="10"/>
        <v>100</v>
      </c>
      <c r="T30" s="709" t="s">
        <v>17</v>
      </c>
      <c r="U30" s="710">
        <f t="shared" si="11"/>
        <v>100</v>
      </c>
      <c r="V30" s="709" t="s">
        <v>17</v>
      </c>
      <c r="W30" s="710">
        <f t="shared" si="12"/>
        <v>100</v>
      </c>
      <c r="X30" s="1532"/>
      <c r="Y30" s="3614"/>
      <c r="Z30" s="1533" t="str">
        <f t="shared" si="13"/>
        <v>土地级别</v>
      </c>
      <c r="AA30" s="1530">
        <f t="shared" si="3"/>
        <v>1</v>
      </c>
      <c r="AB30" s="1530">
        <f t="shared" si="4"/>
        <v>1</v>
      </c>
      <c r="AC30" s="1530">
        <f t="shared" si="5"/>
        <v>1</v>
      </c>
    </row>
    <row r="31" spans="1:29" ht="15">
      <c r="A31" s="359"/>
      <c r="B31" s="2144">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939"/>
      <c r="M31" s="2933"/>
      <c r="N31" s="2933"/>
      <c r="O31" s="2991"/>
      <c r="P31" s="3614"/>
      <c r="Q31" s="1529">
        <f t="shared" si="8"/>
        <v>111</v>
      </c>
      <c r="R31" s="709" t="s">
        <v>17</v>
      </c>
      <c r="S31" s="710">
        <f t="shared" si="10"/>
        <v>100</v>
      </c>
      <c r="T31" s="709" t="s">
        <v>17</v>
      </c>
      <c r="U31" s="710">
        <f t="shared" si="11"/>
        <v>100</v>
      </c>
      <c r="V31" s="709" t="s">
        <v>17</v>
      </c>
      <c r="W31" s="710">
        <f t="shared" si="12"/>
        <v>100</v>
      </c>
      <c r="X31" s="1532"/>
      <c r="Y31" s="3614"/>
      <c r="Z31" s="1533">
        <f t="shared" si="13"/>
        <v>111</v>
      </c>
      <c r="AA31" s="1530">
        <f t="shared" si="3"/>
        <v>1</v>
      </c>
      <c r="AB31" s="1530">
        <f t="shared" si="4"/>
        <v>1</v>
      </c>
      <c r="AC31" s="1530">
        <f t="shared" si="5"/>
        <v>1</v>
      </c>
    </row>
    <row r="32" spans="1:29" ht="15">
      <c r="A32" s="626"/>
      <c r="B32" s="2170">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939"/>
      <c r="M32" s="2933"/>
      <c r="N32" s="2933"/>
      <c r="O32" s="2991"/>
      <c r="P32" s="3615" t="s">
        <v>2382</v>
      </c>
      <c r="Q32" s="1529">
        <f t="shared" si="8"/>
        <v>111</v>
      </c>
      <c r="R32" s="709" t="s">
        <v>17</v>
      </c>
      <c r="S32" s="710">
        <f t="shared" si="10"/>
        <v>100</v>
      </c>
      <c r="T32" s="709" t="s">
        <v>17</v>
      </c>
      <c r="U32" s="710">
        <f t="shared" si="11"/>
        <v>100</v>
      </c>
      <c r="V32" s="709" t="s">
        <v>17</v>
      </c>
      <c r="W32" s="710">
        <f t="shared" si="12"/>
        <v>100</v>
      </c>
      <c r="X32" s="1532"/>
      <c r="Y32" s="3616" t="s">
        <v>2382</v>
      </c>
      <c r="Z32" s="1533">
        <f t="shared" si="13"/>
        <v>111</v>
      </c>
      <c r="AA32" s="1530">
        <f t="shared" si="3"/>
        <v>1</v>
      </c>
      <c r="AB32" s="1530">
        <f t="shared" si="4"/>
        <v>1</v>
      </c>
      <c r="AC32" s="1530">
        <f t="shared" si="5"/>
        <v>1</v>
      </c>
    </row>
    <row r="33" spans="1:31" s="425" customFormat="1" ht="15.75" thickBot="1">
      <c r="A33" s="627"/>
      <c r="B33" s="2171">
        <v>111</v>
      </c>
      <c r="C33" s="629"/>
      <c r="D33" s="128">
        <v>100</v>
      </c>
      <c r="E33" s="652"/>
      <c r="F33" s="392">
        <f>SUMIF(105:105,E33,106:106)-SUMIF(105:105,C33,106:106)+100</f>
        <v>100</v>
      </c>
      <c r="G33" s="652"/>
      <c r="H33" s="392">
        <f>SUMIF(105:105,G33,106:106)-SUMIF(105:105,C33,106:106)+100</f>
        <v>100</v>
      </c>
      <c r="I33" s="629"/>
      <c r="J33" s="392">
        <f>SUMIF(105:105,I33,106:106)-SUMIF(105:105,C33,106:106)+100</f>
        <v>100</v>
      </c>
      <c r="K33" s="565"/>
      <c r="L33" s="2938"/>
      <c r="M33" s="2940"/>
      <c r="N33" s="2940"/>
      <c r="O33" s="2992"/>
      <c r="P33" s="3616"/>
      <c r="Q33" s="1529">
        <f t="shared" si="8"/>
        <v>111</v>
      </c>
      <c r="R33" s="712" t="s">
        <v>17</v>
      </c>
      <c r="S33" s="713">
        <f t="shared" si="10"/>
        <v>100</v>
      </c>
      <c r="T33" s="712" t="s">
        <v>17</v>
      </c>
      <c r="U33" s="713">
        <f t="shared" si="11"/>
        <v>100</v>
      </c>
      <c r="V33" s="712" t="s">
        <v>17</v>
      </c>
      <c r="W33" s="713">
        <f t="shared" si="12"/>
        <v>100</v>
      </c>
      <c r="X33" s="714"/>
      <c r="Y33" s="3616"/>
      <c r="Z33" s="715">
        <f t="shared" si="13"/>
        <v>111</v>
      </c>
      <c r="AA33" s="1530">
        <f t="shared" si="3"/>
        <v>1</v>
      </c>
      <c r="AB33" s="1530">
        <f t="shared" si="4"/>
        <v>1</v>
      </c>
      <c r="AC33" s="1530">
        <f t="shared" si="5"/>
        <v>1</v>
      </c>
    </row>
    <row r="34" spans="1:31" ht="15">
      <c r="A34" s="394" t="s">
        <v>2380</v>
      </c>
      <c r="B34" s="410" t="s">
        <v>2568</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939"/>
      <c r="M34" s="2933"/>
      <c r="N34" s="2933"/>
      <c r="O34" s="2991"/>
      <c r="P34" s="3616"/>
      <c r="Q34" s="1529" t="str">
        <f>B34</f>
        <v>宗地面积</v>
      </c>
      <c r="R34" s="709" t="s">
        <v>17</v>
      </c>
      <c r="S34" s="710" t="e">
        <f t="shared" si="10"/>
        <v>#N/A</v>
      </c>
      <c r="T34" s="709" t="s">
        <v>17</v>
      </c>
      <c r="U34" s="710" t="e">
        <f t="shared" si="11"/>
        <v>#N/A</v>
      </c>
      <c r="V34" s="709" t="s">
        <v>17</v>
      </c>
      <c r="W34" s="710" t="e">
        <f t="shared" si="12"/>
        <v>#N/A</v>
      </c>
      <c r="X34" s="1532"/>
      <c r="Y34" s="3616"/>
      <c r="Z34" s="1533" t="str">
        <f t="shared" si="13"/>
        <v>宗地面积</v>
      </c>
      <c r="AA34" s="1530" t="e">
        <f t="shared" si="3"/>
        <v>#N/A</v>
      </c>
      <c r="AB34" s="1530" t="e">
        <f t="shared" si="4"/>
        <v>#N/A</v>
      </c>
      <c r="AC34" s="1530" t="e">
        <f t="shared" si="5"/>
        <v>#N/A</v>
      </c>
    </row>
    <row r="35" spans="1:31" ht="15">
      <c r="A35" s="426"/>
      <c r="B35" s="376" t="s">
        <v>2569</v>
      </c>
      <c r="C35" s="2084"/>
      <c r="D35" s="389">
        <v>100</v>
      </c>
      <c r="E35" s="2084"/>
      <c r="F35" s="389">
        <f>SUMIF(110:110,E35,111:111)-SUMIF(110:110,C35,111:111)+100</f>
        <v>100</v>
      </c>
      <c r="G35" s="2084"/>
      <c r="H35" s="389">
        <f>SUMIF(110:110,G35,111:111)-SUMIF(110:110,C35,111:111)+100</f>
        <v>100</v>
      </c>
      <c r="I35" s="2084"/>
      <c r="J35" s="389">
        <f>SUMIF(110:110,I35,111:111)-SUMIF(110:110,C35,111:111)+100</f>
        <v>100</v>
      </c>
      <c r="K35" s="564"/>
      <c r="L35" s="2939"/>
      <c r="M35" s="2933"/>
      <c r="N35" s="2933"/>
      <c r="O35" s="2991"/>
      <c r="P35" s="3616"/>
      <c r="Q35" s="1529" t="str">
        <f t="shared" ref="Q35:Q40" si="14">B35</f>
        <v>宗地形状</v>
      </c>
      <c r="R35" s="709" t="s">
        <v>17</v>
      </c>
      <c r="S35" s="710">
        <f t="shared" si="10"/>
        <v>100</v>
      </c>
      <c r="T35" s="709" t="s">
        <v>17</v>
      </c>
      <c r="U35" s="710">
        <f t="shared" si="11"/>
        <v>100</v>
      </c>
      <c r="V35" s="709" t="s">
        <v>17</v>
      </c>
      <c r="W35" s="710">
        <f t="shared" si="12"/>
        <v>100</v>
      </c>
      <c r="X35" s="1532"/>
      <c r="Y35" s="3616"/>
      <c r="Z35" s="1533" t="str">
        <f t="shared" si="13"/>
        <v>宗地形状</v>
      </c>
      <c r="AA35" s="1530">
        <f t="shared" si="3"/>
        <v>1</v>
      </c>
      <c r="AB35" s="1530">
        <f t="shared" si="4"/>
        <v>1</v>
      </c>
      <c r="AC35" s="1530">
        <f t="shared" si="5"/>
        <v>1</v>
      </c>
    </row>
    <row r="36" spans="1:31" s="108" customFormat="1" ht="15">
      <c r="A36" s="427"/>
      <c r="B36" s="376" t="s">
        <v>2571</v>
      </c>
      <c r="C36" s="2158"/>
      <c r="D36" s="127">
        <v>100</v>
      </c>
      <c r="E36" s="2158"/>
      <c r="F36" s="389">
        <f>SUMIF(112:112,E36,113:113)-SUMIF(112:112,C36,113:113)+100</f>
        <v>100</v>
      </c>
      <c r="G36" s="2158"/>
      <c r="H36" s="389">
        <f>SUMIF(112:112,G36,113:113)-SUMIF(112:112,C36,113:113)+100</f>
        <v>100</v>
      </c>
      <c r="I36" s="2158"/>
      <c r="J36" s="389">
        <f>SUMIF(112:112,I36,113:113)-SUMIF(112:112,C36,113:113)+100</f>
        <v>100</v>
      </c>
      <c r="K36" s="564"/>
      <c r="L36" s="2934"/>
      <c r="M36" s="2935"/>
      <c r="N36" s="2935"/>
      <c r="O36" s="2989"/>
      <c r="P36" s="3616"/>
      <c r="Q36" s="1529" t="str">
        <f t="shared" si="14"/>
        <v>宗地开发程度</v>
      </c>
      <c r="R36" s="705" t="s">
        <v>17</v>
      </c>
      <c r="S36" s="706">
        <f t="shared" si="10"/>
        <v>100</v>
      </c>
      <c r="T36" s="705" t="s">
        <v>17</v>
      </c>
      <c r="U36" s="706">
        <f t="shared" si="11"/>
        <v>100</v>
      </c>
      <c r="V36" s="705" t="s">
        <v>17</v>
      </c>
      <c r="W36" s="706">
        <f t="shared" si="12"/>
        <v>100</v>
      </c>
      <c r="X36" s="707"/>
      <c r="Y36" s="3616"/>
      <c r="Z36" s="53" t="str">
        <f t="shared" si="13"/>
        <v>宗地开发程度</v>
      </c>
      <c r="AA36" s="708">
        <f t="shared" si="3"/>
        <v>1</v>
      </c>
      <c r="AB36" s="708">
        <f t="shared" si="4"/>
        <v>1</v>
      </c>
      <c r="AC36" s="708">
        <f t="shared" si="5"/>
        <v>1</v>
      </c>
    </row>
    <row r="37" spans="1:31" ht="15">
      <c r="A37" s="426"/>
      <c r="B37" s="376" t="s">
        <v>2572</v>
      </c>
      <c r="C37" s="2084"/>
      <c r="D37" s="389">
        <v>100</v>
      </c>
      <c r="E37" s="2084"/>
      <c r="F37" s="389">
        <f>SUMIF(114:114,E37,115:115)-SUMIF(114:114,C37,115:115)+100</f>
        <v>100</v>
      </c>
      <c r="G37" s="2084"/>
      <c r="H37" s="389">
        <f>SUMIF(114:114,G37,115:115)-SUMIF(114:114,C37,115:115)+100</f>
        <v>100</v>
      </c>
      <c r="I37" s="2084"/>
      <c r="J37" s="389">
        <f>SUMIF(114:114,I37,115:115)-SUMIF(114:114,C37,115:115)+100</f>
        <v>100</v>
      </c>
      <c r="K37" s="564"/>
      <c r="L37" s="2939"/>
      <c r="M37" s="2933"/>
      <c r="N37" s="2933"/>
      <c r="O37" s="2991"/>
      <c r="P37" s="3616" t="s">
        <v>2382</v>
      </c>
      <c r="Q37" s="1529" t="str">
        <f t="shared" si="14"/>
        <v>工程地质条件</v>
      </c>
      <c r="R37" s="709" t="s">
        <v>17</v>
      </c>
      <c r="S37" s="710">
        <f t="shared" si="10"/>
        <v>100</v>
      </c>
      <c r="T37" s="709" t="s">
        <v>17</v>
      </c>
      <c r="U37" s="710">
        <f t="shared" si="11"/>
        <v>100</v>
      </c>
      <c r="V37" s="709" t="s">
        <v>17</v>
      </c>
      <c r="W37" s="710">
        <f t="shared" si="12"/>
        <v>100</v>
      </c>
      <c r="X37" s="1532"/>
      <c r="Y37" s="3616" t="s">
        <v>2382</v>
      </c>
      <c r="Z37" s="1533" t="str">
        <f t="shared" si="13"/>
        <v>工程地质条件</v>
      </c>
      <c r="AA37" s="1530">
        <f t="shared" si="3"/>
        <v>1</v>
      </c>
      <c r="AB37" s="1530">
        <f t="shared" si="4"/>
        <v>1</v>
      </c>
      <c r="AC37" s="1530">
        <f t="shared" si="5"/>
        <v>1</v>
      </c>
    </row>
    <row r="38" spans="1:31" ht="15">
      <c r="A38" s="426"/>
      <c r="B38" s="1290">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939"/>
      <c r="M38" s="2933"/>
      <c r="N38" s="2933"/>
      <c r="O38" s="2991"/>
      <c r="P38" s="3616"/>
      <c r="Q38" s="1529">
        <f t="shared" si="14"/>
        <v>111</v>
      </c>
      <c r="R38" s="709" t="s">
        <v>17</v>
      </c>
      <c r="S38" s="710">
        <f t="shared" si="10"/>
        <v>100</v>
      </c>
      <c r="T38" s="709" t="s">
        <v>17</v>
      </c>
      <c r="U38" s="710">
        <f t="shared" si="11"/>
        <v>100</v>
      </c>
      <c r="V38" s="709" t="s">
        <v>17</v>
      </c>
      <c r="W38" s="710">
        <f t="shared" si="12"/>
        <v>100</v>
      </c>
      <c r="X38" s="1532"/>
      <c r="Y38" s="3616"/>
      <c r="Z38" s="1533">
        <f t="shared" si="13"/>
        <v>111</v>
      </c>
      <c r="AA38" s="1530">
        <f t="shared" si="3"/>
        <v>1</v>
      </c>
      <c r="AB38" s="1530">
        <f t="shared" si="4"/>
        <v>1</v>
      </c>
      <c r="AC38" s="1530">
        <f t="shared" si="5"/>
        <v>1</v>
      </c>
    </row>
    <row r="39" spans="1:31" ht="15">
      <c r="A39" s="426"/>
      <c r="B39" s="1290">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939"/>
      <c r="M39" s="2933"/>
      <c r="N39" s="2933"/>
      <c r="O39" s="2991"/>
      <c r="P39" s="3616"/>
      <c r="Q39" s="1529">
        <f t="shared" si="14"/>
        <v>111</v>
      </c>
      <c r="R39" s="709" t="s">
        <v>17</v>
      </c>
      <c r="S39" s="710">
        <f t="shared" si="10"/>
        <v>100</v>
      </c>
      <c r="T39" s="709" t="s">
        <v>17</v>
      </c>
      <c r="U39" s="710">
        <f t="shared" si="11"/>
        <v>100</v>
      </c>
      <c r="V39" s="709" t="s">
        <v>17</v>
      </c>
      <c r="W39" s="710">
        <f t="shared" si="12"/>
        <v>100</v>
      </c>
      <c r="X39" s="1532"/>
      <c r="Y39" s="3616"/>
      <c r="Z39" s="1533">
        <f t="shared" si="13"/>
        <v>111</v>
      </c>
      <c r="AA39" s="1530">
        <f t="shared" si="3"/>
        <v>1</v>
      </c>
      <c r="AB39" s="1530">
        <f t="shared" si="4"/>
        <v>1</v>
      </c>
      <c r="AC39" s="1530">
        <f t="shared" si="5"/>
        <v>1</v>
      </c>
    </row>
    <row r="40" spans="1:31" s="425" customFormat="1" ht="15.75" thickBot="1">
      <c r="A40" s="422"/>
      <c r="B40" s="1290">
        <v>111</v>
      </c>
      <c r="C40" s="2159"/>
      <c r="D40" s="128">
        <v>100</v>
      </c>
      <c r="E40" s="625"/>
      <c r="F40" s="392">
        <f>SUMIF(120:120,E40,121:121)-SUMIF(120:120,C40,121:121)+100</f>
        <v>100</v>
      </c>
      <c r="G40" s="625"/>
      <c r="H40" s="392">
        <f>SUMIF(120:120,G40,121:121)-SUMIF(120:120,C40,121:121)+100</f>
        <v>100</v>
      </c>
      <c r="I40" s="501"/>
      <c r="J40" s="392">
        <f>SUMIF(120:120,I40,121:121)-SUMIF(120:120,C40,121:121)+100</f>
        <v>100</v>
      </c>
      <c r="K40" s="632"/>
      <c r="L40" s="2938"/>
      <c r="M40" s="2940"/>
      <c r="N40" s="2940"/>
      <c r="O40" s="2992"/>
      <c r="P40" s="3616"/>
      <c r="Q40" s="1529">
        <f t="shared" si="14"/>
        <v>111</v>
      </c>
      <c r="R40" s="712" t="s">
        <v>17</v>
      </c>
      <c r="S40" s="713">
        <f t="shared" si="10"/>
        <v>100</v>
      </c>
      <c r="T40" s="712" t="s">
        <v>17</v>
      </c>
      <c r="U40" s="713">
        <f t="shared" si="11"/>
        <v>100</v>
      </c>
      <c r="V40" s="712" t="s">
        <v>17</v>
      </c>
      <c r="W40" s="713">
        <f t="shared" si="12"/>
        <v>100</v>
      </c>
      <c r="X40" s="714"/>
      <c r="Y40" s="3616"/>
      <c r="Z40" s="715">
        <f t="shared" si="13"/>
        <v>111</v>
      </c>
      <c r="AA40" s="1530">
        <f t="shared" si="3"/>
        <v>1</v>
      </c>
      <c r="AB40" s="1530">
        <f t="shared" si="4"/>
        <v>1</v>
      </c>
      <c r="AC40" s="1530">
        <f t="shared" si="5"/>
        <v>1</v>
      </c>
    </row>
    <row r="41" spans="1:31" ht="15">
      <c r="A41" s="433" t="s">
        <v>2537</v>
      </c>
      <c r="B41" s="2160" t="s">
        <v>2617</v>
      </c>
      <c r="C41" s="633" t="s">
        <v>1</v>
      </c>
      <c r="D41" s="435"/>
      <c r="E41" s="436"/>
      <c r="F41" s="437"/>
      <c r="G41" s="438"/>
      <c r="H41" s="439"/>
      <c r="I41" s="436"/>
      <c r="J41" s="439"/>
      <c r="K41" s="718"/>
      <c r="L41" s="2941"/>
      <c r="M41" s="2933"/>
      <c r="N41" s="2933"/>
      <c r="O41" s="2942"/>
      <c r="P41" s="3598" t="str">
        <f>A41</f>
        <v>成交单价</v>
      </c>
      <c r="Q41" s="3598"/>
      <c r="R41" s="3611">
        <f>E41</f>
        <v>0</v>
      </c>
      <c r="S41" s="3611"/>
      <c r="T41" s="3611">
        <f>G41</f>
        <v>0</v>
      </c>
      <c r="U41" s="3611"/>
      <c r="V41" s="3611">
        <f>I41</f>
        <v>0</v>
      </c>
      <c r="W41" s="3611"/>
      <c r="X41" s="694"/>
      <c r="Y41" s="716"/>
      <c r="Z41" s="694"/>
      <c r="AA41" s="694"/>
      <c r="AB41" s="694"/>
      <c r="AC41" s="694"/>
    </row>
    <row r="42" spans="1:31" ht="15.75" thickBot="1">
      <c r="A42" s="440" t="s">
        <v>2486</v>
      </c>
      <c r="B42" s="634"/>
      <c r="C42" s="443" t="e">
        <f>R43</f>
        <v>#DIV/0!</v>
      </c>
      <c r="D42" s="2530" t="s">
        <v>2877</v>
      </c>
      <c r="E42" s="443" t="e">
        <f>R42</f>
        <v>#DIV/0!</v>
      </c>
      <c r="F42" s="2531"/>
      <c r="G42" s="442" t="e">
        <f>T42</f>
        <v>#DIV/0!</v>
      </c>
      <c r="H42" s="2531"/>
      <c r="I42" s="443" t="e">
        <f>V42</f>
        <v>#DIV/0!</v>
      </c>
      <c r="J42" s="2531"/>
      <c r="K42" s="2533">
        <f>F42+H42+J42</f>
        <v>0</v>
      </c>
      <c r="L42" s="2941"/>
      <c r="M42" s="2933"/>
      <c r="N42" s="2933"/>
      <c r="O42" s="2942"/>
      <c r="P42" s="3598" t="str">
        <f>A42</f>
        <v>比较价值（元/平方米）</v>
      </c>
      <c r="Q42" s="3598"/>
      <c r="R42" s="3617" t="e">
        <f>ROUND(PRODUCT(R41,AA7:AA40),0)</f>
        <v>#DIV/0!</v>
      </c>
      <c r="S42" s="3617"/>
      <c r="T42" s="3617" t="e">
        <f>ROUND(PRODUCT(T41,AB7:AB40),0)</f>
        <v>#DIV/0!</v>
      </c>
      <c r="U42" s="3617"/>
      <c r="V42" s="3617" t="e">
        <f>ROUND(PRODUCT(V41,AC7:AC40),0)</f>
        <v>#DIV/0!</v>
      </c>
      <c r="W42" s="3617"/>
      <c r="X42" s="694"/>
      <c r="Y42" s="694"/>
      <c r="Z42" s="694"/>
      <c r="AA42" s="694"/>
      <c r="AB42" s="694"/>
      <c r="AC42" s="694"/>
    </row>
    <row r="43" spans="1:31" ht="15.75" thickBot="1">
      <c r="A43" s="444" t="s">
        <v>2487</v>
      </c>
      <c r="B43" s="445"/>
      <c r="C43" s="446" t="e">
        <f>R43</f>
        <v>#DIV/0!</v>
      </c>
      <c r="D43" s="446"/>
      <c r="E43" s="446"/>
      <c r="F43" s="446"/>
      <c r="G43" s="446"/>
      <c r="H43" s="446"/>
      <c r="I43" s="446"/>
      <c r="J43" s="446"/>
      <c r="K43" s="719"/>
      <c r="L43" s="2941"/>
      <c r="M43" s="2933"/>
      <c r="N43" s="2933"/>
      <c r="O43" s="2942"/>
      <c r="P43" s="3618" t="str">
        <f>A43</f>
        <v>估价对象XX用房的比较价值（楼面单价，元/平方米）</v>
      </c>
      <c r="Q43" s="3619"/>
      <c r="R43" s="3620" t="e">
        <f>ROUND(IF(D42="简单平均",AVERAGE(R42:W42),R42*F42+T42*H42+V42*J42),0)</f>
        <v>#DIV/0!</v>
      </c>
      <c r="S43" s="3620"/>
      <c r="T43" s="3620"/>
      <c r="U43" s="3620"/>
      <c r="V43" s="3620"/>
      <c r="W43" s="3620"/>
      <c r="X43" s="694"/>
      <c r="Y43" s="694"/>
      <c r="Z43" s="694"/>
      <c r="AA43" s="694"/>
      <c r="AB43" s="694"/>
      <c r="AC43" s="694"/>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49" t="s">
        <v>2488</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49" t="s">
        <v>2489</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4" customFormat="1" ht="13.5" customHeight="1">
      <c r="A48" s="2945"/>
      <c r="B48" s="2945"/>
      <c r="C48" s="449" t="s">
        <v>2490</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4" customFormat="1" ht="15" thickBot="1">
      <c r="A49" s="2945"/>
      <c r="B49" s="2948"/>
      <c r="C49" s="697"/>
      <c r="D49" s="695"/>
      <c r="E49" s="695"/>
      <c r="F49" s="695"/>
      <c r="G49" s="695"/>
      <c r="H49" s="695"/>
      <c r="I49" s="695"/>
      <c r="J49" s="695"/>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5" t="s">
        <v>2575</v>
      </c>
      <c r="B50" s="636" t="s">
        <v>2576</v>
      </c>
      <c r="C50" s="2161" t="s">
        <v>2577</v>
      </c>
      <c r="D50" s="2162" t="s">
        <v>2578</v>
      </c>
      <c r="E50" s="637" t="s">
        <v>2579</v>
      </c>
      <c r="F50" s="638" t="s">
        <v>2580</v>
      </c>
      <c r="G50" s="3599" t="s">
        <v>2581</v>
      </c>
      <c r="H50" s="3621"/>
      <c r="I50" s="1533" t="s">
        <v>2618</v>
      </c>
      <c r="J50" s="1533">
        <f>项目基本情况!F35</f>
        <v>0</v>
      </c>
      <c r="K50" s="2164" t="s">
        <v>2583</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3" customFormat="1">
      <c r="A51" s="639" t="s">
        <v>2584</v>
      </c>
      <c r="B51" s="640" t="e">
        <f>C43</f>
        <v>#DIV/0!</v>
      </c>
      <c r="C51" s="641">
        <v>1</v>
      </c>
      <c r="D51" s="1069">
        <v>1</v>
      </c>
      <c r="E51" s="641">
        <f>'数据-汇总表'!E8+'数据-汇总表'!E9</f>
        <v>49983.53</v>
      </c>
      <c r="F51" s="642" t="e">
        <f t="shared" ref="F51:F60" si="15">ROUND(B51*E51/10000,0)</f>
        <v>#DIV/0!</v>
      </c>
      <c r="G51" s="3622"/>
      <c r="H51" s="3598"/>
      <c r="I51" s="873">
        <v>1</v>
      </c>
      <c r="J51" s="873">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3" customFormat="1">
      <c r="A52" s="644" t="s">
        <v>2585</v>
      </c>
      <c r="B52" s="219" t="e">
        <f>ROUND($C$43*C52*D52,0)</f>
        <v>#DIV/0!</v>
      </c>
      <c r="C52" s="171">
        <f t="shared" ref="C52:C60" si="16">IF($C$50="北京市系数",I52,J52)</f>
        <v>0.6</v>
      </c>
      <c r="D52" s="1070">
        <v>0.25</v>
      </c>
      <c r="E52" s="645"/>
      <c r="F52" s="642" t="e">
        <f t="shared" si="15"/>
        <v>#DIV/0!</v>
      </c>
      <c r="G52" s="3623" t="s">
        <v>2586</v>
      </c>
      <c r="H52" s="1012" t="str">
        <f>项目基本情况!B37</f>
        <v>八级</v>
      </c>
      <c r="I52" s="873">
        <f>SUMIF(修正!A45:A56,H52,修正!B45:B56)</f>
        <v>0.6</v>
      </c>
      <c r="J52" s="874"/>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3" customFormat="1">
      <c r="A53" s="644" t="s">
        <v>2587</v>
      </c>
      <c r="B53" s="219" t="e">
        <f t="shared" ref="B53:B60" si="17">ROUND($C$43*C53*D53,0)</f>
        <v>#DIV/0!</v>
      </c>
      <c r="C53" s="171">
        <f t="shared" si="16"/>
        <v>0.3</v>
      </c>
      <c r="D53" s="1070">
        <v>0.25</v>
      </c>
      <c r="E53" s="645"/>
      <c r="F53" s="642" t="e">
        <f t="shared" si="15"/>
        <v>#DIV/0!</v>
      </c>
      <c r="G53" s="3623"/>
      <c r="H53" s="1012" t="str">
        <f>项目基本情况!B37</f>
        <v>八级</v>
      </c>
      <c r="I53" s="873">
        <f>SUMIF(修正!A45:A56,H53,修正!C45:C56)</f>
        <v>0.3</v>
      </c>
      <c r="J53" s="874"/>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3" customFormat="1">
      <c r="A54" s="644" t="s">
        <v>2588</v>
      </c>
      <c r="B54" s="219" t="e">
        <f t="shared" si="17"/>
        <v>#DIV/0!</v>
      </c>
      <c r="C54" s="171">
        <f t="shared" si="16"/>
        <v>0.2</v>
      </c>
      <c r="D54" s="1070">
        <v>0.25</v>
      </c>
      <c r="E54" s="645"/>
      <c r="F54" s="642" t="e">
        <f t="shared" si="15"/>
        <v>#DIV/0!</v>
      </c>
      <c r="G54" s="3623"/>
      <c r="H54" s="1012" t="str">
        <f>项目基本情况!B37</f>
        <v>八级</v>
      </c>
      <c r="I54" s="873">
        <f>SUMIF(修正!A45:A56,H54,修正!D45:D56)</f>
        <v>0.2</v>
      </c>
      <c r="J54" s="874"/>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3" customFormat="1">
      <c r="A55" s="644" t="s">
        <v>2589</v>
      </c>
      <c r="B55" s="219" t="e">
        <f t="shared" si="17"/>
        <v>#DIV/0!</v>
      </c>
      <c r="C55" s="171">
        <f t="shared" si="16"/>
        <v>0.2</v>
      </c>
      <c r="D55" s="1070">
        <v>0.25</v>
      </c>
      <c r="E55" s="645"/>
      <c r="F55" s="642" t="e">
        <f t="shared" si="15"/>
        <v>#DIV/0!</v>
      </c>
      <c r="G55" s="3623"/>
      <c r="H55" s="1012" t="str">
        <f>项目基本情况!B37</f>
        <v>八级</v>
      </c>
      <c r="I55" s="873">
        <f>SUMIF(修正!A45:A56,H55,修正!E45:E56)</f>
        <v>0.2</v>
      </c>
      <c r="J55" s="874"/>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3" customFormat="1">
      <c r="A56" s="644" t="s">
        <v>2590</v>
      </c>
      <c r="B56" s="219" t="e">
        <f t="shared" si="17"/>
        <v>#DIV/0!</v>
      </c>
      <c r="C56" s="171">
        <f t="shared" si="16"/>
        <v>0</v>
      </c>
      <c r="D56" s="1070">
        <v>0.25</v>
      </c>
      <c r="E56" s="218">
        <f>'数据-汇总表'!E11</f>
        <v>0</v>
      </c>
      <c r="F56" s="642" t="e">
        <f t="shared" si="15"/>
        <v>#DIV/0!</v>
      </c>
      <c r="G56" s="2165" t="s">
        <v>2591</v>
      </c>
      <c r="H56" s="1012">
        <f>项目基本情况!C37</f>
        <v>0</v>
      </c>
      <c r="I56" s="873">
        <f>SUMIF(修正!A45:A56,H56,修正!F45:F56)</f>
        <v>0</v>
      </c>
      <c r="J56" s="874"/>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3" customFormat="1">
      <c r="A57" s="644" t="s">
        <v>2592</v>
      </c>
      <c r="B57" s="219" t="e">
        <f t="shared" si="17"/>
        <v>#DIV/0!</v>
      </c>
      <c r="C57" s="171">
        <f t="shared" si="16"/>
        <v>0</v>
      </c>
      <c r="D57" s="1070">
        <v>0.25</v>
      </c>
      <c r="E57" s="218">
        <f>'数据-汇总表'!E12</f>
        <v>25280.489999999998</v>
      </c>
      <c r="F57" s="642" t="e">
        <f t="shared" si="15"/>
        <v>#DIV/0!</v>
      </c>
      <c r="G57" s="1017" t="s">
        <v>2593</v>
      </c>
      <c r="H57" s="1012">
        <f>IF(G57="商业",项目基本情况!B37,IF(G57="办公",项目基本情况!C37,IF(G57="住宅",项目基本情况!D37,项目基本情况!E37)))</f>
        <v>0</v>
      </c>
      <c r="I57" s="873">
        <f>SUMIF(修正!A45:A56,H57,修正!G45:G56)</f>
        <v>0</v>
      </c>
      <c r="J57" s="874"/>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3" customFormat="1">
      <c r="A58" s="644" t="s">
        <v>2594</v>
      </c>
      <c r="B58" s="219" t="e">
        <f t="shared" si="17"/>
        <v>#DIV/0!</v>
      </c>
      <c r="C58" s="171">
        <f t="shared" si="16"/>
        <v>0.15</v>
      </c>
      <c r="D58" s="1070">
        <v>0.25</v>
      </c>
      <c r="E58" s="218">
        <f>'数据-汇总表'!E13</f>
        <v>10771.04</v>
      </c>
      <c r="F58" s="642" t="e">
        <f t="shared" si="15"/>
        <v>#DIV/0!</v>
      </c>
      <c r="G58" s="1017" t="s">
        <v>2595</v>
      </c>
      <c r="H58" s="1012" t="str">
        <f>IF(G58="商业",项目基本情况!B37,IF(G58="办公",项目基本情况!C37,IF(G58="住宅",项目基本情况!D37,项目基本情况!E37)))</f>
        <v>八级</v>
      </c>
      <c r="I58" s="873">
        <f>SUMIF(修正!A45:A56,H58,修正!H45:H56)</f>
        <v>0.15</v>
      </c>
      <c r="J58" s="874"/>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3" customFormat="1">
      <c r="A59" s="644" t="s">
        <v>2596</v>
      </c>
      <c r="B59" s="219" t="e">
        <f t="shared" si="17"/>
        <v>#DIV/0!</v>
      </c>
      <c r="C59" s="171">
        <f t="shared" si="16"/>
        <v>0.15</v>
      </c>
      <c r="D59" s="1070">
        <v>0.25</v>
      </c>
      <c r="E59" s="218">
        <f>'数据-汇总表'!E14</f>
        <v>0</v>
      </c>
      <c r="F59" s="642" t="e">
        <f t="shared" si="15"/>
        <v>#DIV/0!</v>
      </c>
      <c r="G59" s="2165" t="s">
        <v>2586</v>
      </c>
      <c r="H59" s="1012" t="str">
        <f>项目基本情况!B37</f>
        <v>八级</v>
      </c>
      <c r="I59" s="873">
        <f>SUMIF(修正!A45:A56,H59,修正!H45:H56)</f>
        <v>0.15</v>
      </c>
      <c r="J59" s="874"/>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3" customFormat="1" ht="15" thickBot="1">
      <c r="A60" s="644" t="s">
        <v>2597</v>
      </c>
      <c r="B60" s="219" t="e">
        <f t="shared" si="17"/>
        <v>#DIV/0!</v>
      </c>
      <c r="C60" s="171">
        <f t="shared" si="16"/>
        <v>0</v>
      </c>
      <c r="D60" s="1070">
        <v>0.25</v>
      </c>
      <c r="E60" s="218">
        <f>'数据-汇总表'!E15</f>
        <v>0</v>
      </c>
      <c r="F60" s="642" t="e">
        <f t="shared" si="15"/>
        <v>#DIV/0!</v>
      </c>
      <c r="G60" s="2166" t="s">
        <v>2591</v>
      </c>
      <c r="H60" s="1022">
        <f>项目基本情况!C37</f>
        <v>0</v>
      </c>
      <c r="I60" s="873">
        <f>SUMIF(修正!A45:A56,H60,修正!H45:H56)</f>
        <v>0</v>
      </c>
      <c r="J60" s="874"/>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3" customFormat="1" ht="15" thickBot="1">
      <c r="A61" s="646" t="s">
        <v>2598</v>
      </c>
      <c r="B61" s="647" t="s">
        <v>28</v>
      </c>
      <c r="C61" s="647" t="s">
        <v>29</v>
      </c>
      <c r="D61" s="647" t="s">
        <v>997</v>
      </c>
      <c r="E61" s="647">
        <f>IF(B41="楼面地价",SUM(E51:E60),'数据-汇总表'!D3)</f>
        <v>35230.35</v>
      </c>
      <c r="F61" s="648" t="e">
        <f>IF(B41="楼面地价",SUM(F51:F60),ROUND(C43*E61/10000,0))</f>
        <v>#DIV/0!</v>
      </c>
      <c r="G61" s="1064"/>
      <c r="H61" s="1064"/>
      <c r="I61" s="1064"/>
      <c r="J61" s="1064"/>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2"/>
      <c r="B62" s="1054"/>
      <c r="C62" s="1056"/>
      <c r="D62" s="1052"/>
      <c r="E62" s="1052"/>
      <c r="F62" s="1052"/>
      <c r="G62" s="1052"/>
      <c r="H62" s="1052"/>
      <c r="I62" s="1052"/>
      <c r="J62" s="1052"/>
      <c r="K62" s="1013"/>
      <c r="L62" s="1014"/>
      <c r="M62" s="1052"/>
      <c r="N62" s="1052"/>
      <c r="O62" s="1052"/>
      <c r="P62" s="2942"/>
      <c r="Q62" s="2942"/>
      <c r="R62" s="2942"/>
      <c r="S62" s="2942"/>
      <c r="T62" s="2942"/>
      <c r="U62" s="2942"/>
      <c r="V62" s="2942"/>
      <c r="W62" s="2942"/>
      <c r="X62" s="2942"/>
      <c r="Y62" s="2942"/>
      <c r="Z62" s="2942"/>
      <c r="AA62" s="2942"/>
      <c r="AB62" s="2942"/>
      <c r="AC62" s="2942"/>
      <c r="AD62" s="2942"/>
      <c r="AE62" s="2942"/>
    </row>
    <row r="63" spans="1:31">
      <c r="A63" s="1052"/>
      <c r="B63" s="1054"/>
      <c r="C63" s="696" t="str">
        <f>YEAR(C7)&amp;"-"&amp;MONTH(C7)&amp;"-1"</f>
        <v>2022-1-1</v>
      </c>
      <c r="D63" s="696">
        <f>EDATE(C63,-3)</f>
        <v>44470</v>
      </c>
      <c r="E63" s="696">
        <f>EDATE(D63,-3)</f>
        <v>44378</v>
      </c>
      <c r="F63" s="696">
        <f t="shared" ref="F63:O63" si="18">EDATE(E63,-3)</f>
        <v>44287</v>
      </c>
      <c r="G63" s="696">
        <f t="shared" si="18"/>
        <v>44197</v>
      </c>
      <c r="H63" s="696">
        <f t="shared" si="18"/>
        <v>44105</v>
      </c>
      <c r="I63" s="696">
        <f t="shared" si="18"/>
        <v>44013</v>
      </c>
      <c r="J63" s="696">
        <f t="shared" si="18"/>
        <v>43922</v>
      </c>
      <c r="K63" s="696">
        <f t="shared" si="18"/>
        <v>43831</v>
      </c>
      <c r="L63" s="696">
        <f t="shared" si="18"/>
        <v>43739</v>
      </c>
      <c r="M63" s="696">
        <f t="shared" si="18"/>
        <v>43647</v>
      </c>
      <c r="N63" s="696">
        <f t="shared" si="18"/>
        <v>43556</v>
      </c>
      <c r="O63" s="696">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698" t="s">
        <v>2491</v>
      </c>
      <c r="B64" s="694"/>
      <c r="C64" s="699"/>
      <c r="D64" s="699"/>
      <c r="E64" s="699"/>
      <c r="F64" s="700"/>
      <c r="G64" s="700"/>
      <c r="H64" s="699"/>
      <c r="I64" s="699"/>
      <c r="J64" s="699"/>
      <c r="K64" s="701"/>
      <c r="L64" s="702"/>
      <c r="M64" s="699"/>
      <c r="N64" s="699"/>
      <c r="O64" s="1065"/>
      <c r="P64" s="2986"/>
      <c r="Q64" s="2956"/>
      <c r="R64" s="2942"/>
      <c r="S64" s="2942"/>
      <c r="T64" s="2942"/>
      <c r="U64" s="2942"/>
      <c r="V64" s="2942"/>
      <c r="W64" s="2942"/>
      <c r="X64" s="2942"/>
      <c r="Y64" s="2942"/>
      <c r="Z64" s="2942"/>
      <c r="AA64" s="2942"/>
      <c r="AB64" s="2942"/>
      <c r="AC64" s="2942"/>
      <c r="AD64" s="2942"/>
      <c r="AE64" s="2942"/>
    </row>
    <row r="65" spans="1:31" s="460" customFormat="1" ht="15">
      <c r="A65" s="2167" t="s">
        <v>2599</v>
      </c>
      <c r="B65" s="1263"/>
      <c r="C65" s="1337" t="str">
        <f>YEAR(C63)&amp;"-"&amp;ROUNDUP(MONTH(C63)/3,0)</f>
        <v>2022-1</v>
      </c>
      <c r="D65" s="1337" t="str">
        <f t="shared" ref="D65:O65" si="19">YEAR(D63)&amp;"-"&amp;ROUNDUP(MONTH(D63)/3,0)</f>
        <v>2021-4</v>
      </c>
      <c r="E65" s="1337" t="str">
        <f t="shared" si="19"/>
        <v>2021-3</v>
      </c>
      <c r="F65" s="1337" t="str">
        <f t="shared" si="19"/>
        <v>2021-2</v>
      </c>
      <c r="G65" s="1337" t="str">
        <f t="shared" si="19"/>
        <v>2021-1</v>
      </c>
      <c r="H65" s="1337" t="str">
        <f t="shared" si="19"/>
        <v>2020-4</v>
      </c>
      <c r="I65" s="1337" t="str">
        <f t="shared" si="19"/>
        <v>2020-3</v>
      </c>
      <c r="J65" s="1337" t="str">
        <f t="shared" si="19"/>
        <v>2020-2</v>
      </c>
      <c r="K65" s="1337" t="str">
        <f t="shared" si="19"/>
        <v>2020-1</v>
      </c>
      <c r="L65" s="1337" t="str">
        <f t="shared" si="19"/>
        <v>2019-4</v>
      </c>
      <c r="M65" s="1337" t="str">
        <f t="shared" si="19"/>
        <v>2019-3</v>
      </c>
      <c r="N65" s="1337" t="str">
        <f t="shared" si="19"/>
        <v>2019-2</v>
      </c>
      <c r="O65" s="1337" t="str">
        <f t="shared" si="19"/>
        <v>2019-1</v>
      </c>
      <c r="P65" s="2993"/>
      <c r="Q65" s="2958"/>
      <c r="R65" s="2958"/>
      <c r="S65" s="2958"/>
      <c r="T65" s="2958"/>
      <c r="U65" s="2958"/>
      <c r="V65" s="2958"/>
      <c r="W65" s="2958"/>
      <c r="X65" s="2958"/>
      <c r="Y65" s="2958"/>
      <c r="Z65" s="2958"/>
      <c r="AA65" s="2958"/>
      <c r="AB65" s="2958"/>
      <c r="AC65" s="2958"/>
      <c r="AD65" s="2958"/>
      <c r="AE65" s="2958"/>
    </row>
    <row r="66" spans="1:31" s="108" customFormat="1" ht="30.75" customHeight="1">
      <c r="A66" s="2172" t="s">
        <v>2619</v>
      </c>
      <c r="B66" s="289" t="str">
        <f>"北京市平均增长率"&amp;TEXT(基准地价修正!P24,"0.00%")</f>
        <v>北京市平均增长率0.00%</v>
      </c>
      <c r="C66" s="555">
        <v>100</v>
      </c>
      <c r="D66" s="547"/>
      <c r="E66" s="547"/>
      <c r="F66" s="547"/>
      <c r="G66" s="547"/>
      <c r="H66" s="547"/>
      <c r="I66" s="547"/>
      <c r="J66" s="547"/>
      <c r="K66" s="547"/>
      <c r="L66" s="547"/>
      <c r="M66" s="1334"/>
      <c r="N66" s="1334"/>
      <c r="O66" s="1335"/>
      <c r="P66" s="2956"/>
      <c r="Q66" s="2877"/>
      <c r="R66" s="2877"/>
      <c r="S66" s="2877"/>
      <c r="T66" s="2877"/>
      <c r="U66" s="2877"/>
      <c r="V66" s="2877"/>
      <c r="W66" s="2877"/>
      <c r="X66" s="2877"/>
      <c r="Y66" s="2877"/>
      <c r="Z66" s="2877"/>
      <c r="AA66" s="2877"/>
      <c r="AB66" s="2877"/>
      <c r="AC66" s="2877"/>
      <c r="AD66" s="2877"/>
      <c r="AE66" s="2877"/>
    </row>
    <row r="67" spans="1:31" s="108" customFormat="1" ht="15.75" thickBot="1">
      <c r="A67" s="467" t="s">
        <v>2402</v>
      </c>
      <c r="B67" s="468"/>
      <c r="C67" s="469"/>
      <c r="D67" s="470"/>
      <c r="E67" s="470"/>
      <c r="F67" s="470"/>
      <c r="G67" s="470"/>
      <c r="H67" s="470"/>
      <c r="I67" s="470"/>
      <c r="J67" s="470"/>
      <c r="K67" s="470"/>
      <c r="L67" s="470"/>
      <c r="M67" s="471"/>
      <c r="N67" s="471"/>
      <c r="O67" s="472"/>
      <c r="P67" s="2956"/>
      <c r="Q67" s="2956"/>
      <c r="R67" s="2877"/>
      <c r="S67" s="2877"/>
      <c r="T67" s="2877"/>
      <c r="U67" s="2877"/>
      <c r="V67" s="2877"/>
      <c r="W67" s="2877"/>
      <c r="X67" s="2877"/>
      <c r="Y67" s="2877"/>
      <c r="Z67" s="2877"/>
      <c r="AA67" s="2877"/>
      <c r="AB67" s="2877"/>
      <c r="AC67" s="2877"/>
      <c r="AD67" s="2877"/>
      <c r="AE67" s="2877"/>
    </row>
    <row r="68" spans="1:31" s="108" customFormat="1" ht="15">
      <c r="A68" s="473" t="s">
        <v>2367</v>
      </c>
      <c r="B68" s="462"/>
      <c r="C68" s="474" t="s">
        <v>2469</v>
      </c>
      <c r="D68" s="475"/>
      <c r="E68" s="475"/>
      <c r="F68" s="475"/>
      <c r="G68" s="475"/>
      <c r="H68" s="475"/>
      <c r="I68" s="475"/>
      <c r="J68" s="475"/>
      <c r="K68" s="475"/>
      <c r="L68" s="476"/>
      <c r="M68" s="477"/>
      <c r="N68" s="2969"/>
      <c r="O68" s="2969"/>
      <c r="P68" s="2994"/>
      <c r="Q68" s="2956"/>
      <c r="R68" s="2877"/>
      <c r="S68" s="2877"/>
      <c r="T68" s="2877"/>
      <c r="U68" s="2877"/>
      <c r="V68" s="2877"/>
      <c r="W68" s="2877"/>
      <c r="X68" s="2877"/>
      <c r="Y68" s="2877"/>
      <c r="Z68" s="2877"/>
      <c r="AA68" s="2877"/>
      <c r="AB68" s="2877"/>
      <c r="AC68" s="2877"/>
      <c r="AD68" s="2877"/>
      <c r="AE68" s="2877"/>
    </row>
    <row r="69" spans="1:31" s="108" customFormat="1" ht="15.75" thickBot="1">
      <c r="A69" s="473"/>
      <c r="B69" s="462"/>
      <c r="C69" s="590">
        <v>100</v>
      </c>
      <c r="D69" s="464"/>
      <c r="E69" s="464"/>
      <c r="F69" s="464"/>
      <c r="G69" s="464"/>
      <c r="H69" s="464"/>
      <c r="I69" s="464"/>
      <c r="J69" s="464"/>
      <c r="K69" s="464"/>
      <c r="L69" s="464"/>
      <c r="M69" s="466"/>
      <c r="N69" s="2969"/>
      <c r="O69" s="2969"/>
      <c r="P69" s="2956"/>
      <c r="Q69" s="2956"/>
      <c r="R69" s="2877"/>
      <c r="S69" s="2877"/>
      <c r="T69" s="2877"/>
      <c r="U69" s="2877"/>
      <c r="V69" s="2877"/>
      <c r="W69" s="2877"/>
      <c r="X69" s="2877"/>
      <c r="Y69" s="2877"/>
      <c r="Z69" s="2877"/>
      <c r="AA69" s="2877"/>
      <c r="AB69" s="2877"/>
      <c r="AC69" s="2877"/>
      <c r="AD69" s="2877"/>
      <c r="AE69" s="2877"/>
    </row>
    <row r="70" spans="1:31">
      <c r="A70" s="479" t="s">
        <v>2405</v>
      </c>
      <c r="B70" s="480" t="s">
        <v>2371</v>
      </c>
      <c r="C70" s="482"/>
      <c r="D70" s="482"/>
      <c r="E70" s="482"/>
      <c r="F70" s="482"/>
      <c r="G70" s="482"/>
      <c r="H70" s="482"/>
      <c r="I70" s="482"/>
      <c r="J70" s="482"/>
      <c r="K70" s="483"/>
      <c r="L70" s="484"/>
      <c r="M70" s="485"/>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86"/>
      <c r="B71" s="487"/>
      <c r="C71" s="488"/>
      <c r="D71" s="488"/>
      <c r="E71" s="488"/>
      <c r="F71" s="488"/>
      <c r="G71" s="488"/>
      <c r="H71" s="488"/>
      <c r="I71" s="488"/>
      <c r="J71" s="488"/>
      <c r="K71" s="488"/>
      <c r="L71" s="488"/>
      <c r="M71" s="489"/>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86"/>
      <c r="B72" s="490" t="s">
        <v>2374</v>
      </c>
      <c r="C72" s="491"/>
      <c r="D72" s="491"/>
      <c r="E72" s="491"/>
      <c r="F72" s="491"/>
      <c r="G72" s="491"/>
      <c r="H72" s="491"/>
      <c r="I72" s="491"/>
      <c r="J72" s="491"/>
      <c r="K72" s="492"/>
      <c r="L72" s="493"/>
      <c r="M72" s="494"/>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86"/>
      <c r="B73" s="495"/>
      <c r="C73" s="496"/>
      <c r="D73" s="496"/>
      <c r="E73" s="496"/>
      <c r="F73" s="496"/>
      <c r="G73" s="496"/>
      <c r="H73" s="496"/>
      <c r="I73" s="496"/>
      <c r="J73" s="496"/>
      <c r="K73" s="496"/>
      <c r="L73" s="496"/>
      <c r="M73" s="497"/>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86"/>
      <c r="B74" s="498" t="s">
        <v>2375</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86"/>
      <c r="B75" s="500"/>
      <c r="C75" s="501"/>
      <c r="D75" s="501"/>
      <c r="E75" s="501"/>
      <c r="F75" s="501"/>
      <c r="G75" s="501"/>
      <c r="H75" s="501"/>
      <c r="I75" s="501"/>
      <c r="J75" s="501"/>
      <c r="K75" s="502"/>
      <c r="L75" s="503"/>
      <c r="M75" s="504"/>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25" customFormat="1" ht="15.75" thickTop="1">
      <c r="A77" s="505"/>
      <c r="B77" s="490">
        <f>B12</f>
        <v>111</v>
      </c>
      <c r="C77" s="506"/>
      <c r="D77" s="506"/>
      <c r="E77" s="506"/>
      <c r="F77" s="506"/>
      <c r="G77" s="506"/>
      <c r="H77" s="507"/>
      <c r="I77" s="507"/>
      <c r="J77" s="507"/>
      <c r="K77" s="507"/>
      <c r="L77" s="508"/>
      <c r="M77" s="509"/>
      <c r="N77" s="2972"/>
      <c r="O77" s="2972"/>
      <c r="P77" s="2996"/>
      <c r="Q77" s="2963"/>
      <c r="R77" s="2964"/>
      <c r="S77" s="2964"/>
      <c r="T77" s="2964"/>
      <c r="U77" s="2964"/>
      <c r="V77" s="2964"/>
      <c r="W77" s="2964"/>
      <c r="X77" s="2964"/>
      <c r="Y77" s="2964"/>
      <c r="Z77" s="2964"/>
      <c r="AA77" s="2964"/>
      <c r="AB77" s="2964"/>
      <c r="AC77" s="2964"/>
      <c r="AD77" s="2964"/>
      <c r="AE77" s="2964"/>
    </row>
    <row r="78" spans="1:31" s="425" customFormat="1" ht="15.75" thickBot="1">
      <c r="A78" s="505"/>
      <c r="B78" s="495"/>
      <c r="C78" s="512"/>
      <c r="D78" s="488"/>
      <c r="E78" s="488"/>
      <c r="F78" s="488"/>
      <c r="G78" s="488"/>
      <c r="H78" s="488"/>
      <c r="I78" s="488"/>
      <c r="J78" s="488"/>
      <c r="K78" s="488"/>
      <c r="L78" s="488"/>
      <c r="M78" s="489"/>
      <c r="N78" s="2971"/>
      <c r="O78" s="2971"/>
      <c r="P78" s="2996"/>
      <c r="Q78" s="2963"/>
      <c r="R78" s="2964"/>
      <c r="S78" s="2964"/>
      <c r="T78" s="2964"/>
      <c r="U78" s="2964"/>
      <c r="V78" s="2964"/>
      <c r="W78" s="2964"/>
      <c r="X78" s="2964"/>
      <c r="Y78" s="2964"/>
      <c r="Z78" s="2964"/>
      <c r="AA78" s="2964"/>
      <c r="AB78" s="2964"/>
      <c r="AC78" s="2964"/>
      <c r="AD78" s="2964"/>
      <c r="AE78" s="2964"/>
    </row>
    <row r="79" spans="1:31" s="425" customFormat="1" ht="15.75" thickTop="1">
      <c r="A79" s="505"/>
      <c r="B79" s="490">
        <f>B13</f>
        <v>111</v>
      </c>
      <c r="C79" s="506"/>
      <c r="D79" s="506"/>
      <c r="E79" s="506"/>
      <c r="F79" s="506"/>
      <c r="G79" s="506"/>
      <c r="H79" s="507"/>
      <c r="I79" s="507"/>
      <c r="J79" s="507"/>
      <c r="K79" s="507"/>
      <c r="L79" s="508"/>
      <c r="M79" s="509"/>
      <c r="N79" s="2972"/>
      <c r="O79" s="2972"/>
      <c r="P79" s="2940"/>
      <c r="Q79" s="2966"/>
      <c r="R79" s="2964"/>
      <c r="S79" s="2964"/>
      <c r="T79" s="2964"/>
      <c r="U79" s="2964"/>
      <c r="V79" s="2964"/>
      <c r="W79" s="2964"/>
      <c r="X79" s="2964"/>
      <c r="Y79" s="2964"/>
      <c r="Z79" s="2964"/>
      <c r="AA79" s="2964"/>
      <c r="AB79" s="2964"/>
      <c r="AC79" s="2964"/>
      <c r="AD79" s="2964"/>
      <c r="AE79" s="2964"/>
    </row>
    <row r="80" spans="1:31" s="425" customFormat="1" ht="15.75" thickBot="1">
      <c r="A80" s="505"/>
      <c r="B80" s="495"/>
      <c r="C80" s="512"/>
      <c r="D80" s="512"/>
      <c r="E80" s="512"/>
      <c r="F80" s="512"/>
      <c r="G80" s="512"/>
      <c r="H80" s="514"/>
      <c r="I80" s="514"/>
      <c r="J80" s="514"/>
      <c r="K80" s="514"/>
      <c r="L80" s="514"/>
      <c r="M80" s="515"/>
      <c r="N80" s="2972"/>
      <c r="O80" s="2972"/>
      <c r="P80" s="2996"/>
      <c r="Q80" s="2963"/>
      <c r="R80" s="2964"/>
      <c r="S80" s="2964"/>
      <c r="T80" s="2964"/>
      <c r="U80" s="2964"/>
      <c r="V80" s="2964"/>
      <c r="W80" s="2964"/>
      <c r="X80" s="2964"/>
      <c r="Y80" s="2964"/>
      <c r="Z80" s="2964"/>
      <c r="AA80" s="2964"/>
      <c r="AB80" s="2964"/>
      <c r="AC80" s="2964"/>
      <c r="AD80" s="2964"/>
      <c r="AE80" s="2964"/>
    </row>
    <row r="81" spans="1:31" s="425" customFormat="1" ht="15.75" thickTop="1">
      <c r="A81" s="505"/>
      <c r="B81" s="498">
        <f>B14</f>
        <v>111</v>
      </c>
      <c r="C81" s="475"/>
      <c r="D81" s="475"/>
      <c r="E81" s="475"/>
      <c r="F81" s="475"/>
      <c r="G81" s="475"/>
      <c r="H81" s="516"/>
      <c r="I81" s="516"/>
      <c r="J81" s="516"/>
      <c r="K81" s="516"/>
      <c r="L81" s="517"/>
      <c r="M81" s="518"/>
      <c r="N81" s="2972"/>
      <c r="O81" s="2972"/>
      <c r="P81" s="3001"/>
      <c r="Q81" s="2963"/>
      <c r="R81" s="2964"/>
      <c r="S81" s="2964"/>
      <c r="T81" s="2964"/>
      <c r="U81" s="2964"/>
      <c r="V81" s="2964"/>
      <c r="W81" s="2964"/>
      <c r="X81" s="2964"/>
      <c r="Y81" s="2964"/>
      <c r="Z81" s="2964"/>
      <c r="AA81" s="2964"/>
      <c r="AB81" s="2964"/>
      <c r="AC81" s="2964"/>
      <c r="AD81" s="2964"/>
      <c r="AE81" s="2964"/>
    </row>
    <row r="82" spans="1:31" s="425" customFormat="1" ht="15.75" thickBot="1">
      <c r="A82" s="520"/>
      <c r="B82" s="521"/>
      <c r="C82" s="522"/>
      <c r="D82" s="522"/>
      <c r="E82" s="522"/>
      <c r="F82" s="522"/>
      <c r="G82" s="522"/>
      <c r="H82" s="523"/>
      <c r="I82" s="523"/>
      <c r="J82" s="523"/>
      <c r="K82" s="523"/>
      <c r="L82" s="523"/>
      <c r="M82" s="524"/>
      <c r="N82" s="2972"/>
      <c r="O82" s="2972"/>
      <c r="P82" s="2996"/>
      <c r="Q82" s="2963"/>
      <c r="R82" s="2964"/>
      <c r="S82" s="2964"/>
      <c r="T82" s="2964"/>
      <c r="U82" s="2964"/>
      <c r="V82" s="2964"/>
      <c r="W82" s="2964"/>
      <c r="X82" s="2964"/>
      <c r="Y82" s="2964"/>
      <c r="Z82" s="2964"/>
      <c r="AA82" s="2964"/>
      <c r="AB82" s="2964"/>
      <c r="AC82" s="2964"/>
      <c r="AD82" s="2964"/>
      <c r="AE82" s="2964"/>
    </row>
    <row r="83" spans="1:31">
      <c r="A83" s="479" t="s">
        <v>2376</v>
      </c>
      <c r="B83" s="480" t="s">
        <v>2522</v>
      </c>
      <c r="C83" s="525" t="s">
        <v>2414</v>
      </c>
      <c r="D83" s="525" t="s">
        <v>2415</v>
      </c>
      <c r="E83" s="525" t="s">
        <v>2416</v>
      </c>
      <c r="F83" s="525" t="s">
        <v>2417</v>
      </c>
      <c r="G83" s="525" t="s">
        <v>2418</v>
      </c>
      <c r="H83" s="481"/>
      <c r="I83" s="481"/>
      <c r="J83" s="481"/>
      <c r="K83" s="526"/>
      <c r="L83" s="527"/>
      <c r="M83" s="528"/>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86"/>
      <c r="B85" s="490" t="s">
        <v>2419</v>
      </c>
      <c r="C85" s="530" t="s">
        <v>2414</v>
      </c>
      <c r="D85" s="530" t="s">
        <v>2415</v>
      </c>
      <c r="E85" s="530" t="s">
        <v>2416</v>
      </c>
      <c r="F85" s="530" t="s">
        <v>2417</v>
      </c>
      <c r="G85" s="530" t="s">
        <v>2418</v>
      </c>
      <c r="H85" s="491"/>
      <c r="I85" s="491"/>
      <c r="J85" s="491"/>
      <c r="K85" s="492"/>
      <c r="L85" s="493"/>
      <c r="M85" s="494"/>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971"/>
      <c r="O86" s="2971"/>
      <c r="P86" s="2995"/>
      <c r="Q86" s="2956"/>
      <c r="R86" s="2942"/>
      <c r="S86" s="2942"/>
      <c r="T86" s="2942"/>
      <c r="U86" s="2942"/>
      <c r="V86" s="2942"/>
      <c r="W86" s="2942"/>
      <c r="X86" s="2942"/>
      <c r="Y86" s="2942"/>
      <c r="Z86" s="2942"/>
      <c r="AA86" s="2942"/>
      <c r="AB86" s="2942"/>
      <c r="AC86" s="2942"/>
      <c r="AD86" s="2942"/>
      <c r="AE86" s="2942"/>
    </row>
    <row r="87" spans="1:31" s="108" customFormat="1" ht="15.75" thickTop="1">
      <c r="A87" s="531"/>
      <c r="B87" s="490" t="s">
        <v>2602</v>
      </c>
      <c r="C87" s="525" t="s">
        <v>2414</v>
      </c>
      <c r="D87" s="525" t="s">
        <v>2415</v>
      </c>
      <c r="E87" s="525" t="s">
        <v>2416</v>
      </c>
      <c r="F87" s="525" t="s">
        <v>2417</v>
      </c>
      <c r="G87" s="525" t="s">
        <v>2418</v>
      </c>
      <c r="H87" s="530"/>
      <c r="I87" s="530"/>
      <c r="J87" s="530"/>
      <c r="K87" s="530"/>
      <c r="L87" s="649"/>
      <c r="M87" s="573"/>
      <c r="N87" s="2969"/>
      <c r="O87" s="2969"/>
      <c r="P87" s="2995"/>
      <c r="Q87" s="2956"/>
      <c r="R87" s="2877"/>
      <c r="S87" s="2877"/>
      <c r="T87" s="2877"/>
      <c r="U87" s="2877"/>
      <c r="V87" s="2877"/>
      <c r="W87" s="2877"/>
      <c r="X87" s="2877"/>
      <c r="Y87" s="2877"/>
      <c r="Z87" s="2877"/>
      <c r="AA87" s="2877"/>
      <c r="AB87" s="2877"/>
      <c r="AC87" s="2877"/>
      <c r="AD87" s="2877"/>
      <c r="AE87" s="2877"/>
    </row>
    <row r="88" spans="1:31" s="108" customFormat="1" ht="15.75" thickBot="1">
      <c r="A88" s="531"/>
      <c r="B88" s="495"/>
      <c r="C88" s="534">
        <v>100</v>
      </c>
      <c r="D88" s="496">
        <f>C88-$K19</f>
        <v>100</v>
      </c>
      <c r="E88" s="496">
        <f>D88-$K19</f>
        <v>100</v>
      </c>
      <c r="F88" s="496">
        <f>E88-$K19</f>
        <v>100</v>
      </c>
      <c r="G88" s="496">
        <f>F88-$K19</f>
        <v>100</v>
      </c>
      <c r="H88" s="496"/>
      <c r="I88" s="496"/>
      <c r="J88" s="496"/>
      <c r="K88" s="496"/>
      <c r="L88" s="496"/>
      <c r="M88" s="497"/>
      <c r="N88" s="2971"/>
      <c r="O88" s="2971"/>
      <c r="P88" s="2995"/>
      <c r="Q88" s="2956"/>
      <c r="R88" s="2877"/>
      <c r="S88" s="2877"/>
      <c r="T88" s="2877"/>
      <c r="U88" s="2877"/>
      <c r="V88" s="2877"/>
      <c r="W88" s="2877"/>
      <c r="X88" s="2877"/>
      <c r="Y88" s="2877"/>
      <c r="Z88" s="2877"/>
      <c r="AA88" s="2877"/>
      <c r="AB88" s="2877"/>
      <c r="AC88" s="2877"/>
      <c r="AD88" s="2877"/>
      <c r="AE88" s="2877"/>
    </row>
    <row r="89" spans="1:31" s="108" customFormat="1" ht="27.75" thickTop="1">
      <c r="A89" s="531"/>
      <c r="B89" s="490" t="s">
        <v>2603</v>
      </c>
      <c r="C89" s="525" t="s">
        <v>2414</v>
      </c>
      <c r="D89" s="525" t="s">
        <v>2415</v>
      </c>
      <c r="E89" s="525" t="s">
        <v>2416</v>
      </c>
      <c r="F89" s="525" t="s">
        <v>2417</v>
      </c>
      <c r="G89" s="525" t="s">
        <v>2418</v>
      </c>
      <c r="H89" s="530"/>
      <c r="I89" s="530"/>
      <c r="J89" s="530"/>
      <c r="K89" s="530"/>
      <c r="L89" s="530"/>
      <c r="M89" s="573"/>
      <c r="N89" s="2969"/>
      <c r="O89" s="2969"/>
      <c r="P89" s="2995"/>
      <c r="Q89" s="2956"/>
      <c r="R89" s="2877"/>
      <c r="S89" s="2877"/>
      <c r="T89" s="2877"/>
      <c r="U89" s="2877"/>
      <c r="V89" s="2877"/>
      <c r="W89" s="2877"/>
      <c r="X89" s="2877"/>
      <c r="Y89" s="2877"/>
      <c r="Z89" s="2877"/>
      <c r="AA89" s="2877"/>
      <c r="AB89" s="2877"/>
      <c r="AC89" s="2877"/>
      <c r="AD89" s="2877"/>
      <c r="AE89" s="2877"/>
    </row>
    <row r="90" spans="1:31" s="108" customFormat="1" ht="15.75" thickBot="1">
      <c r="A90" s="531"/>
      <c r="B90" s="495"/>
      <c r="C90" s="496">
        <v>100</v>
      </c>
      <c r="D90" s="496">
        <f>C90-$K21</f>
        <v>100</v>
      </c>
      <c r="E90" s="496">
        <f>D90-$K21</f>
        <v>100</v>
      </c>
      <c r="F90" s="496">
        <f>E90-$K21</f>
        <v>100</v>
      </c>
      <c r="G90" s="496">
        <f>F90-$K21</f>
        <v>100</v>
      </c>
      <c r="H90" s="496"/>
      <c r="I90" s="496"/>
      <c r="J90" s="496"/>
      <c r="K90" s="496"/>
      <c r="L90" s="496"/>
      <c r="M90" s="497"/>
      <c r="N90" s="2971"/>
      <c r="O90" s="2971"/>
      <c r="P90" s="2995"/>
      <c r="Q90" s="2956"/>
      <c r="R90" s="2877"/>
      <c r="S90" s="2877"/>
      <c r="T90" s="2877"/>
      <c r="U90" s="2877"/>
      <c r="V90" s="2877"/>
      <c r="W90" s="2877"/>
      <c r="X90" s="2877"/>
      <c r="Y90" s="2877"/>
      <c r="Z90" s="2877"/>
      <c r="AA90" s="2877"/>
      <c r="AB90" s="2877"/>
      <c r="AC90" s="2877"/>
      <c r="AD90" s="2877"/>
      <c r="AE90" s="2877"/>
    </row>
    <row r="91" spans="1:31" s="425" customFormat="1" ht="15.75" thickTop="1">
      <c r="A91" s="505"/>
      <c r="B91" s="490" t="s">
        <v>2471</v>
      </c>
      <c r="C91" s="525" t="s">
        <v>2414</v>
      </c>
      <c r="D91" s="525" t="s">
        <v>2415</v>
      </c>
      <c r="E91" s="525" t="s">
        <v>2416</v>
      </c>
      <c r="F91" s="525" t="s">
        <v>2417</v>
      </c>
      <c r="G91" s="525" t="s">
        <v>2418</v>
      </c>
      <c r="H91" s="552"/>
      <c r="I91" s="552"/>
      <c r="J91" s="552"/>
      <c r="K91" s="552"/>
      <c r="L91" s="553"/>
      <c r="M91" s="554"/>
      <c r="N91" s="2972"/>
      <c r="O91" s="2972"/>
      <c r="P91" s="2996"/>
      <c r="Q91" s="2963"/>
      <c r="R91" s="2964"/>
      <c r="S91" s="2964"/>
      <c r="T91" s="2964"/>
      <c r="U91" s="2964"/>
      <c r="V91" s="2964"/>
      <c r="W91" s="2964"/>
      <c r="X91" s="2964"/>
      <c r="Y91" s="2964"/>
      <c r="Z91" s="2964"/>
      <c r="AA91" s="2964"/>
      <c r="AB91" s="2964"/>
      <c r="AC91" s="2964"/>
      <c r="AD91" s="2964"/>
      <c r="AE91" s="2964"/>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972"/>
      <c r="O92" s="2972"/>
      <c r="P92" s="2996"/>
      <c r="Q92" s="2963"/>
      <c r="R92" s="2964"/>
      <c r="S92" s="2964"/>
      <c r="T92" s="2964"/>
      <c r="U92" s="2964"/>
      <c r="V92" s="2964"/>
      <c r="W92" s="2964"/>
      <c r="X92" s="2964"/>
      <c r="Y92" s="2964"/>
      <c r="Z92" s="2964"/>
      <c r="AA92" s="2964"/>
      <c r="AB92" s="2964"/>
      <c r="AC92" s="2964"/>
      <c r="AD92" s="2964"/>
      <c r="AE92" s="2964"/>
    </row>
    <row r="93" spans="1:31" s="425" customFormat="1" ht="15.75" thickTop="1">
      <c r="A93" s="505"/>
      <c r="B93" s="498" t="s">
        <v>2620</v>
      </c>
      <c r="C93" s="611" t="s">
        <v>2492</v>
      </c>
      <c r="D93" s="611" t="s">
        <v>2493</v>
      </c>
      <c r="E93" s="611" t="s">
        <v>2494</v>
      </c>
      <c r="F93" s="611" t="s">
        <v>2495</v>
      </c>
      <c r="G93" s="611" t="s">
        <v>2496</v>
      </c>
      <c r="H93" s="552"/>
      <c r="I93" s="552"/>
      <c r="J93" s="552"/>
      <c r="K93" s="552"/>
      <c r="L93" s="552"/>
      <c r="M93" s="554"/>
      <c r="N93" s="2972"/>
      <c r="O93" s="2972"/>
      <c r="P93" s="2996"/>
      <c r="Q93" s="2963"/>
      <c r="R93" s="2964"/>
      <c r="S93" s="2964"/>
      <c r="T93" s="2964"/>
      <c r="U93" s="2964"/>
      <c r="V93" s="2964"/>
      <c r="W93" s="2964"/>
      <c r="X93" s="2964"/>
      <c r="Y93" s="2964"/>
      <c r="Z93" s="2964"/>
      <c r="AA93" s="2964"/>
      <c r="AB93" s="2964"/>
      <c r="AC93" s="2964"/>
      <c r="AD93" s="2964"/>
      <c r="AE93" s="2964"/>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288"/>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86"/>
      <c r="B95" s="490" t="str">
        <f>B27</f>
        <v>临街状况</v>
      </c>
      <c r="C95" s="491" t="s">
        <v>2604</v>
      </c>
      <c r="D95" s="491" t="s">
        <v>2605</v>
      </c>
      <c r="E95" s="491" t="s">
        <v>2606</v>
      </c>
      <c r="F95" s="491" t="s">
        <v>2607</v>
      </c>
      <c r="G95" s="491"/>
      <c r="H95" s="491"/>
      <c r="I95" s="491"/>
      <c r="J95" s="491"/>
      <c r="K95" s="492"/>
      <c r="L95" s="493"/>
      <c r="M95" s="494"/>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86"/>
      <c r="B97" s="490" t="s">
        <v>2508</v>
      </c>
      <c r="C97" s="506"/>
      <c r="D97" s="506"/>
      <c r="E97" s="506"/>
      <c r="F97" s="506"/>
      <c r="G97" s="506"/>
      <c r="H97" s="535"/>
      <c r="I97" s="535"/>
      <c r="J97" s="535"/>
      <c r="K97" s="536"/>
      <c r="L97" s="537"/>
      <c r="M97" s="538"/>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86"/>
      <c r="B99" s="490" t="s">
        <v>2567</v>
      </c>
      <c r="C99" s="535"/>
      <c r="D99" s="535"/>
      <c r="E99" s="535"/>
      <c r="F99" s="535"/>
      <c r="G99" s="535"/>
      <c r="H99" s="535"/>
      <c r="I99" s="535"/>
      <c r="J99" s="535"/>
      <c r="K99" s="536"/>
      <c r="L99" s="537"/>
      <c r="M99" s="538"/>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86"/>
      <c r="B101" s="498">
        <f>B31</f>
        <v>111</v>
      </c>
      <c r="C101" s="506"/>
      <c r="D101" s="506"/>
      <c r="E101" s="506"/>
      <c r="F101" s="506"/>
      <c r="G101" s="539"/>
      <c r="H101" s="539"/>
      <c r="I101" s="539"/>
      <c r="J101" s="539"/>
      <c r="K101" s="540"/>
      <c r="L101" s="541"/>
      <c r="M101" s="542"/>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86"/>
      <c r="B102" s="521"/>
      <c r="C102" s="512"/>
      <c r="D102" s="488"/>
      <c r="E102" s="488"/>
      <c r="F102" s="488"/>
      <c r="G102" s="543"/>
      <c r="H102" s="543"/>
      <c r="I102" s="543"/>
      <c r="J102" s="543"/>
      <c r="K102" s="543"/>
      <c r="L102" s="543"/>
      <c r="M102" s="544"/>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26"/>
      <c r="B103" s="490">
        <f>B32</f>
        <v>111</v>
      </c>
      <c r="C103" s="506"/>
      <c r="D103" s="506"/>
      <c r="E103" s="506"/>
      <c r="F103" s="506"/>
      <c r="G103" s="535"/>
      <c r="H103" s="535"/>
      <c r="I103" s="535"/>
      <c r="J103" s="535"/>
      <c r="K103" s="536"/>
      <c r="L103" s="537"/>
      <c r="M103" s="538"/>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86"/>
      <c r="B104" s="495"/>
      <c r="C104" s="512"/>
      <c r="D104" s="512"/>
      <c r="E104" s="512"/>
      <c r="F104" s="512"/>
      <c r="G104" s="488"/>
      <c r="H104" s="488"/>
      <c r="I104" s="488"/>
      <c r="J104" s="488"/>
      <c r="K104" s="488"/>
      <c r="L104" s="488"/>
      <c r="M104" s="489"/>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25" customFormat="1" ht="15" thickTop="1">
      <c r="A105" s="545"/>
      <c r="B105" s="546">
        <f>B33</f>
        <v>111</v>
      </c>
      <c r="C105" s="475"/>
      <c r="D105" s="475"/>
      <c r="E105" s="475"/>
      <c r="F105" s="475"/>
      <c r="G105" s="547"/>
      <c r="H105" s="547"/>
      <c r="I105" s="547"/>
      <c r="J105" s="548"/>
      <c r="K105" s="548"/>
      <c r="L105" s="549"/>
      <c r="M105" s="550"/>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25" customFormat="1" ht="15.75" thickBot="1">
      <c r="A106" s="505"/>
      <c r="B106" s="498"/>
      <c r="C106" s="522"/>
      <c r="D106" s="522"/>
      <c r="E106" s="522"/>
      <c r="F106" s="522"/>
      <c r="G106" s="628"/>
      <c r="H106" s="628"/>
      <c r="I106" s="628"/>
      <c r="J106" s="628"/>
      <c r="K106" s="628"/>
      <c r="L106" s="628"/>
      <c r="M106" s="650"/>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79" t="s">
        <v>2380</v>
      </c>
      <c r="B107" s="480" t="s">
        <v>2608</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496" t="str">
        <f t="shared" si="25"/>
        <v>(含)-</v>
      </c>
      <c r="L107" s="1496" t="str">
        <f t="shared" si="25"/>
        <v>(含)-</v>
      </c>
      <c r="M107" s="1497"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86"/>
      <c r="B108" s="498"/>
      <c r="C108" s="547"/>
      <c r="D108" s="547"/>
      <c r="E108" s="547"/>
      <c r="F108" s="547"/>
      <c r="G108" s="547"/>
      <c r="H108" s="547"/>
      <c r="I108" s="547"/>
      <c r="J108" s="548"/>
      <c r="K108" s="548"/>
      <c r="L108" s="549"/>
      <c r="M108" s="550"/>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86"/>
      <c r="B109" s="495"/>
      <c r="C109" s="522"/>
      <c r="D109" s="543"/>
      <c r="E109" s="543"/>
      <c r="F109" s="543"/>
      <c r="G109" s="543"/>
      <c r="H109" s="543"/>
      <c r="I109" s="543"/>
      <c r="J109" s="543"/>
      <c r="K109" s="543"/>
      <c r="L109" s="543"/>
      <c r="M109" s="544"/>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1"/>
      <c r="B110" s="490" t="s">
        <v>2609</v>
      </c>
      <c r="C110" s="535"/>
      <c r="D110" s="535"/>
      <c r="E110" s="535"/>
      <c r="F110" s="535"/>
      <c r="G110" s="535"/>
      <c r="H110" s="535"/>
      <c r="I110" s="535"/>
      <c r="J110" s="535"/>
      <c r="K110" s="536"/>
      <c r="L110" s="537"/>
      <c r="M110" s="538"/>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25" customFormat="1" ht="15" thickTop="1">
      <c r="A112" s="545"/>
      <c r="B112" s="490" t="s">
        <v>2611</v>
      </c>
      <c r="C112" s="506"/>
      <c r="D112" s="506"/>
      <c r="E112" s="506"/>
      <c r="F112" s="506"/>
      <c r="G112" s="506"/>
      <c r="H112" s="535"/>
      <c r="I112" s="535"/>
      <c r="J112" s="535"/>
      <c r="K112" s="536"/>
      <c r="L112" s="537"/>
      <c r="M112" s="538"/>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1"/>
      <c r="B114" s="490" t="s">
        <v>2612</v>
      </c>
      <c r="C114" s="506"/>
      <c r="D114" s="506"/>
      <c r="E114" s="535"/>
      <c r="F114" s="535"/>
      <c r="G114" s="535"/>
      <c r="H114" s="535"/>
      <c r="I114" s="535"/>
      <c r="J114" s="535"/>
      <c r="K114" s="536"/>
      <c r="L114" s="537"/>
      <c r="M114" s="538"/>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1"/>
      <c r="B116" s="490">
        <f>B38</f>
        <v>111</v>
      </c>
      <c r="C116" s="506"/>
      <c r="D116" s="506"/>
      <c r="E116" s="506"/>
      <c r="F116" s="506"/>
      <c r="G116" s="506"/>
      <c r="H116" s="535"/>
      <c r="I116" s="535"/>
      <c r="J116" s="535"/>
      <c r="K116" s="536"/>
      <c r="L116" s="537"/>
      <c r="M116" s="538"/>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86"/>
      <c r="B117" s="495"/>
      <c r="C117" s="512"/>
      <c r="D117" s="488"/>
      <c r="E117" s="488"/>
      <c r="F117" s="488"/>
      <c r="G117" s="488"/>
      <c r="H117" s="488"/>
      <c r="I117" s="488"/>
      <c r="J117" s="488"/>
      <c r="K117" s="488"/>
      <c r="L117" s="488"/>
      <c r="M117" s="489"/>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1"/>
      <c r="B118" s="490">
        <f>B39</f>
        <v>111</v>
      </c>
      <c r="C118" s="506"/>
      <c r="D118" s="506"/>
      <c r="E118" s="506"/>
      <c r="F118" s="506"/>
      <c r="G118" s="535"/>
      <c r="H118" s="535"/>
      <c r="I118" s="535"/>
      <c r="J118" s="535"/>
      <c r="K118" s="536"/>
      <c r="L118" s="537"/>
      <c r="M118" s="538"/>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86"/>
      <c r="B119" s="495"/>
      <c r="C119" s="512"/>
      <c r="D119" s="512"/>
      <c r="E119" s="512"/>
      <c r="F119" s="512"/>
      <c r="G119" s="488"/>
      <c r="H119" s="488"/>
      <c r="I119" s="488"/>
      <c r="J119" s="488"/>
      <c r="K119" s="488"/>
      <c r="L119" s="488"/>
      <c r="M119" s="489"/>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25" customFormat="1" ht="15" thickTop="1">
      <c r="A120" s="545"/>
      <c r="B120" s="490">
        <f>B40</f>
        <v>111</v>
      </c>
      <c r="C120" s="475"/>
      <c r="D120" s="475"/>
      <c r="E120" s="475"/>
      <c r="F120" s="475"/>
      <c r="G120" s="507"/>
      <c r="H120" s="507"/>
      <c r="I120" s="507"/>
      <c r="J120" s="507"/>
      <c r="K120" s="507"/>
      <c r="L120" s="508"/>
      <c r="M120" s="509"/>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25" customFormat="1" ht="15.75" thickBot="1">
      <c r="A121" s="520"/>
      <c r="B121" s="651"/>
      <c r="C121" s="522"/>
      <c r="D121" s="522"/>
      <c r="E121" s="522"/>
      <c r="F121" s="522"/>
      <c r="G121" s="543"/>
      <c r="H121" s="543"/>
      <c r="I121" s="543"/>
      <c r="J121" s="543"/>
      <c r="K121" s="543"/>
      <c r="L121" s="543"/>
      <c r="M121" s="544"/>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C00-000000000000}">
      <formula1>单价内涵</formula1>
    </dataValidation>
    <dataValidation type="list" allowBlank="1" showInputMessage="1" showErrorMessage="1" sqref="C22 E22 G22 I22" xr:uid="{00000000-0002-0000-2C00-000001000000}">
      <formula1>环境</formula1>
    </dataValidation>
    <dataValidation type="list" allowBlank="1" showInputMessage="1" showErrorMessage="1" sqref="E18 C18 G18 I18" xr:uid="{00000000-0002-0000-2C00-000002000000}">
      <formula1>交通便捷度</formula1>
    </dataValidation>
    <dataValidation type="list" allowBlank="1" showInputMessage="1" showErrorMessage="1" sqref="E24 C24 G24 I24" xr:uid="{00000000-0002-0000-2C00-000003000000}">
      <formula1>公共配套设施</formula1>
    </dataValidation>
    <dataValidation type="list" allowBlank="1" showInputMessage="1" showErrorMessage="1" sqref="C8 E8 G8 I8" xr:uid="{00000000-0002-0000-2C00-000004000000}">
      <formula1>套工交易情况</formula1>
    </dataValidation>
    <dataValidation type="list" allowBlank="1" showInputMessage="1" showErrorMessage="1" sqref="C9 E9 G9 I9" xr:uid="{00000000-0002-0000-2C00-000005000000}">
      <formula1>套工用途</formula1>
    </dataValidation>
    <dataValidation type="list" allowBlank="1" showInputMessage="1" showErrorMessage="1" sqref="I30 E30 G30" xr:uid="{00000000-0002-0000-2C00-000006000000}">
      <formula1>套工土地级别</formula1>
    </dataValidation>
    <dataValidation type="list" allowBlank="1" showInputMessage="1" showErrorMessage="1" sqref="C27 E27 G27 I27" xr:uid="{00000000-0002-0000-2C00-000007000000}">
      <formula1>临街状况</formula1>
    </dataValidation>
    <dataValidation type="list" allowBlank="1" showInputMessage="1" showErrorMessage="1" sqref="E20 G20 I20 C20" xr:uid="{00000000-0002-0000-2C00-000008000000}">
      <formula1>区域土地利用方向</formula1>
    </dataValidation>
    <dataValidation type="list" allowBlank="1" showInputMessage="1" showErrorMessage="1" sqref="C50" xr:uid="{00000000-0002-0000-2C00-000009000000}">
      <formula1>"北京市系数,其他省市系数"</formula1>
    </dataValidation>
    <dataValidation type="list" allowBlank="1" showInputMessage="1" showErrorMessage="1" sqref="C16 E16 G16 I16" xr:uid="{00000000-0002-0000-2C00-00000A000000}">
      <formula1>产业集聚程度</formula1>
    </dataValidation>
    <dataValidation type="list" allowBlank="1" showInputMessage="1" showErrorMessage="1" sqref="C29 E29 G29 I29" xr:uid="{00000000-0002-0000-2C00-00000B000000}">
      <formula1>套工道路等级</formula1>
    </dataValidation>
    <dataValidation type="list" allowBlank="1" showInputMessage="1" showErrorMessage="1" sqref="C35 E35 G35 I35" xr:uid="{00000000-0002-0000-2C00-00000C000000}">
      <formula1>套工宗地形状</formula1>
    </dataValidation>
    <dataValidation type="list" allowBlank="1" showInputMessage="1" showErrorMessage="1" sqref="C36 E36 G36 I36" xr:uid="{00000000-0002-0000-2C00-00000D000000}">
      <formula1>套工宗地开发程度</formula1>
    </dataValidation>
    <dataValidation type="list" allowBlank="1" showInputMessage="1" showErrorMessage="1" sqref="C37 E37 G37 I37" xr:uid="{00000000-0002-0000-2C00-00000E000000}">
      <formula1>套工地质条件</formula1>
    </dataValidation>
    <dataValidation type="list" allowBlank="1" showInputMessage="1" showErrorMessage="1" sqref="G58" xr:uid="{00000000-0002-0000-2C00-00000F000000}">
      <formula1>"住宅,工业"</formula1>
    </dataValidation>
    <dataValidation type="list" allowBlank="1" showInputMessage="1" showErrorMessage="1" sqref="G57" xr:uid="{00000000-0002-0000-2C00-000010000000}">
      <formula1>"商业,办公,住宅,工业"</formula1>
    </dataValidation>
    <dataValidation type="list" allowBlank="1" showInputMessage="1" showErrorMessage="1" sqref="D52:D60" xr:uid="{00000000-0002-0000-2C00-000011000000}">
      <formula1>"25%,1"</formula1>
    </dataValidation>
    <dataValidation type="list" allowBlank="1" showInputMessage="1" showErrorMessage="1" sqref="C26 E26 G26 I26" xr:uid="{00000000-0002-0000-2C00-000012000000}">
      <formula1>基础设施水平</formula1>
    </dataValidation>
    <dataValidation type="list" allowBlank="1" showInputMessage="1" showErrorMessage="1" sqref="D42" xr:uid="{00000000-0002-0000-2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197" t="s">
        <v>2621</v>
      </c>
      <c r="B1" s="198"/>
      <c r="C1" s="202" t="s">
        <v>2622</v>
      </c>
      <c r="D1" s="343">
        <f>SUM(D29:D30,D33:D39)</f>
        <v>0</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2" t="s">
        <v>2629</v>
      </c>
      <c r="B2" s="205" t="e">
        <f>C26</f>
        <v>#DIV/0!</v>
      </c>
      <c r="C2" s="2177" t="s">
        <v>2630</v>
      </c>
      <c r="D2" s="2178" t="s">
        <v>2631</v>
      </c>
      <c r="E2" s="2179"/>
      <c r="F2" s="2178" t="s">
        <v>2632</v>
      </c>
      <c r="G2" s="2180">
        <f>IF(E2="商业",项目基本情况!B37,IF(E2="办公",项目基本情况!C37,IF(E2="住宅",项目基本情况!D37,项目基本情况!E37)))</f>
        <v>0</v>
      </c>
      <c r="H2" s="2178" t="s">
        <v>2633</v>
      </c>
      <c r="I2" s="2180">
        <f>IF(E2="商业",项目基本情况!B38,IF(E2="办公",项目基本情况!C38,IF(E2="住宅",项目基本情况!D38,项目基本情况!E38)))</f>
        <v>0</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4" t="s">
        <v>2635</v>
      </c>
      <c r="B3" s="205" t="e">
        <f>ROUND(B2*10000/D1,0)</f>
        <v>#DIV/0!</v>
      </c>
      <c r="C3" s="2177" t="s">
        <v>2636</v>
      </c>
      <c r="D3" s="2178" t="s">
        <v>2637</v>
      </c>
      <c r="E3" s="2183"/>
      <c r="F3" s="2184" t="s">
        <v>2638</v>
      </c>
      <c r="G3" s="849">
        <f>IF(F3="宗地容积率",'数据-汇总表'!I4,IF(F3="估价对象容积率",'数据-汇总表'!I6,'数据-汇总表'!I7))</f>
        <v>1.42</v>
      </c>
      <c r="H3" s="170" t="s">
        <v>2639</v>
      </c>
      <c r="I3" s="875"/>
      <c r="J3" s="2181" t="s">
        <v>2640</v>
      </c>
      <c r="K3" s="1274"/>
      <c r="L3" s="2182"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681"/>
      <c r="B4" s="3682"/>
      <c r="C4" s="3682"/>
      <c r="D4" s="3683"/>
      <c r="E4" s="3683"/>
      <c r="F4" s="3683"/>
      <c r="G4" s="3683"/>
      <c r="H4" s="3683"/>
      <c r="I4" s="3683"/>
      <c r="J4" s="3684"/>
      <c r="K4" s="1274"/>
      <c r="L4" s="2182"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0" t="e">
        <f>ROUND(IF(E2="商业",C6*C7+C16,(IF(E2="住宅",C6*C12+C16,C6+C16))),0)</f>
        <v>#DIV/0!</v>
      </c>
      <c r="D5" s="1516" t="e">
        <f>ROUND(C6+C16,0)</f>
        <v>#DIV/0!</v>
      </c>
      <c r="E5" s="1516"/>
      <c r="F5" s="2187"/>
      <c r="G5" s="2188"/>
      <c r="H5" s="2188"/>
      <c r="I5" s="2188"/>
      <c r="J5" s="2189"/>
      <c r="K5" s="2190"/>
      <c r="L5" s="2182" t="s">
        <v>2644</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1"/>
      <c r="AD5" s="2192"/>
      <c r="AE5" s="2192"/>
      <c r="AF5" s="2192"/>
      <c r="AG5" s="2192"/>
      <c r="AH5" s="2192"/>
      <c r="AI5" s="2192"/>
      <c r="AJ5" s="2193"/>
    </row>
    <row r="6" spans="1:36" ht="15.75" thickBot="1">
      <c r="A6" s="2195" t="s">
        <v>2645</v>
      </c>
      <c r="B6" s="2196" t="s">
        <v>2646</v>
      </c>
      <c r="C6" s="851">
        <f>SUMIF(L1:L12,G2,M1:M12)</f>
        <v>0</v>
      </c>
      <c r="D6" s="2197" t="s">
        <v>2647</v>
      </c>
      <c r="E6" s="2198"/>
      <c r="F6" s="2198"/>
      <c r="G6" s="2199"/>
      <c r="H6" s="2199"/>
      <c r="I6" s="2199"/>
      <c r="J6" s="2200"/>
      <c r="K6" s="1561"/>
      <c r="L6" s="2182"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1"/>
      <c r="AD6" s="2192"/>
      <c r="AE6" s="2192"/>
      <c r="AF6" s="2192"/>
      <c r="AG6" s="2192"/>
      <c r="AH6" s="2192"/>
      <c r="AI6" s="2192"/>
      <c r="AJ6" s="2193"/>
    </row>
    <row r="7" spans="1:36" ht="24">
      <c r="A7" s="3662" t="str">
        <f>IF(E2="商业",IF(C8="不临58条商业街","",2),"")</f>
        <v/>
      </c>
      <c r="B7" s="2201" t="s">
        <v>2649</v>
      </c>
      <c r="C7" s="852" t="e">
        <f>IF(C8="不临58条商业街",1,ROUND(1+(1.6*E8+1.2*E9+0.8*E10+0.4*E11)*C9,4))</f>
        <v>#DIV/0!</v>
      </c>
      <c r="D7" s="2202" t="s">
        <v>2650</v>
      </c>
      <c r="E7" s="876"/>
      <c r="F7" s="2203"/>
      <c r="G7" s="2204"/>
      <c r="H7" s="2204"/>
      <c r="I7" s="2204"/>
      <c r="J7" s="2205"/>
      <c r="K7" s="1561"/>
      <c r="L7" s="2182"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2652</v>
      </c>
      <c r="X7" s="1369">
        <f>G2</f>
        <v>0</v>
      </c>
      <c r="Y7" s="1369" t="s">
        <v>2653</v>
      </c>
      <c r="Z7" s="1370">
        <f>G3</f>
        <v>1.42</v>
      </c>
      <c r="AA7" s="1371"/>
      <c r="AB7" s="1371"/>
      <c r="AC7" s="1372"/>
      <c r="AD7" s="1373"/>
      <c r="AE7" s="1373"/>
      <c r="AF7" s="1373"/>
      <c r="AG7" s="1373"/>
      <c r="AH7" s="1373"/>
      <c r="AI7" s="1373"/>
      <c r="AJ7" s="1374"/>
    </row>
    <row r="8" spans="1:36" ht="15">
      <c r="A8" s="3685"/>
      <c r="B8" s="170" t="s">
        <v>2654</v>
      </c>
      <c r="C8" s="2206"/>
      <c r="D8" s="853" t="s">
        <v>139</v>
      </c>
      <c r="E8" s="854" t="e">
        <f>ROUND(C11/E7,4)</f>
        <v>#DIV/0!</v>
      </c>
      <c r="F8" s="2207" t="s">
        <v>2655</v>
      </c>
      <c r="G8" s="2208"/>
      <c r="H8" s="2208"/>
      <c r="I8" s="2208"/>
      <c r="J8" s="2209"/>
      <c r="K8" s="1274"/>
      <c r="L8" s="2182"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678" t="s">
        <v>2657</v>
      </c>
      <c r="X8" s="3679"/>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685"/>
      <c r="B9" s="170" t="s">
        <v>2670</v>
      </c>
      <c r="C9" s="855">
        <f>SUMIF(修正!C59:C119,C8,修正!E59:E119)</f>
        <v>0</v>
      </c>
      <c r="D9" s="171" t="s">
        <v>140</v>
      </c>
      <c r="E9" s="171" t="e">
        <f>ROUND(C11/E7,4)</f>
        <v>#DIV/0!</v>
      </c>
      <c r="F9" s="2207" t="s">
        <v>2671</v>
      </c>
      <c r="G9" s="2208"/>
      <c r="H9" s="2208"/>
      <c r="I9" s="2208"/>
      <c r="J9" s="2209"/>
      <c r="K9" s="1274"/>
      <c r="L9" s="2182"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680"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685"/>
      <c r="B10" s="170" t="s">
        <v>2675</v>
      </c>
      <c r="C10" s="171">
        <f>SUMIF(修正!C59:C119,C8,修正!F59:F119)</f>
        <v>0</v>
      </c>
      <c r="D10" s="171" t="s">
        <v>141</v>
      </c>
      <c r="E10" s="171" t="e">
        <f>ROUND(C11/E7,4)</f>
        <v>#DIV/0!</v>
      </c>
      <c r="F10" s="2207" t="s">
        <v>2676</v>
      </c>
      <c r="G10" s="2208"/>
      <c r="H10" s="2208"/>
      <c r="I10" s="2208"/>
      <c r="J10" s="2209"/>
      <c r="K10" s="1274"/>
      <c r="L10" s="2182"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680"/>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685"/>
      <c r="B11" s="2210" t="s">
        <v>2678</v>
      </c>
      <c r="C11" s="856">
        <f>C10/4</f>
        <v>0</v>
      </c>
      <c r="D11" s="856" t="s">
        <v>142</v>
      </c>
      <c r="E11" s="856" t="e">
        <f>ROUND(C11/E7,4)</f>
        <v>#DIV/0!</v>
      </c>
      <c r="F11" s="2211" t="s">
        <v>2679</v>
      </c>
      <c r="G11" s="2212"/>
      <c r="H11" s="2212"/>
      <c r="I11" s="2212"/>
      <c r="J11" s="2213"/>
      <c r="K11" s="1274"/>
      <c r="L11" s="2182"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680" t="s">
        <v>2681</v>
      </c>
      <c r="X11" s="1379" t="s">
        <v>2682</v>
      </c>
      <c r="Y11" s="1380">
        <f>$G$3</f>
        <v>1.42</v>
      </c>
      <c r="Z11" s="1380">
        <f t="shared" ref="Z11:AJ11" si="3">$G$3</f>
        <v>1.42</v>
      </c>
      <c r="AA11" s="1380">
        <f t="shared" si="3"/>
        <v>1.42</v>
      </c>
      <c r="AB11" s="1380">
        <f t="shared" si="3"/>
        <v>1.42</v>
      </c>
      <c r="AC11" s="1380">
        <f t="shared" si="3"/>
        <v>1.42</v>
      </c>
      <c r="AD11" s="1380">
        <f t="shared" si="3"/>
        <v>1.42</v>
      </c>
      <c r="AE11" s="1380">
        <f t="shared" si="3"/>
        <v>1.42</v>
      </c>
      <c r="AF11" s="1380">
        <f t="shared" si="3"/>
        <v>1.42</v>
      </c>
      <c r="AG11" s="1380">
        <f t="shared" si="3"/>
        <v>1.42</v>
      </c>
      <c r="AH11" s="1380">
        <f t="shared" si="3"/>
        <v>1.42</v>
      </c>
      <c r="AI11" s="1380">
        <f t="shared" si="3"/>
        <v>1.42</v>
      </c>
      <c r="AJ11" s="1380">
        <f t="shared" si="3"/>
        <v>1.42</v>
      </c>
    </row>
    <row r="12" spans="1:36" ht="25.5" thickBot="1">
      <c r="A12" s="3662" t="s">
        <v>2683</v>
      </c>
      <c r="B12" s="2214" t="s">
        <v>2684</v>
      </c>
      <c r="C12" s="852">
        <f>ROUND(C15*D15*E15*F15*G15*H15*I15*J15,4)</f>
        <v>1</v>
      </c>
      <c r="D12" s="2215" t="s">
        <v>2685</v>
      </c>
      <c r="E12" s="2216"/>
      <c r="F12" s="2216"/>
      <c r="G12" s="2217"/>
      <c r="H12" s="2217"/>
      <c r="I12" s="2217"/>
      <c r="J12" s="2218"/>
      <c r="K12" s="1274"/>
      <c r="L12" s="2219"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680"/>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686"/>
      <c r="B13" s="2220" t="s">
        <v>2688</v>
      </c>
      <c r="C13" s="2221" t="s">
        <v>2689</v>
      </c>
      <c r="D13" s="1527" t="s">
        <v>2690</v>
      </c>
      <c r="E13" s="1527" t="s">
        <v>2691</v>
      </c>
      <c r="F13" s="29" t="s">
        <v>2692</v>
      </c>
      <c r="G13" s="2222" t="s">
        <v>2693</v>
      </c>
      <c r="H13" s="2222" t="s">
        <v>2693</v>
      </c>
      <c r="I13" s="2222" t="s">
        <v>2693</v>
      </c>
      <c r="J13" s="2223" t="s">
        <v>2693</v>
      </c>
      <c r="K13" s="1274"/>
      <c r="L13" s="1274"/>
      <c r="M13" s="1274"/>
      <c r="N13" s="1274"/>
      <c r="O13" s="1274"/>
      <c r="P13" s="1274"/>
      <c r="Q13" s="1274"/>
      <c r="R13" s="1367">
        <v>12</v>
      </c>
      <c r="S13" s="1368"/>
      <c r="T13" s="1367" t="e">
        <f t="shared" si="0"/>
        <v>#DIV/0!</v>
      </c>
      <c r="U13" s="1368"/>
      <c r="V13" s="1367" t="e">
        <f t="shared" si="1"/>
        <v>#DIV/0!</v>
      </c>
      <c r="W13" s="3680"/>
      <c r="X13" s="1381"/>
      <c r="Y13" s="1378">
        <f>(-0.163*(Y12^2)-0.59*Y12+7617)*(10^(-4))/Y11</f>
        <v>0.53640845070422538</v>
      </c>
      <c r="Z13" s="1378">
        <f t="shared" ref="Z13:AJ13" si="5">(-0.163*(Z12^2)-0.59*Z12+7617)*(10^(-4))/Z11</f>
        <v>0.53640845070422538</v>
      </c>
      <c r="AA13" s="1378">
        <f t="shared" si="5"/>
        <v>0.53640845070422538</v>
      </c>
      <c r="AB13" s="1378">
        <f t="shared" si="5"/>
        <v>0.53640845070422538</v>
      </c>
      <c r="AC13" s="1378">
        <f t="shared" si="5"/>
        <v>0.53640845070422538</v>
      </c>
      <c r="AD13" s="1378">
        <f t="shared" si="5"/>
        <v>0.53640845070422538</v>
      </c>
      <c r="AE13" s="1378">
        <f t="shared" si="5"/>
        <v>0.53640845070422538</v>
      </c>
      <c r="AF13" s="1378">
        <f t="shared" si="5"/>
        <v>0.53640845070422538</v>
      </c>
      <c r="AG13" s="1378">
        <f t="shared" si="5"/>
        <v>0.53640845070422538</v>
      </c>
      <c r="AH13" s="1378">
        <f t="shared" si="5"/>
        <v>0.53640845070422538</v>
      </c>
      <c r="AI13" s="1378">
        <f t="shared" si="5"/>
        <v>0.53640845070422538</v>
      </c>
      <c r="AJ13" s="1378">
        <f t="shared" si="5"/>
        <v>0.53640845070422538</v>
      </c>
    </row>
    <row r="14" spans="1:36" ht="15">
      <c r="A14" s="3686"/>
      <c r="B14" s="2224"/>
      <c r="C14" s="2225"/>
      <c r="D14" s="2226"/>
      <c r="E14" s="2226"/>
      <c r="F14" s="2227"/>
      <c r="G14" s="2228" t="s">
        <v>2694</v>
      </c>
      <c r="H14" s="2229"/>
      <c r="I14" s="2230"/>
      <c r="J14" s="2231"/>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08"/>
      <c r="AE14" s="3008"/>
      <c r="AF14" s="3008"/>
      <c r="AG14" s="3008"/>
      <c r="AH14" s="3008"/>
      <c r="AI14" s="3008"/>
      <c r="AJ14" s="3009"/>
    </row>
    <row r="15" spans="1:36" ht="15.75" thickBot="1">
      <c r="A15" s="3687"/>
      <c r="B15" s="2232" t="s">
        <v>2695</v>
      </c>
      <c r="C15" s="188">
        <f>IF(C14="有",1.1,1)</f>
        <v>1</v>
      </c>
      <c r="D15" s="188">
        <f>IF(D14="有",1.1,1)</f>
        <v>1</v>
      </c>
      <c r="E15" s="188">
        <f>IF(E14="有",1.1,1)</f>
        <v>1</v>
      </c>
      <c r="F15" s="188">
        <f>IF(F14="500米范围内",1.2,IF(F14="500-1000米",1.1,1))</f>
        <v>1</v>
      </c>
      <c r="G15" s="877">
        <v>1</v>
      </c>
      <c r="H15" s="877">
        <v>1</v>
      </c>
      <c r="I15" s="877">
        <v>1</v>
      </c>
      <c r="J15" s="878">
        <v>1</v>
      </c>
      <c r="K15" s="1274"/>
      <c r="L15" s="2175"/>
      <c r="M15" s="2175"/>
      <c r="N15" s="2175"/>
      <c r="O15" s="2175"/>
      <c r="P15" s="2175"/>
      <c r="Q15" s="1274"/>
      <c r="R15" s="1367">
        <v>14</v>
      </c>
      <c r="S15" s="1368"/>
      <c r="T15" s="1367" t="e">
        <f t="shared" si="0"/>
        <v>#DIV/0!</v>
      </c>
      <c r="U15" s="1368"/>
      <c r="V15" s="1367" t="e">
        <f t="shared" si="1"/>
        <v>#DIV/0!</v>
      </c>
      <c r="W15" s="1371"/>
      <c r="X15" s="1371"/>
      <c r="Y15" s="1371"/>
      <c r="Z15" s="1371"/>
      <c r="AA15" s="1371"/>
      <c r="AB15" s="1371"/>
      <c r="AC15" s="1372"/>
      <c r="AD15" s="3008"/>
      <c r="AE15" s="3008"/>
      <c r="AF15" s="3008"/>
      <c r="AG15" s="3008"/>
      <c r="AH15" s="3008"/>
      <c r="AI15" s="3008"/>
      <c r="AJ15" s="3009"/>
    </row>
    <row r="16" spans="1:36" ht="24.6" customHeight="1">
      <c r="A16" s="3662" t="s">
        <v>2700</v>
      </c>
      <c r="B16" s="2201" t="s">
        <v>2701</v>
      </c>
      <c r="C16" s="2363" t="e">
        <f>ROUND(IF(F17="与级别开发程度一致",0,(G17-E17)/C17),0)</f>
        <v>#DIV/0!</v>
      </c>
      <c r="D16" s="3675" t="s">
        <v>2705</v>
      </c>
      <c r="E16" s="3676"/>
      <c r="F16" s="3675" t="s">
        <v>2702</v>
      </c>
      <c r="G16" s="3676"/>
      <c r="H16" s="2233"/>
      <c r="I16" s="2233"/>
      <c r="J16" s="2367"/>
      <c r="K16" s="2233"/>
      <c r="L16" s="2233"/>
      <c r="M16" s="2233"/>
      <c r="N16" s="2233"/>
      <c r="O16" s="2234"/>
      <c r="P16" s="2175"/>
      <c r="Q16" s="1274"/>
      <c r="R16" s="1367">
        <v>15</v>
      </c>
      <c r="S16" s="1368"/>
      <c r="T16" s="1367" t="e">
        <f t="shared" si="0"/>
        <v>#DIV/0!</v>
      </c>
      <c r="U16" s="1368"/>
      <c r="V16" s="1367" t="e">
        <f t="shared" si="1"/>
        <v>#DIV/0!</v>
      </c>
      <c r="W16" s="1371"/>
      <c r="X16" s="1371"/>
      <c r="Y16" s="1371"/>
      <c r="Z16" s="1371"/>
      <c r="AA16" s="1371"/>
      <c r="AB16" s="1371"/>
      <c r="AC16" s="1372"/>
      <c r="AD16" s="3008"/>
      <c r="AE16" s="3008"/>
      <c r="AF16" s="3008"/>
      <c r="AG16" s="3008"/>
      <c r="AH16" s="3008"/>
      <c r="AI16" s="3008"/>
      <c r="AJ16" s="3009"/>
    </row>
    <row r="17" spans="1:37" ht="13.5" thickBot="1">
      <c r="A17" s="3663"/>
      <c r="B17" s="2374" t="s">
        <v>2704</v>
      </c>
      <c r="C17" s="2375">
        <f>SUMPRODUCT((修正!A2:A5=E2)*(修正!B1:M1=G2)*(修正!B2:M5))</f>
        <v>0</v>
      </c>
      <c r="D17" s="188"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2707</v>
      </c>
      <c r="C18" s="2370">
        <f>SUMIF(修正!C18:C39,E3,修正!E18:E39)</f>
        <v>0</v>
      </c>
      <c r="D18" s="2371"/>
      <c r="E18" s="2372"/>
      <c r="F18" s="2372"/>
      <c r="G18" s="2372"/>
      <c r="H18" s="2372"/>
      <c r="I18" s="2372"/>
      <c r="J18" s="2373"/>
      <c r="K18" s="1281"/>
      <c r="L18" s="3007"/>
      <c r="M18" s="3007"/>
      <c r="N18" s="3007"/>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7"/>
    </row>
    <row r="19" spans="1:37" s="2194" customFormat="1" ht="27.75" thickBot="1">
      <c r="A19" s="2238" t="s">
        <v>809</v>
      </c>
      <c r="B19" s="2239" t="s">
        <v>2708</v>
      </c>
      <c r="C19" s="857" t="e">
        <f>ROUND(IF(H19="按公示增长率计算",SUMPRODUCT((地价!A3:A35=YEAR(G19)&amp;"-"&amp;ROUNDUP(MONTH(G19)/3,0))*(地价!X2:AB2=E2)*(地价!X3:AB35)),IF(H19="地价指数",M20/M19,(1+I19)^O19)),4)</f>
        <v>#VALUE!</v>
      </c>
      <c r="D19" s="2243" t="s">
        <v>2709</v>
      </c>
      <c r="E19" s="858">
        <v>41640</v>
      </c>
      <c r="F19" s="2243" t="s">
        <v>2710</v>
      </c>
      <c r="G19" s="859">
        <f>'数据-取费表'!B2</f>
        <v>44568</v>
      </c>
      <c r="H19" s="2244"/>
      <c r="I19" s="860" t="str">
        <f>IF(H19="季度增幅（自定义）",SUMIF(N21:N24,E2,O21:O24),"")</f>
        <v/>
      </c>
      <c r="J19" s="2241"/>
      <c r="K19" s="1281"/>
      <c r="L19" s="2245" t="s">
        <v>2711</v>
      </c>
      <c r="M19" s="1489">
        <f>ROUND(SUMIF(地价!B2:F2,E2,地价!B35:F35),0)</f>
        <v>0</v>
      </c>
      <c r="N19" s="2246" t="s">
        <v>2712</v>
      </c>
      <c r="O19" s="861">
        <f>ROUNDDOWN(DATEDIF(E19,G19,"M")/3,0)</f>
        <v>32</v>
      </c>
      <c r="P19" s="1278"/>
      <c r="Q19" s="1280"/>
      <c r="R19" s="1280"/>
      <c r="S19" s="1280"/>
      <c r="T19" s="1275"/>
      <c r="U19" s="1275"/>
      <c r="V19" s="1275"/>
      <c r="W19" s="1274"/>
      <c r="X19" s="1274"/>
      <c r="Y19" s="1274"/>
      <c r="Z19" s="1281"/>
      <c r="AA19" s="1281"/>
      <c r="AB19" s="1281"/>
      <c r="AC19" s="1281"/>
      <c r="AD19" s="1281"/>
      <c r="AE19" s="1281"/>
      <c r="AF19" s="1280"/>
      <c r="AG19" s="3010"/>
      <c r="AH19" s="2332"/>
      <c r="AI19" s="3011"/>
      <c r="AJ19" s="3011"/>
      <c r="AK19" s="2247"/>
    </row>
    <row r="20" spans="1:37" s="2194" customFormat="1" ht="27.75" thickBot="1">
      <c r="A20" s="2248" t="s">
        <v>810</v>
      </c>
      <c r="B20" s="2249" t="s">
        <v>2713</v>
      </c>
      <c r="C20" s="862" t="e">
        <f>ROUND(POWER(1+G20,J20-I20)*(POWER(1+G20,I20)-1)/(POWER(1+G20,J20)-1),4)</f>
        <v>#DIV/0!</v>
      </c>
      <c r="D20" s="2250" t="s">
        <v>2714</v>
      </c>
      <c r="E20" s="1498">
        <f>存贷款利率!E18/100</f>
        <v>4.3499999999999997E-2</v>
      </c>
      <c r="F20" s="2250" t="s">
        <v>2706</v>
      </c>
      <c r="G20" s="867">
        <f>SUMIF(M26:P26,E2,M28:P28)</f>
        <v>0</v>
      </c>
      <c r="H20" s="2250" t="s">
        <v>2715</v>
      </c>
      <c r="I20" s="868" t="e">
        <f>SUMIF('数据-取费表'!C6:C15,E2,'数据-取费表'!F6:F15)/COUNTIF('数据-取费表'!C6:C15,E2)</f>
        <v>#DIV/0!</v>
      </c>
      <c r="J20" s="869">
        <f>IF(E2="住宅",70,IF(E2="商业",40,50))</f>
        <v>50</v>
      </c>
      <c r="K20" s="1281"/>
      <c r="L20" s="2251" t="s">
        <v>2716</v>
      </c>
      <c r="M20" s="1490">
        <f>ROUND(SUMPRODUCT((地价!A4:A35=YEAR(G19)&amp;"-"&amp;ROUNDUP(MONTH(G19)/3,0))*(地价!B2:F2=E2)*(地价!B4:F35)),0)</f>
        <v>0</v>
      </c>
      <c r="N20" s="2252" t="s">
        <v>2717</v>
      </c>
      <c r="O20" s="2253" t="s">
        <v>2718</v>
      </c>
      <c r="P20" s="2254" t="s">
        <v>2719</v>
      </c>
      <c r="Q20" s="3007"/>
      <c r="R20" s="1280"/>
      <c r="S20" s="1280"/>
      <c r="T20" s="1275"/>
      <c r="U20" s="1275"/>
      <c r="V20" s="1275"/>
      <c r="W20" s="1274"/>
      <c r="X20" s="1274"/>
      <c r="Y20" s="1274"/>
      <c r="Z20" s="1281"/>
      <c r="AA20" s="1281"/>
      <c r="AB20" s="1281"/>
      <c r="AC20" s="1281"/>
      <c r="AD20" s="1281"/>
      <c r="AE20" s="1281"/>
      <c r="AF20" s="1281"/>
      <c r="AG20" s="3007"/>
      <c r="AH20" s="3007"/>
      <c r="AI20" s="3007"/>
      <c r="AJ20" s="3007"/>
    </row>
    <row r="21" spans="1:37" s="2194" customFormat="1" ht="15">
      <c r="A21" s="2255" t="s">
        <v>811</v>
      </c>
      <c r="B21" s="2256" t="s">
        <v>2720</v>
      </c>
      <c r="C21" s="870">
        <f>IF(B21="容积率修正",IF(G3&lt;=10,D22,J22),C23)</f>
        <v>0</v>
      </c>
      <c r="D21" s="2257"/>
      <c r="E21" s="2257"/>
      <c r="F21" s="2257"/>
      <c r="G21" s="2257"/>
      <c r="H21" s="2257"/>
      <c r="I21" s="2257"/>
      <c r="J21" s="2258"/>
      <c r="K21" s="1281"/>
      <c r="L21" s="3007"/>
      <c r="M21" s="3007"/>
      <c r="N21" s="2259" t="s">
        <v>2721</v>
      </c>
      <c r="O21" s="1329"/>
      <c r="P21" s="1330">
        <f>SUMPRODUCT((地价!A3:A35=YEAR(G19)&amp;"-"&amp;ROUNDUP(MONTH(G19)/3,0))*(地价!AD2:AH2=N21)*(地价!AD3:AH35))</f>
        <v>0</v>
      </c>
      <c r="Q21" s="3007"/>
      <c r="R21" s="1280"/>
      <c r="S21" s="1280"/>
      <c r="T21" s="1275"/>
      <c r="U21" s="1275"/>
      <c r="V21" s="1275"/>
      <c r="W21" s="1274"/>
      <c r="X21" s="1274"/>
      <c r="Y21" s="1274"/>
      <c r="Z21" s="1281"/>
      <c r="AA21" s="1281"/>
      <c r="AB21" s="1281"/>
      <c r="AC21" s="1281"/>
      <c r="AD21" s="1281"/>
      <c r="AE21" s="1281"/>
      <c r="AF21" s="1281"/>
      <c r="AG21" s="3007"/>
      <c r="AH21" s="3007"/>
      <c r="AI21" s="3007"/>
      <c r="AJ21" s="3007"/>
    </row>
    <row r="22" spans="1:37" s="2194" customFormat="1" ht="14.25">
      <c r="A22" s="2133" t="s">
        <v>2722</v>
      </c>
      <c r="B22" s="2260" t="s">
        <v>2723</v>
      </c>
      <c r="C22" s="1529" t="s">
        <v>2724</v>
      </c>
      <c r="D22" s="1529">
        <f>IF(E22=G22,F22,IF(G3&lt;=10,ROUND(F22+(H22-F22)*(G3-E22)/(G22-E22),4),"——"))</f>
        <v>0</v>
      </c>
      <c r="E22" s="849">
        <f>ROUNDDOWN(G3,1)</f>
        <v>1.4</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1.5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1" t="str">
        <f>IF(G3&gt;10,D113,"——")</f>
        <v>——</v>
      </c>
      <c r="K22" s="1281"/>
      <c r="L22" s="3007"/>
      <c r="M22" s="3007"/>
      <c r="N22" s="2259" t="s">
        <v>2725</v>
      </c>
      <c r="O22" s="1329"/>
      <c r="P22" s="1330">
        <f>SUMPRODUCT((地价!A3:A35=YEAR(G19)&amp;"-"&amp;ROUNDUP(MONTH(G19)/3,0))*(地价!AD2:AH2=N22)*(地价!AD3:AH35))</f>
        <v>0</v>
      </c>
      <c r="Q22" s="3007"/>
      <c r="R22" s="1280"/>
      <c r="S22" s="1280"/>
      <c r="T22" s="1275"/>
      <c r="U22" s="1275"/>
      <c r="V22" s="1275"/>
      <c r="W22" s="1274"/>
      <c r="X22" s="1274"/>
      <c r="Y22" s="1274"/>
      <c r="Z22" s="1281"/>
      <c r="AA22" s="1281"/>
      <c r="AB22" s="1281"/>
      <c r="AC22" s="1281"/>
      <c r="AD22" s="1281"/>
      <c r="AE22" s="1281"/>
      <c r="AF22" s="1281"/>
      <c r="AG22" s="3007"/>
      <c r="AH22" s="3007"/>
      <c r="AI22" s="3007"/>
      <c r="AJ22" s="3007"/>
    </row>
    <row r="23" spans="1:37" ht="27.75" thickBot="1">
      <c r="A23" s="2133" t="s">
        <v>2726</v>
      </c>
      <c r="B23" s="2261" t="s">
        <v>2727</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2728</v>
      </c>
      <c r="O23" s="1329"/>
      <c r="P23" s="1330">
        <f>SUMPRODUCT((地价!A3:A35=YEAR(G19)&amp;"-"&amp;ROUNDUP(MONTH(G19)/3,0))*(地价!AD2:AH2=N23)*(地价!AD3:AH35))</f>
        <v>0</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2729</v>
      </c>
      <c r="C24" s="857">
        <f>SUMIF(A45:A88,E2,B45:B88)</f>
        <v>0</v>
      </c>
      <c r="D24" s="2240"/>
      <c r="E24" s="2267"/>
      <c r="F24" s="2267"/>
      <c r="G24" s="2267"/>
      <c r="H24" s="2267"/>
      <c r="I24" s="2267"/>
      <c r="J24" s="2268"/>
      <c r="K24" s="1281"/>
      <c r="L24" s="3007"/>
      <c r="M24" s="3007"/>
      <c r="N24" s="2269" t="s">
        <v>2730</v>
      </c>
      <c r="O24" s="1331"/>
      <c r="P24" s="1332">
        <f>SUMPRODUCT((地价!A3:A35=YEAR(G19)&amp;"-"&amp;ROUNDUP(MONTH(G19)/3,0))*(地价!AD2:AH2=N24)*(地价!AD3:AH35))</f>
        <v>0</v>
      </c>
      <c r="Q24" s="3007"/>
      <c r="R24" s="1280"/>
      <c r="S24" s="1280"/>
      <c r="T24" s="1275"/>
      <c r="U24" s="1275"/>
      <c r="V24" s="1275"/>
      <c r="W24" s="1274"/>
      <c r="X24" s="1274"/>
      <c r="Y24" s="1274"/>
      <c r="Z24" s="1281"/>
      <c r="AA24" s="1281"/>
      <c r="AB24" s="1281"/>
      <c r="AC24" s="1281"/>
      <c r="AD24" s="1281"/>
      <c r="AE24" s="1281"/>
      <c r="AF24" s="1281"/>
      <c r="AG24" s="3007"/>
      <c r="AH24" s="3007"/>
      <c r="AI24" s="3007"/>
      <c r="AJ24" s="3007"/>
    </row>
    <row r="25" spans="1:37" ht="15.75" thickBot="1">
      <c r="A25" s="2248" t="s">
        <v>813</v>
      </c>
      <c r="B25" s="2270" t="s">
        <v>2731</v>
      </c>
      <c r="C25" s="863"/>
      <c r="D25" s="2204"/>
      <c r="E25" s="2204"/>
      <c r="F25" s="2271"/>
      <c r="G25" s="2204"/>
      <c r="H25" s="2204"/>
      <c r="I25" s="2204"/>
      <c r="J25" s="2205"/>
      <c r="K25" s="1274"/>
      <c r="L25" s="2175"/>
      <c r="M25" s="2175"/>
      <c r="N25" s="3002" t="s">
        <v>2732</v>
      </c>
      <c r="O25" s="3003"/>
      <c r="P25" s="3004">
        <f>SUMPRODUCT((地价!A3:A35=YEAR(G19)&amp;"-"&amp;ROUNDUP(MONTH(G19)/3,0))*(地价!AD2:AH2=N25)*(地价!AD3:AH35))</f>
        <v>0</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2733</v>
      </c>
      <c r="C26" s="2534" t="e">
        <f>IF(B21="容积率修正",E29+SUM(E33:E39),SUM(V2:V16)+SUM(E33:E39))</f>
        <v>#DIV/0!</v>
      </c>
      <c r="D26" s="2273"/>
      <c r="E26" s="2229"/>
      <c r="F26" s="2274"/>
      <c r="G26" s="2229"/>
      <c r="H26" s="2229"/>
      <c r="I26" s="2229"/>
      <c r="J26" s="2275"/>
      <c r="K26" s="1274"/>
      <c r="L26" s="3005" t="s">
        <v>2631</v>
      </c>
      <c r="M26" s="2202" t="s">
        <v>2696</v>
      </c>
      <c r="N26" s="2202" t="s">
        <v>2697</v>
      </c>
      <c r="O26" s="2202" t="s">
        <v>2698</v>
      </c>
      <c r="P26" s="3006" t="s">
        <v>2699</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2734</v>
      </c>
      <c r="C27" s="864" t="e">
        <f>E30+SUM(I33:I39)</f>
        <v>#DIV/0!</v>
      </c>
      <c r="D27" s="2277"/>
      <c r="E27" s="2278"/>
      <c r="F27" s="2279"/>
      <c r="G27" s="2278"/>
      <c r="H27" s="2278"/>
      <c r="I27" s="2278"/>
      <c r="J27" s="2280"/>
      <c r="K27" s="1274"/>
      <c r="L27" s="2235"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2735</v>
      </c>
      <c r="C28" s="2283" t="s">
        <v>2736</v>
      </c>
      <c r="D28" s="2283" t="s">
        <v>2737</v>
      </c>
      <c r="E28" s="2284" t="s">
        <v>2738</v>
      </c>
      <c r="F28" s="2285"/>
      <c r="G28" s="2217"/>
      <c r="H28" s="2217"/>
      <c r="I28" s="2217"/>
      <c r="J28" s="2218"/>
      <c r="K28" s="1274"/>
      <c r="L28" s="2236" t="s">
        <v>2706</v>
      </c>
      <c r="M28" s="178">
        <f>ROUND($E$20*(1+M27),3)</f>
        <v>5.3999999999999999E-2</v>
      </c>
      <c r="N28" s="178">
        <f>ROUND($E$20*(1+N27),3)</f>
        <v>5.1999999999999998E-2</v>
      </c>
      <c r="O28" s="178">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2739</v>
      </c>
      <c r="C29" s="175" t="e">
        <f>ROUND(C5*C18*C19*C20*C21*C24,0)</f>
        <v>#DIV/0!</v>
      </c>
      <c r="D29" s="2288"/>
      <c r="E29" s="873" t="e">
        <f>ROUND(C29*D29/10000,0)</f>
        <v>#DIV/0!</v>
      </c>
      <c r="F29" s="2289" t="s">
        <v>2740</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2741</v>
      </c>
      <c r="C30" s="188" t="e">
        <f>ROUND(IF(E2="工业",C29*M39,C29*M38),0)</f>
        <v>#DIV/0!</v>
      </c>
      <c r="D30" s="2294"/>
      <c r="E30" s="873" t="e">
        <f>ROUND(C30*D30/10000,0)</f>
        <v>#DIV/0!</v>
      </c>
      <c r="F30" s="2295" t="s">
        <v>2742</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2743</v>
      </c>
      <c r="C31" s="2300" t="s">
        <v>2744</v>
      </c>
      <c r="D31" s="2217"/>
      <c r="E31" s="2300"/>
      <c r="F31" s="2300"/>
      <c r="G31" s="2215" t="s">
        <v>2745</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3" t="s">
        <v>2736</v>
      </c>
      <c r="D32" s="450" t="s">
        <v>2737</v>
      </c>
      <c r="E32" s="450" t="s">
        <v>2738</v>
      </c>
      <c r="F32" s="343" t="s">
        <v>2746</v>
      </c>
      <c r="G32" s="2303" t="s">
        <v>2736</v>
      </c>
      <c r="H32" s="2303" t="s">
        <v>2737</v>
      </c>
      <c r="I32" s="2303" t="s">
        <v>2738</v>
      </c>
      <c r="J32" s="244"/>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672"/>
      <c r="B33" s="2304" t="s">
        <v>2747</v>
      </c>
      <c r="C33" s="175" t="e">
        <f>ROUND(D5*C19*C20*C24*F33,0)</f>
        <v>#DIV/0!</v>
      </c>
      <c r="D33" s="2288"/>
      <c r="E33" s="171" t="e">
        <f>ROUND(C33*D33/10000,0)</f>
        <v>#DIV/0!</v>
      </c>
      <c r="F33" s="171">
        <f>SUMIF(修正!A45:A56,G2,修正!B45:B56)</f>
        <v>0</v>
      </c>
      <c r="G33" s="171" t="e">
        <f t="shared" ref="G33" si="6">ROUND(IF(E2="工业",C33*$M$39,C33*$M$38),0)</f>
        <v>#DIV/0!</v>
      </c>
      <c r="H33" s="171">
        <f>D33</f>
        <v>0</v>
      </c>
      <c r="I33" s="171" t="e">
        <f>ROUND(G33*H33/10000,0)</f>
        <v>#DIV/0!</v>
      </c>
      <c r="J33" s="3677"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673"/>
      <c r="B34" s="2221" t="s">
        <v>2748</v>
      </c>
      <c r="C34" s="175" t="e">
        <f>ROUND(D5*C19*C20*C24*F34,0)</f>
        <v>#DIV/0!</v>
      </c>
      <c r="D34" s="2288"/>
      <c r="E34" s="171" t="e">
        <f t="shared" ref="E34:E39" si="7">ROUND(C34*D34/10000,0)</f>
        <v>#DIV/0!</v>
      </c>
      <c r="F34" s="171">
        <f>SUMIF(修正!A45:A56,G2,修正!C45:C56)</f>
        <v>0</v>
      </c>
      <c r="G34" s="171" t="e">
        <f>ROUND(IF(E2="工业",C34*$M$39,C34*$M$38),0)</f>
        <v>#DIV/0!</v>
      </c>
      <c r="H34" s="171">
        <f t="shared" ref="H34:H39" si="8">D34</f>
        <v>0</v>
      </c>
      <c r="I34" s="171" t="e">
        <f t="shared" ref="I34:I39" si="9">ROUND(G34*H34/10000,0)</f>
        <v>#DIV/0!</v>
      </c>
      <c r="J34" s="367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673"/>
      <c r="B35" s="2221" t="s">
        <v>2749</v>
      </c>
      <c r="C35" s="175" t="e">
        <f>ROUND(D5*C19*C20*C24*F35,0)</f>
        <v>#DIV/0!</v>
      </c>
      <c r="D35" s="2288"/>
      <c r="E35" s="171" t="e">
        <f t="shared" si="7"/>
        <v>#DIV/0!</v>
      </c>
      <c r="F35" s="171">
        <f>SUMIF(修正!A45:A56,G2,修正!D45:D56)</f>
        <v>0</v>
      </c>
      <c r="G35" s="171" t="e">
        <f>ROUND(IF(E2="工业",C35*$M$39,C35*$M$38),0)</f>
        <v>#DIV/0!</v>
      </c>
      <c r="H35" s="171">
        <f t="shared" si="8"/>
        <v>0</v>
      </c>
      <c r="I35" s="171" t="e">
        <f t="shared" si="9"/>
        <v>#DIV/0!</v>
      </c>
      <c r="J35" s="367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674"/>
      <c r="B36" s="2221" t="s">
        <v>2750</v>
      </c>
      <c r="C36" s="175" t="e">
        <f>ROUND(D5*C19*C20*C24*F36,0)</f>
        <v>#DIV/0!</v>
      </c>
      <c r="D36" s="2288"/>
      <c r="E36" s="171" t="e">
        <f t="shared" si="7"/>
        <v>#DIV/0!</v>
      </c>
      <c r="F36" s="171">
        <f>SUMIF(修正!A45:A56,G2,修正!E45:E56)</f>
        <v>0</v>
      </c>
      <c r="G36" s="171" t="e">
        <f>ROUND(IF(E2="工业",C36*$M$39,C36*$M$38),0)</f>
        <v>#DIV/0!</v>
      </c>
      <c r="H36" s="171">
        <f t="shared" si="8"/>
        <v>0</v>
      </c>
      <c r="I36" s="171" t="e">
        <f t="shared" si="9"/>
        <v>#DIV/0!</v>
      </c>
      <c r="J36" s="3674"/>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2751</v>
      </c>
      <c r="C37" s="171" t="e">
        <f>ROUND(D5*C19*C20*C24*F37,0)</f>
        <v>#DIV/0!</v>
      </c>
      <c r="D37" s="2288"/>
      <c r="E37" s="171" t="e">
        <f t="shared" si="7"/>
        <v>#DIV/0!</v>
      </c>
      <c r="F37" s="175">
        <f>SUMIF(修正!A45:A56,G2,修正!F45:F56)</f>
        <v>0</v>
      </c>
      <c r="G37" s="171" t="e">
        <f>ROUND(IF(E2="工业",C37*$M$39,C37*$M$38),0)</f>
        <v>#DIV/0!</v>
      </c>
      <c r="H37" s="171">
        <f t="shared" si="8"/>
        <v>0</v>
      </c>
      <c r="I37" s="171" t="e">
        <f t="shared" si="9"/>
        <v>#DIV/0!</v>
      </c>
      <c r="J37" s="2305"/>
      <c r="K37" s="1274"/>
      <c r="L37" s="2307" t="s">
        <v>2752</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2753</v>
      </c>
      <c r="C38" s="171" t="e">
        <f>ROUND(D5*C19*C41*C24*F38,0)</f>
        <v>#DIV/0!</v>
      </c>
      <c r="D38" s="2288"/>
      <c r="E38" s="171" t="e">
        <f t="shared" si="7"/>
        <v>#DIV/0!</v>
      </c>
      <c r="F38" s="175">
        <f>SUMIF(修正!A45:A56,G2,修正!G45:G56)</f>
        <v>0</v>
      </c>
      <c r="G38" s="171" t="e">
        <f>ROUND(IF(E2="工业",C38*$M$39,C38*$M$38),0)</f>
        <v>#DIV/0!</v>
      </c>
      <c r="H38" s="171">
        <f t="shared" si="8"/>
        <v>0</v>
      </c>
      <c r="I38" s="171" t="e">
        <f t="shared" si="9"/>
        <v>#DIV/0!</v>
      </c>
      <c r="J38" s="2305"/>
      <c r="K38" s="1274"/>
      <c r="L38" s="1598" t="s">
        <v>2754</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2755</v>
      </c>
      <c r="C39" s="188" t="e">
        <f>ROUND(D5*C19*C41*C24*F39,0)</f>
        <v>#DIV/0!</v>
      </c>
      <c r="D39" s="2294"/>
      <c r="E39" s="188" t="e">
        <f t="shared" si="7"/>
        <v>#DIV/0!</v>
      </c>
      <c r="F39" s="865">
        <f>SUMIF(修正!A45:A56,G2,修正!H45:H56)</f>
        <v>0</v>
      </c>
      <c r="G39" s="188" t="e">
        <f>ROUND(IF(E2="工业",C39*$M$39,C39*$M$38),0)</f>
        <v>#DIV/0!</v>
      </c>
      <c r="H39" s="188">
        <f t="shared" si="8"/>
        <v>0</v>
      </c>
      <c r="I39" s="188" t="e">
        <f t="shared" si="9"/>
        <v>#DIV/0!</v>
      </c>
      <c r="J39" s="2311"/>
      <c r="K39" s="1274"/>
      <c r="L39" s="2312" t="s">
        <v>2699</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2860</v>
      </c>
      <c r="C41" s="343" t="e">
        <f>ROUND(POWER(1+E41,H41-G41)*(POWER(1+E41,G41)-1)/(POWER(1+E41,H41)-1),4)</f>
        <v>#DIV/0!</v>
      </c>
      <c r="D41" s="171" t="s">
        <v>2706</v>
      </c>
      <c r="E41" s="2361">
        <f>G20</f>
        <v>0</v>
      </c>
      <c r="F41" s="171" t="s">
        <v>2715</v>
      </c>
      <c r="G41" s="184"/>
      <c r="H41" s="171">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2756</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2757</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2758</v>
      </c>
      <c r="B47" s="1528" t="s">
        <v>2759</v>
      </c>
      <c r="C47" s="1528" t="s">
        <v>2760</v>
      </c>
      <c r="D47" s="1528" t="s">
        <v>2761</v>
      </c>
      <c r="E47" s="752" t="s">
        <v>2762</v>
      </c>
      <c r="F47" s="2322" t="s">
        <v>2763</v>
      </c>
      <c r="G47" s="1528" t="s">
        <v>754</v>
      </c>
      <c r="H47" s="2323" t="s">
        <v>2764</v>
      </c>
      <c r="I47" s="1528" t="s">
        <v>2765</v>
      </c>
      <c r="J47" s="555" t="s">
        <v>2414</v>
      </c>
      <c r="K47" s="555" t="s">
        <v>2415</v>
      </c>
      <c r="L47" s="555" t="s">
        <v>2416</v>
      </c>
      <c r="M47" s="555" t="s">
        <v>2417</v>
      </c>
      <c r="N47" s="555" t="s">
        <v>2418</v>
      </c>
      <c r="AA47" s="1275"/>
      <c r="AB47" s="1275"/>
      <c r="AC47" s="1275"/>
      <c r="AD47" s="1275"/>
      <c r="AE47" s="1275"/>
      <c r="AF47" s="1275"/>
      <c r="AG47" s="1275"/>
      <c r="AH47" s="1275"/>
      <c r="AI47" s="1275"/>
      <c r="AJ47" s="1275"/>
      <c r="AK47" s="1275"/>
    </row>
    <row r="48" spans="1:37" s="1274" customFormat="1" ht="24.75">
      <c r="A48" s="2321" t="s">
        <v>2766</v>
      </c>
      <c r="B48" s="2324" t="str">
        <f>估价对象房地状况!C4</f>
        <v>较差</v>
      </c>
      <c r="C48" s="2226"/>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14.25">
      <c r="A49" s="2321" t="s">
        <v>2767</v>
      </c>
      <c r="B49" s="2325" t="str">
        <f>估价对象房地状况!C18</f>
        <v>一般</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2768</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1" t="s">
        <v>2769</v>
      </c>
      <c r="B51" s="2326" t="s">
        <v>2770</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2771</v>
      </c>
      <c r="B52" s="2325" t="str">
        <f>估价对象房地状况!C24</f>
        <v>支路</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1" t="s">
        <v>2772</v>
      </c>
      <c r="B53" s="2327" t="s">
        <v>2773</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4">
      <c r="A54" s="2328" t="s">
        <v>2774</v>
      </c>
      <c r="B54" s="1487" t="str">
        <f>估价对象房地状况!C21</f>
        <v>一般</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8" t="s">
        <v>2775</v>
      </c>
      <c r="B55" s="2325" t="str">
        <f>估价对象房地状况!C22</f>
        <v>七通</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24.75" thickBot="1">
      <c r="A56" s="2329" t="s">
        <v>2776</v>
      </c>
      <c r="B56" s="2330" t="str">
        <f>估价对象房地状况!C20</f>
        <v>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7" t="s">
        <v>2777</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2758</v>
      </c>
      <c r="B58" s="1528"/>
      <c r="C58" s="1528" t="s">
        <v>2760</v>
      </c>
      <c r="D58" s="1528" t="s">
        <v>2761</v>
      </c>
      <c r="E58" s="752" t="s">
        <v>2762</v>
      </c>
      <c r="F58" s="2322" t="s">
        <v>2778</v>
      </c>
      <c r="G58" s="1528" t="s">
        <v>754</v>
      </c>
      <c r="H58" s="2323" t="s">
        <v>2764</v>
      </c>
      <c r="I58" s="1528" t="s">
        <v>2765</v>
      </c>
      <c r="J58" s="555" t="s">
        <v>2414</v>
      </c>
      <c r="K58" s="555" t="s">
        <v>2415</v>
      </c>
      <c r="L58" s="555" t="s">
        <v>2416</v>
      </c>
      <c r="M58" s="555" t="s">
        <v>2417</v>
      </c>
      <c r="N58" s="555" t="s">
        <v>2418</v>
      </c>
      <c r="AA58" s="1275"/>
      <c r="AB58" s="1275"/>
      <c r="AC58" s="1275"/>
      <c r="AD58" s="1275"/>
      <c r="AE58" s="1275"/>
      <c r="AF58" s="1275"/>
      <c r="AG58" s="1275"/>
      <c r="AH58" s="1275"/>
      <c r="AI58" s="1275"/>
      <c r="AJ58" s="1275"/>
      <c r="AK58" s="1275"/>
    </row>
    <row r="59" spans="1:37" s="1274" customFormat="1" ht="24">
      <c r="A59" s="2321" t="s">
        <v>2779</v>
      </c>
      <c r="B59" s="2324">
        <f>估价对象房地状况!C17</f>
        <v>0</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2767</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2768</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2769</v>
      </c>
      <c r="B62" s="2326" t="s">
        <v>2770</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2771</v>
      </c>
      <c r="B63" s="2325" t="str">
        <f>估价对象房地状况!C24</f>
        <v>支路</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2772</v>
      </c>
      <c r="B64" s="2327" t="s">
        <v>2773</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2774</v>
      </c>
      <c r="B65" s="1487" t="str">
        <f>估价对象房地状况!C21</f>
        <v>一般</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2775</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2776</v>
      </c>
      <c r="B67" s="2331" t="str">
        <f>估价对象房地状况!C20</f>
        <v>一般</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2780</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2758</v>
      </c>
      <c r="B69" s="1528"/>
      <c r="C69" s="1528" t="s">
        <v>2760</v>
      </c>
      <c r="D69" s="1528" t="s">
        <v>2761</v>
      </c>
      <c r="E69" s="752" t="s">
        <v>2762</v>
      </c>
      <c r="F69" s="2322" t="s">
        <v>2778</v>
      </c>
      <c r="G69" s="1528" t="s">
        <v>754</v>
      </c>
      <c r="H69" s="2323" t="s">
        <v>2764</v>
      </c>
      <c r="I69" s="1528" t="s">
        <v>2765</v>
      </c>
      <c r="J69" s="555" t="s">
        <v>2414</v>
      </c>
      <c r="K69" s="555" t="s">
        <v>2415</v>
      </c>
      <c r="L69" s="555" t="s">
        <v>2416</v>
      </c>
      <c r="M69" s="555" t="s">
        <v>2417</v>
      </c>
      <c r="N69" s="555" t="s">
        <v>2418</v>
      </c>
      <c r="AA69" s="1275"/>
      <c r="AB69" s="1275"/>
      <c r="AC69" s="1275"/>
      <c r="AD69" s="1275"/>
      <c r="AE69" s="1275"/>
      <c r="AF69" s="1275"/>
      <c r="AG69" s="1275"/>
      <c r="AH69" s="1275"/>
      <c r="AI69" s="1275"/>
      <c r="AJ69" s="1275"/>
      <c r="AK69" s="1275"/>
    </row>
    <row r="70" spans="1:37" s="1274" customFormat="1" ht="24">
      <c r="A70" s="2321" t="s">
        <v>2781</v>
      </c>
      <c r="B70" s="2324" t="str">
        <f>估价对象房地状况!C15</f>
        <v>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2767</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2768</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2782</v>
      </c>
      <c r="B73" s="2325" t="str">
        <f>估价对象房地状况!C24</f>
        <v>支路</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2774</v>
      </c>
      <c r="B74" s="1487" t="str">
        <f>估价对象房地状况!C21</f>
        <v>一般</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2775</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2772</v>
      </c>
      <c r="B76" s="2327" t="s">
        <v>2773</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2776</v>
      </c>
      <c r="B77" s="2324" t="str">
        <f>估价对象房地状况!C20</f>
        <v>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2783</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2784</v>
      </c>
      <c r="B79" s="2318">
        <f>1+E81</f>
        <v>1</v>
      </c>
      <c r="C79" s="747"/>
      <c r="D79" s="747"/>
      <c r="E79" s="748"/>
      <c r="F79" s="2320"/>
      <c r="G79" s="6"/>
      <c r="H79" s="6"/>
      <c r="I79" s="6"/>
      <c r="J79" s="7"/>
      <c r="K79" s="7"/>
      <c r="L79" s="7"/>
      <c r="M79" s="7"/>
      <c r="N79" s="7"/>
      <c r="Z79" s="2176"/>
      <c r="AA79" s="2242"/>
      <c r="AG79" s="1276"/>
      <c r="AK79" s="2242"/>
    </row>
    <row r="80" spans="1:37" ht="24.75">
      <c r="A80" s="2321" t="s">
        <v>2758</v>
      </c>
      <c r="B80" s="1528"/>
      <c r="C80" s="1528" t="s">
        <v>2760</v>
      </c>
      <c r="D80" s="1528" t="s">
        <v>2761</v>
      </c>
      <c r="E80" s="752" t="s">
        <v>2762</v>
      </c>
      <c r="F80" s="2322" t="s">
        <v>2778</v>
      </c>
      <c r="G80" s="1528" t="s">
        <v>754</v>
      </c>
      <c r="H80" s="2323" t="s">
        <v>2764</v>
      </c>
      <c r="I80" s="1528" t="s">
        <v>2765</v>
      </c>
      <c r="J80" s="555" t="s">
        <v>2414</v>
      </c>
      <c r="K80" s="555" t="s">
        <v>2415</v>
      </c>
      <c r="L80" s="555" t="s">
        <v>2416</v>
      </c>
      <c r="M80" s="555" t="s">
        <v>2417</v>
      </c>
      <c r="N80" s="555" t="s">
        <v>2418</v>
      </c>
      <c r="Z80" s="2176"/>
      <c r="AA80" s="2242"/>
      <c r="AG80" s="1276"/>
      <c r="AK80" s="2242"/>
    </row>
    <row r="81" spans="1:37" ht="38.25">
      <c r="A81" s="2321" t="s">
        <v>2785</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2767</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2768</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2782</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2774</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2775</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2772</v>
      </c>
      <c r="B87" s="2327" t="s">
        <v>2786</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2787</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664" t="s">
        <v>2788</v>
      </c>
      <c r="B90" s="3664"/>
      <c r="C90" s="3664"/>
      <c r="D90" s="3664"/>
      <c r="E90" s="3664"/>
      <c r="F90" s="3664"/>
      <c r="G90" s="3664"/>
      <c r="H90" s="3664"/>
      <c r="I90" s="3664"/>
      <c r="J90" s="3664"/>
      <c r="K90" s="2335"/>
      <c r="L90" s="2335"/>
      <c r="M90" s="2335"/>
      <c r="N90" s="2335"/>
    </row>
    <row r="91" spans="1:37">
      <c r="A91" s="3666" t="s">
        <v>2789</v>
      </c>
      <c r="B91" s="3666" t="s">
        <v>2790</v>
      </c>
      <c r="C91" s="2289" t="s">
        <v>2791</v>
      </c>
      <c r="D91" s="2290"/>
      <c r="E91" s="2290"/>
      <c r="F91" s="2290"/>
      <c r="G91" s="2290"/>
      <c r="H91" s="2290"/>
      <c r="I91" s="2290"/>
      <c r="J91" s="2336"/>
      <c r="K91" s="2337"/>
      <c r="L91" s="2337"/>
      <c r="M91" s="2337"/>
      <c r="N91" s="2337"/>
    </row>
    <row r="92" spans="1:37">
      <c r="A92" s="3666"/>
      <c r="B92" s="3666"/>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667" t="s">
        <v>2792</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66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66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66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66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66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668"/>
      <c r="B99" s="2338" t="s">
        <v>2674</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66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667" t="s">
        <v>2793</v>
      </c>
      <c r="B101" s="2342" t="s">
        <v>2794</v>
      </c>
      <c r="C101" s="2343">
        <f>$G$3</f>
        <v>1.42</v>
      </c>
      <c r="D101" s="2343">
        <f t="shared" ref="D101:N101" si="31">$G$3</f>
        <v>1.42</v>
      </c>
      <c r="E101" s="2343">
        <f t="shared" si="31"/>
        <v>1.42</v>
      </c>
      <c r="F101" s="2343">
        <f t="shared" si="31"/>
        <v>1.42</v>
      </c>
      <c r="G101" s="2343">
        <f t="shared" si="31"/>
        <v>1.42</v>
      </c>
      <c r="H101" s="2343">
        <f t="shared" si="31"/>
        <v>1.42</v>
      </c>
      <c r="I101" s="2343">
        <f t="shared" si="31"/>
        <v>1.42</v>
      </c>
      <c r="J101" s="2343">
        <f t="shared" si="31"/>
        <v>1.42</v>
      </c>
      <c r="K101" s="2343">
        <f t="shared" si="31"/>
        <v>1.42</v>
      </c>
      <c r="L101" s="2343">
        <f t="shared" si="31"/>
        <v>1.42</v>
      </c>
      <c r="M101" s="2343">
        <f t="shared" si="31"/>
        <v>1.42</v>
      </c>
      <c r="N101" s="2343">
        <f t="shared" si="31"/>
        <v>1.42</v>
      </c>
    </row>
    <row r="102" spans="1:14">
      <c r="A102" s="3668"/>
      <c r="B102" s="2338">
        <v>1</v>
      </c>
      <c r="C102" s="2339">
        <f>1.9362/C101</f>
        <v>1.3635211267605634</v>
      </c>
      <c r="D102" s="2339">
        <f>1.9362/D101</f>
        <v>1.3635211267605634</v>
      </c>
      <c r="E102" s="2339">
        <f>1.8629/E101</f>
        <v>1.3119014084507044</v>
      </c>
      <c r="F102" s="2339">
        <f>1.8629/F101</f>
        <v>1.3119014084507044</v>
      </c>
      <c r="G102" s="2339">
        <f>1.8629/G101</f>
        <v>1.3119014084507044</v>
      </c>
      <c r="H102" s="2339">
        <f>1.8629/H101</f>
        <v>1.3119014084507044</v>
      </c>
      <c r="I102" s="2339">
        <f>1.8629/I101</f>
        <v>1.3119014084507044</v>
      </c>
      <c r="J102" s="2339">
        <f>1.942/J101</f>
        <v>1.3676056338028169</v>
      </c>
      <c r="K102" s="2339">
        <f>1.942/K101</f>
        <v>1.3676056338028169</v>
      </c>
      <c r="L102" s="2339">
        <f>1.942/L101</f>
        <v>1.3676056338028169</v>
      </c>
      <c r="M102" s="2339">
        <f>1.942/M101</f>
        <v>1.3676056338028169</v>
      </c>
      <c r="N102" s="2339">
        <f>1.942/N101</f>
        <v>1.3676056338028169</v>
      </c>
    </row>
    <row r="103" spans="1:14">
      <c r="A103" s="3668"/>
      <c r="B103" s="2338">
        <v>2</v>
      </c>
      <c r="C103" s="2339">
        <f>1.4198/C101</f>
        <v>0.99985915492957744</v>
      </c>
      <c r="D103" s="2339">
        <f>1.4198/D101</f>
        <v>0.99985915492957744</v>
      </c>
      <c r="E103" s="2339">
        <f>1.3372/E101</f>
        <v>0.94169014084507041</v>
      </c>
      <c r="F103" s="2339">
        <f>1.3372/F101</f>
        <v>0.94169014084507041</v>
      </c>
      <c r="G103" s="2339">
        <f>1.3372/G101</f>
        <v>0.94169014084507041</v>
      </c>
      <c r="H103" s="2339">
        <f>1.3372/H101</f>
        <v>0.94169014084507041</v>
      </c>
      <c r="I103" s="2339">
        <f>1.3372/I101</f>
        <v>0.94169014084507041</v>
      </c>
      <c r="J103" s="2339">
        <f>1.2799/J101</f>
        <v>0.9013380281690142</v>
      </c>
      <c r="K103" s="2339">
        <f>1.2799/K101</f>
        <v>0.9013380281690142</v>
      </c>
      <c r="L103" s="2339">
        <f>1.2799/L101</f>
        <v>0.9013380281690142</v>
      </c>
      <c r="M103" s="2339">
        <f>1.2799/M101</f>
        <v>0.9013380281690142</v>
      </c>
      <c r="N103" s="2339">
        <f>1.2799/N101</f>
        <v>0.9013380281690142</v>
      </c>
    </row>
    <row r="104" spans="1:14">
      <c r="A104" s="3668"/>
      <c r="B104" s="2338">
        <v>3</v>
      </c>
      <c r="C104" s="2339">
        <f>1.1594/C101</f>
        <v>0.81647887323943669</v>
      </c>
      <c r="D104" s="2339">
        <f>1.1594/D101</f>
        <v>0.81647887323943669</v>
      </c>
      <c r="E104" s="2339">
        <f>1.0788/E101</f>
        <v>0.75971830985915501</v>
      </c>
      <c r="F104" s="2339">
        <f>1.0788/F101</f>
        <v>0.75971830985915501</v>
      </c>
      <c r="G104" s="2339">
        <f>1.0788/G101</f>
        <v>0.75971830985915501</v>
      </c>
      <c r="H104" s="2339">
        <f>1.0788/H101</f>
        <v>0.75971830985915501</v>
      </c>
      <c r="I104" s="2339">
        <f>1.0788/I101</f>
        <v>0.75971830985915501</v>
      </c>
      <c r="J104" s="2339">
        <f>1.0072/J101</f>
        <v>0.7092957746478874</v>
      </c>
      <c r="K104" s="2339">
        <f>1.0072/K101</f>
        <v>0.7092957746478874</v>
      </c>
      <c r="L104" s="2339">
        <f>1.0072/L101</f>
        <v>0.7092957746478874</v>
      </c>
      <c r="M104" s="2339">
        <f>1.0072/M101</f>
        <v>0.7092957746478874</v>
      </c>
      <c r="N104" s="2339">
        <f>1.0072/N101</f>
        <v>0.7092957746478874</v>
      </c>
    </row>
    <row r="105" spans="1:14">
      <c r="A105" s="3668"/>
      <c r="B105" s="2338">
        <v>4</v>
      </c>
      <c r="C105" s="2339">
        <f>0.9622/C101</f>
        <v>0.67760563380281702</v>
      </c>
      <c r="D105" s="2339">
        <f>0.9622/D101</f>
        <v>0.67760563380281702</v>
      </c>
      <c r="E105" s="2339">
        <f>0.8656/E101</f>
        <v>0.60957746478873243</v>
      </c>
      <c r="F105" s="2339">
        <f>0.8656/F101</f>
        <v>0.60957746478873243</v>
      </c>
      <c r="G105" s="2339">
        <f>0.8656/G101</f>
        <v>0.60957746478873243</v>
      </c>
      <c r="H105" s="2339">
        <f>0.8656/H101</f>
        <v>0.60957746478873243</v>
      </c>
      <c r="I105" s="2339">
        <f>0.8656/I101</f>
        <v>0.60957746478873243</v>
      </c>
      <c r="J105" s="2339">
        <f>0.7525/J101</f>
        <v>0.52992957746478875</v>
      </c>
      <c r="K105" s="2339">
        <f>0.7525/K101</f>
        <v>0.52992957746478875</v>
      </c>
      <c r="L105" s="2339">
        <f>0.7525/L101</f>
        <v>0.52992957746478875</v>
      </c>
      <c r="M105" s="2339">
        <f>0.7525/M101</f>
        <v>0.52992957746478875</v>
      </c>
      <c r="N105" s="2339">
        <f>0.7525/N101</f>
        <v>0.52992957746478875</v>
      </c>
    </row>
    <row r="106" spans="1:14">
      <c r="A106" s="3668"/>
      <c r="B106" s="2338">
        <v>5</v>
      </c>
      <c r="C106" s="2339">
        <f>0.8417/C101</f>
        <v>0.5927464788732395</v>
      </c>
      <c r="D106" s="2339">
        <f>0.8417/D101</f>
        <v>0.5927464788732395</v>
      </c>
      <c r="E106" s="2339">
        <f>0.7371/E101</f>
        <v>0.51908450704225351</v>
      </c>
      <c r="F106" s="2339">
        <f>0.7371/F101</f>
        <v>0.51908450704225351</v>
      </c>
      <c r="G106" s="2339">
        <f>0.7371/G101</f>
        <v>0.51908450704225351</v>
      </c>
      <c r="H106" s="2339">
        <f>0.7371/H101</f>
        <v>0.51908450704225351</v>
      </c>
      <c r="I106" s="2339">
        <f>0.7371/I101</f>
        <v>0.51908450704225351</v>
      </c>
      <c r="J106" s="2339">
        <f>0.5659/J101</f>
        <v>0.39852112676056339</v>
      </c>
      <c r="K106" s="2339">
        <f>0.5659/K101</f>
        <v>0.39852112676056339</v>
      </c>
      <c r="L106" s="2339">
        <f>0.5659/L101</f>
        <v>0.39852112676056339</v>
      </c>
      <c r="M106" s="2339">
        <f>0.5659/M101</f>
        <v>0.39852112676056339</v>
      </c>
      <c r="N106" s="2339">
        <f>0.5659/N101</f>
        <v>0.39852112676056339</v>
      </c>
    </row>
    <row r="107" spans="1:14">
      <c r="A107" s="3668"/>
      <c r="B107" s="2338">
        <v>6</v>
      </c>
      <c r="C107" s="2339">
        <f>0.7608/C101</f>
        <v>0.53577464788732398</v>
      </c>
      <c r="D107" s="2339">
        <f>0.7608/D101</f>
        <v>0.53577464788732398</v>
      </c>
      <c r="E107" s="2339">
        <f>0.6482/E101</f>
        <v>0.45647887323943664</v>
      </c>
      <c r="F107" s="2339">
        <f>0.6482/F101</f>
        <v>0.45647887323943664</v>
      </c>
      <c r="G107" s="2339">
        <f>0.6482/G101</f>
        <v>0.45647887323943664</v>
      </c>
      <c r="H107" s="2339">
        <f>0.6482/H101</f>
        <v>0.45647887323943664</v>
      </c>
      <c r="I107" s="2339">
        <f>0.6482/I101</f>
        <v>0.45647887323943664</v>
      </c>
      <c r="J107" s="2339">
        <f>0.4525/J101</f>
        <v>0.31866197183098594</v>
      </c>
      <c r="K107" s="2339">
        <f>0.4525/K101</f>
        <v>0.31866197183098594</v>
      </c>
      <c r="L107" s="2339">
        <f>0.4525/L101</f>
        <v>0.31866197183098594</v>
      </c>
      <c r="M107" s="2339">
        <f>0.4525/M101</f>
        <v>0.31866197183098594</v>
      </c>
      <c r="N107" s="2339">
        <f>0.4525/N101</f>
        <v>0.31866197183098594</v>
      </c>
    </row>
    <row r="108" spans="1:14">
      <c r="A108" s="3668"/>
      <c r="B108" s="3670" t="s">
        <v>2795</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669"/>
      <c r="B109" s="3671"/>
      <c r="C109" s="2341">
        <f>(-0.163*(C108^2)-0.59*C108+7617)*(10^(-4))/C101</f>
        <v>0.53640845070422538</v>
      </c>
      <c r="D109" s="2341">
        <f>(-0.163*(D108^2)-0.59*D108+7617)*(10^(-4))/D101</f>
        <v>0.53640845070422538</v>
      </c>
      <c r="E109" s="2341">
        <f>(-0.161*(E108^2)-7.509*E108+6533)*(10^(-4))/E101</f>
        <v>0.4600704225352113</v>
      </c>
      <c r="F109" s="2341">
        <f>(-0.161*(F108^2)-7.509*F108+6533)*(10^(-4))/F101</f>
        <v>0.4600704225352113</v>
      </c>
      <c r="G109" s="2341">
        <f>(-0.161*(G108^2)-7.509*G108+6533)*(10^(-4))/G101</f>
        <v>0.4600704225352113</v>
      </c>
      <c r="H109" s="2341">
        <f>(-0.161*(H108^2)-7.509*H108+6533)*(10^(-4))/H101</f>
        <v>0.4600704225352113</v>
      </c>
      <c r="I109" s="2341">
        <f>(-0.161*(I108^2)-7.509*I108+6533)*(10^(-4))/I101</f>
        <v>0.4600704225352113</v>
      </c>
      <c r="J109" s="2341">
        <f>(-0.214*(J108^2)-21.991*J108+4665)*(10^(-4))/J101</f>
        <v>0.32852112676056344</v>
      </c>
      <c r="K109" s="2341">
        <f>(-0.214*(K108^2)-21.991*K108+4665)*(10^(-4))/K101</f>
        <v>0.32852112676056344</v>
      </c>
      <c r="L109" s="2341">
        <f>(-0.214*(L108^2)-21.991*L108+4665)*(10^(-4))/L101</f>
        <v>0.32852112676056344</v>
      </c>
      <c r="M109" s="2341">
        <f>(-0.214*(M108^2)-21.991*M108+4665)*(10^(-4))/M101</f>
        <v>0.32852112676056344</v>
      </c>
      <c r="N109" s="2341">
        <f>(-0.214*(N108^2)-21.991*N108+4665)*(10^(-4))/N101</f>
        <v>0.32852112676056344</v>
      </c>
    </row>
    <row r="110" spans="1:14">
      <c r="A110" s="3665" t="s">
        <v>2796</v>
      </c>
      <c r="B110" s="3665"/>
      <c r="C110" s="3665"/>
      <c r="D110" s="3665"/>
      <c r="E110" s="3665"/>
      <c r="F110" s="3665"/>
      <c r="G110" s="3665"/>
      <c r="H110" s="3665"/>
      <c r="I110" s="3665"/>
      <c r="J110" s="3665"/>
      <c r="K110" s="2344"/>
      <c r="L110" s="2344"/>
      <c r="M110" s="2344"/>
      <c r="N110" s="2344"/>
    </row>
    <row r="112" spans="1:14" ht="13.5" thickBot="1"/>
    <row r="113" spans="1:13" ht="25.5" thickBot="1">
      <c r="A113" s="836" t="s">
        <v>2797</v>
      </c>
      <c r="B113" s="1191">
        <f>G3</f>
        <v>1.42</v>
      </c>
      <c r="C113" s="837" t="s">
        <v>2798</v>
      </c>
      <c r="D113" s="838">
        <f>SUMPRODUCT((A115:A118=F113)*(B114:M114=H113)*B115:M118)</f>
        <v>0</v>
      </c>
      <c r="E113" s="2180" t="s">
        <v>2631</v>
      </c>
      <c r="F113" s="2346">
        <f>E2</f>
        <v>0</v>
      </c>
      <c r="G113" s="2180" t="s">
        <v>2632</v>
      </c>
      <c r="H113" s="2346">
        <f>G2</f>
        <v>0</v>
      </c>
      <c r="I113" s="2180"/>
      <c r="J113" s="2347"/>
      <c r="K113" s="2347"/>
      <c r="L113" s="2347"/>
      <c r="M113" s="2347"/>
    </row>
    <row r="114" spans="1:13">
      <c r="A114" s="841"/>
      <c r="B114" s="2348" t="s">
        <v>2799</v>
      </c>
      <c r="C114" s="2348" t="s">
        <v>2800</v>
      </c>
      <c r="D114" s="2348" t="s">
        <v>2801</v>
      </c>
      <c r="E114" s="2349" t="s">
        <v>2802</v>
      </c>
      <c r="F114" s="2349" t="s">
        <v>2803</v>
      </c>
      <c r="G114" s="2349" t="s">
        <v>2804</v>
      </c>
      <c r="H114" s="2350" t="s">
        <v>2805</v>
      </c>
      <c r="I114" s="2350" t="s">
        <v>2806</v>
      </c>
      <c r="J114" s="2351" t="s">
        <v>2807</v>
      </c>
      <c r="K114" s="2351" t="s">
        <v>2808</v>
      </c>
      <c r="L114" s="2351" t="s">
        <v>2809</v>
      </c>
      <c r="M114" s="2352" t="s">
        <v>2810</v>
      </c>
    </row>
    <row r="115" spans="1:13">
      <c r="A115" s="842" t="s">
        <v>2696</v>
      </c>
      <c r="B115" s="843">
        <f>ROUND(0.9335-0.0094*B113,4)</f>
        <v>0.92020000000000002</v>
      </c>
      <c r="C115" s="843">
        <f>B115</f>
        <v>0.92020000000000002</v>
      </c>
      <c r="D115" s="843">
        <f>ROUND(0.8331-0.0109*B113,4)</f>
        <v>0.81759999999999999</v>
      </c>
      <c r="E115" s="843">
        <f>D115</f>
        <v>0.81759999999999999</v>
      </c>
      <c r="F115" s="843">
        <f>E115</f>
        <v>0.81759999999999999</v>
      </c>
      <c r="G115" s="843">
        <f>F115</f>
        <v>0.81759999999999999</v>
      </c>
      <c r="H115" s="843">
        <f>G115</f>
        <v>0.81759999999999999</v>
      </c>
      <c r="I115" s="843">
        <f>ROUND(0.689-0.0155*B113,4)</f>
        <v>0.66700000000000004</v>
      </c>
      <c r="J115" s="843">
        <f t="shared" ref="J115:M118" si="33">I115</f>
        <v>0.66700000000000004</v>
      </c>
      <c r="K115" s="843">
        <f t="shared" si="33"/>
        <v>0.66700000000000004</v>
      </c>
      <c r="L115" s="843">
        <f t="shared" si="33"/>
        <v>0.66700000000000004</v>
      </c>
      <c r="M115" s="844">
        <f t="shared" si="33"/>
        <v>0.66700000000000004</v>
      </c>
    </row>
    <row r="116" spans="1:13">
      <c r="A116" s="842" t="s">
        <v>2697</v>
      </c>
      <c r="B116" s="843">
        <f>ROUND(0.949-0.012*B113,4)</f>
        <v>0.93200000000000005</v>
      </c>
      <c r="C116" s="843">
        <f>B116</f>
        <v>0.93200000000000005</v>
      </c>
      <c r="D116" s="843">
        <f>ROUND(0.8567-0.013*B113,4)</f>
        <v>0.83819999999999995</v>
      </c>
      <c r="E116" s="843">
        <f t="shared" ref="E116:H117" si="34">D116</f>
        <v>0.83819999999999995</v>
      </c>
      <c r="F116" s="843">
        <f t="shared" si="34"/>
        <v>0.83819999999999995</v>
      </c>
      <c r="G116" s="843">
        <f t="shared" si="34"/>
        <v>0.83819999999999995</v>
      </c>
      <c r="H116" s="843">
        <f t="shared" si="34"/>
        <v>0.83819999999999995</v>
      </c>
      <c r="I116" s="843">
        <f>ROUND(0.7694-0.014*B113,4)</f>
        <v>0.74950000000000006</v>
      </c>
      <c r="J116" s="843">
        <f t="shared" si="33"/>
        <v>0.74950000000000006</v>
      </c>
      <c r="K116" s="843">
        <f t="shared" si="33"/>
        <v>0.74950000000000006</v>
      </c>
      <c r="L116" s="843">
        <f t="shared" si="33"/>
        <v>0.74950000000000006</v>
      </c>
      <c r="M116" s="844">
        <f t="shared" si="33"/>
        <v>0.74950000000000006</v>
      </c>
    </row>
    <row r="117" spans="1:13">
      <c r="A117" s="842" t="s">
        <v>2698</v>
      </c>
      <c r="B117" s="843">
        <f>ROUND(0.8808-0.006*B113,4)</f>
        <v>0.87229999999999996</v>
      </c>
      <c r="C117" s="843">
        <f>B117</f>
        <v>0.87229999999999996</v>
      </c>
      <c r="D117" s="843">
        <f>ROUND(0.8748-0.008*B113,4)</f>
        <v>0.86339999999999995</v>
      </c>
      <c r="E117" s="843">
        <f t="shared" si="34"/>
        <v>0.86339999999999995</v>
      </c>
      <c r="F117" s="843">
        <f t="shared" si="34"/>
        <v>0.86339999999999995</v>
      </c>
      <c r="G117" s="843">
        <f t="shared" si="34"/>
        <v>0.86339999999999995</v>
      </c>
      <c r="H117" s="843">
        <f t="shared" si="34"/>
        <v>0.86339999999999995</v>
      </c>
      <c r="I117" s="843">
        <f>ROUND(0.7412-0.0095*B113,4)</f>
        <v>0.72770000000000001</v>
      </c>
      <c r="J117" s="843">
        <f t="shared" si="33"/>
        <v>0.72770000000000001</v>
      </c>
      <c r="K117" s="843">
        <f t="shared" si="33"/>
        <v>0.72770000000000001</v>
      </c>
      <c r="L117" s="843">
        <f t="shared" si="33"/>
        <v>0.72770000000000001</v>
      </c>
      <c r="M117" s="844">
        <f t="shared" si="33"/>
        <v>0.72770000000000001</v>
      </c>
    </row>
    <row r="118" spans="1:13" ht="13.5" thickBot="1">
      <c r="A118" s="665" t="s">
        <v>2699</v>
      </c>
      <c r="B118" s="845">
        <f>ROUND(0.7275-0.01*B113,4)</f>
        <v>0.71330000000000005</v>
      </c>
      <c r="C118" s="845">
        <f>B118</f>
        <v>0.71330000000000005</v>
      </c>
      <c r="D118" s="845">
        <f>ROUND(0.7043-0.012*B113,4)</f>
        <v>0.68730000000000002</v>
      </c>
      <c r="E118" s="845">
        <f>D118</f>
        <v>0.68730000000000002</v>
      </c>
      <c r="F118" s="845">
        <f>E118</f>
        <v>0.68730000000000002</v>
      </c>
      <c r="G118" s="845">
        <f>ROUND(0.6299-0.0122*B113,4)</f>
        <v>0.61260000000000003</v>
      </c>
      <c r="H118" s="845">
        <f>G118</f>
        <v>0.61260000000000003</v>
      </c>
      <c r="I118" s="845">
        <f>ROUND(0.5667-0.0136*B113,4)</f>
        <v>0.5474</v>
      </c>
      <c r="J118" s="845">
        <f t="shared" si="33"/>
        <v>0.5474</v>
      </c>
      <c r="K118" s="845">
        <f t="shared" si="33"/>
        <v>0.5474</v>
      </c>
      <c r="L118" s="845">
        <f t="shared" si="33"/>
        <v>0.5474</v>
      </c>
      <c r="M118" s="846">
        <f t="shared" si="33"/>
        <v>0.5474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D00-000000000000}">
      <formula1>"500米范围内,500-1000米,1000米以外"</formula1>
    </dataValidation>
    <dataValidation type="list" allowBlank="1" showInputMessage="1" showErrorMessage="1" sqref="C14:E14" xr:uid="{00000000-0002-0000-2D00-000001000000}">
      <formula1>"有,无"</formula1>
    </dataValidation>
    <dataValidation type="list" allowBlank="1" showInputMessage="1" showErrorMessage="1" sqref="B21" xr:uid="{00000000-0002-0000-2D00-000002000000}">
      <formula1>"容积率修正,楼层修正"</formula1>
    </dataValidation>
    <dataValidation type="list" allowBlank="1" showInputMessage="1" showErrorMessage="1" sqref="F17" xr:uid="{00000000-0002-0000-2D00-000003000000}">
      <formula1>"与级别开发程度一致,与级别开发程度不一致"</formula1>
    </dataValidation>
    <dataValidation type="list" allowBlank="1" showInputMessage="1" showErrorMessage="1" sqref="E2" xr:uid="{00000000-0002-0000-2D00-000004000000}">
      <formula1>"商业,办公,住宅,工业"</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81:C88 C70:C78 C48:C56 C59:C67" xr:uid="{00000000-0002-0000-2D00-000008000000}">
      <formula1>五等判定</formula1>
    </dataValidation>
    <dataValidation type="list" allowBlank="1" showInputMessage="1" showErrorMessage="1" sqref="H19" xr:uid="{00000000-0002-0000-2D00-000009000000}">
      <formula1>"地价指数,季度增幅（自定义）,按公示增长率计算"</formula1>
    </dataValidation>
    <dataValidation type="list" allowBlank="1" showInputMessage="1" showErrorMessage="1" sqref="H16:O16" xr:uid="{00000000-0002-0000-2D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2862</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688" t="s">
        <v>183</v>
      </c>
      <c r="B18" s="815" t="s">
        <v>560</v>
      </c>
      <c r="C18" s="816" t="s">
        <v>561</v>
      </c>
      <c r="D18" s="817"/>
      <c r="E18" s="815">
        <v>1</v>
      </c>
      <c r="F18" s="818" t="s">
        <v>562</v>
      </c>
      <c r="G18" s="819"/>
      <c r="H18" s="811"/>
      <c r="I18" s="811"/>
    </row>
    <row r="19" spans="1:9" s="820" customFormat="1" ht="19.5" customHeight="1">
      <c r="A19" s="3688"/>
      <c r="B19" s="3688" t="s">
        <v>563</v>
      </c>
      <c r="C19" s="816" t="s">
        <v>564</v>
      </c>
      <c r="D19" s="817"/>
      <c r="E19" s="815">
        <v>0.9</v>
      </c>
      <c r="F19" s="818" t="s">
        <v>565</v>
      </c>
      <c r="G19" s="819"/>
      <c r="H19" s="811"/>
      <c r="I19" s="811"/>
    </row>
    <row r="20" spans="1:9" s="820" customFormat="1" ht="19.5" customHeight="1">
      <c r="A20" s="3688"/>
      <c r="B20" s="3688"/>
      <c r="C20" s="816" t="s">
        <v>566</v>
      </c>
      <c r="D20" s="817"/>
      <c r="E20" s="815">
        <v>1.1000000000000001</v>
      </c>
      <c r="F20" s="818" t="s">
        <v>567</v>
      </c>
      <c r="G20" s="819"/>
      <c r="H20" s="811"/>
      <c r="I20" s="811"/>
    </row>
    <row r="21" spans="1:9" s="820" customFormat="1" ht="19.5" customHeight="1">
      <c r="A21" s="3688"/>
      <c r="B21" s="3688"/>
      <c r="C21" s="816" t="s">
        <v>568</v>
      </c>
      <c r="D21" s="817"/>
      <c r="E21" s="815">
        <v>0.8</v>
      </c>
      <c r="F21" s="818" t="s">
        <v>569</v>
      </c>
      <c r="G21" s="819"/>
      <c r="H21" s="811"/>
      <c r="I21" s="811"/>
    </row>
    <row r="22" spans="1:9" s="820" customFormat="1" ht="19.5" customHeight="1">
      <c r="A22" s="3688"/>
      <c r="B22" s="3688"/>
      <c r="C22" s="816" t="s">
        <v>570</v>
      </c>
      <c r="D22" s="817"/>
      <c r="E22" s="815">
        <v>0.5</v>
      </c>
      <c r="F22" s="818"/>
      <c r="G22" s="819"/>
      <c r="H22" s="811"/>
      <c r="I22" s="811"/>
    </row>
    <row r="23" spans="1:9" s="820" customFormat="1" ht="19.5" customHeight="1">
      <c r="A23" s="3688" t="s">
        <v>184</v>
      </c>
      <c r="B23" s="815" t="s">
        <v>560</v>
      </c>
      <c r="C23" s="816" t="s">
        <v>571</v>
      </c>
      <c r="D23" s="817"/>
      <c r="E23" s="815">
        <v>1</v>
      </c>
      <c r="F23" s="818" t="s">
        <v>572</v>
      </c>
      <c r="G23" s="819"/>
      <c r="H23" s="811"/>
      <c r="I23" s="811"/>
    </row>
    <row r="24" spans="1:9" s="820" customFormat="1" ht="19.5" customHeight="1">
      <c r="A24" s="3688"/>
      <c r="B24" s="3688" t="s">
        <v>563</v>
      </c>
      <c r="C24" s="816" t="s">
        <v>573</v>
      </c>
      <c r="D24" s="817"/>
      <c r="E24" s="815">
        <v>0.5</v>
      </c>
      <c r="F24" s="818"/>
      <c r="G24" s="819"/>
      <c r="H24" s="811"/>
      <c r="I24" s="811"/>
    </row>
    <row r="25" spans="1:9" s="820" customFormat="1" ht="19.5" customHeight="1">
      <c r="A25" s="3688"/>
      <c r="B25" s="3688"/>
      <c r="C25" s="816" t="s">
        <v>574</v>
      </c>
      <c r="D25" s="817"/>
      <c r="E25" s="815">
        <v>1.1000000000000001</v>
      </c>
      <c r="F25" s="818"/>
      <c r="G25" s="819"/>
      <c r="H25" s="811"/>
      <c r="I25" s="811"/>
    </row>
    <row r="26" spans="1:9" s="820" customFormat="1" ht="19.5" customHeight="1">
      <c r="A26" s="3688"/>
      <c r="B26" s="3688"/>
      <c r="C26" s="816" t="s">
        <v>575</v>
      </c>
      <c r="D26" s="817"/>
      <c r="E26" s="815">
        <v>1.1000000000000001</v>
      </c>
      <c r="F26" s="818"/>
      <c r="G26" s="819"/>
      <c r="H26" s="811"/>
      <c r="I26" s="811"/>
    </row>
    <row r="27" spans="1:9" s="820" customFormat="1" ht="19.5" customHeight="1">
      <c r="A27" s="3688"/>
      <c r="B27" s="3688"/>
      <c r="C27" s="816" t="s">
        <v>576</v>
      </c>
      <c r="D27" s="817"/>
      <c r="E27" s="815">
        <v>0.9</v>
      </c>
      <c r="F27" s="818" t="s">
        <v>577</v>
      </c>
      <c r="G27" s="819"/>
      <c r="H27" s="811"/>
      <c r="I27" s="811"/>
    </row>
    <row r="28" spans="1:9" s="820" customFormat="1" ht="19.5" customHeight="1">
      <c r="A28" s="3688"/>
      <c r="B28" s="3688"/>
      <c r="C28" s="816" t="s">
        <v>578</v>
      </c>
      <c r="D28" s="817"/>
      <c r="E28" s="815">
        <v>0.9</v>
      </c>
      <c r="F28" s="818" t="s">
        <v>579</v>
      </c>
      <c r="G28" s="819"/>
      <c r="H28" s="811"/>
      <c r="I28" s="811"/>
    </row>
    <row r="29" spans="1:9" s="820" customFormat="1" ht="19.5" customHeight="1">
      <c r="A29" s="3688"/>
      <c r="B29" s="3688"/>
      <c r="C29" s="816" t="s">
        <v>580</v>
      </c>
      <c r="D29" s="817"/>
      <c r="E29" s="815">
        <v>0.9</v>
      </c>
      <c r="F29" s="818" t="s">
        <v>581</v>
      </c>
      <c r="G29" s="819"/>
      <c r="H29" s="811"/>
      <c r="I29" s="811"/>
    </row>
    <row r="30" spans="1:9" s="820" customFormat="1" ht="19.5" customHeight="1">
      <c r="A30" s="3688"/>
      <c r="B30" s="3688"/>
      <c r="C30" s="816" t="s">
        <v>582</v>
      </c>
      <c r="D30" s="817"/>
      <c r="E30" s="815">
        <v>0.9</v>
      </c>
      <c r="F30" s="818" t="s">
        <v>583</v>
      </c>
      <c r="G30" s="819"/>
      <c r="H30" s="811"/>
      <c r="I30" s="811"/>
    </row>
    <row r="31" spans="1:9" s="820" customFormat="1" ht="19.5" customHeight="1">
      <c r="A31" s="3688"/>
      <c r="B31" s="3688"/>
      <c r="C31" s="816" t="s">
        <v>584</v>
      </c>
      <c r="D31" s="817"/>
      <c r="E31" s="815">
        <v>0.8</v>
      </c>
      <c r="F31" s="818" t="s">
        <v>585</v>
      </c>
      <c r="G31" s="819"/>
      <c r="H31" s="811"/>
      <c r="I31" s="811"/>
    </row>
    <row r="32" spans="1:9" s="820" customFormat="1" ht="19.5" customHeight="1">
      <c r="A32" s="3688"/>
      <c r="B32" s="3688"/>
      <c r="C32" s="816" t="s">
        <v>586</v>
      </c>
      <c r="D32" s="817"/>
      <c r="E32" s="815">
        <v>0.8</v>
      </c>
      <c r="F32" s="818" t="s">
        <v>587</v>
      </c>
      <c r="G32" s="819"/>
      <c r="H32" s="811"/>
      <c r="I32" s="811"/>
    </row>
    <row r="33" spans="1:9" s="820" customFormat="1" ht="19.5" customHeight="1">
      <c r="A33" s="3688" t="s">
        <v>185</v>
      </c>
      <c r="B33" s="815" t="s">
        <v>560</v>
      </c>
      <c r="C33" s="816" t="s">
        <v>588</v>
      </c>
      <c r="D33" s="817"/>
      <c r="E33" s="815">
        <v>1</v>
      </c>
      <c r="F33" s="818" t="s">
        <v>589</v>
      </c>
      <c r="G33" s="819"/>
      <c r="H33" s="811"/>
      <c r="I33" s="811"/>
    </row>
    <row r="34" spans="1:9" s="820" customFormat="1" ht="19.5" customHeight="1">
      <c r="A34" s="3688"/>
      <c r="B34" s="815" t="s">
        <v>563</v>
      </c>
      <c r="C34" s="816" t="s">
        <v>590</v>
      </c>
      <c r="D34" s="817"/>
      <c r="E34" s="815">
        <v>1.5</v>
      </c>
      <c r="F34" s="818" t="s">
        <v>591</v>
      </c>
      <c r="G34" s="819"/>
      <c r="H34" s="811"/>
      <c r="I34" s="811"/>
    </row>
    <row r="35" spans="1:9" s="820" customFormat="1" ht="19.5" customHeight="1">
      <c r="A35" s="3688" t="s">
        <v>186</v>
      </c>
      <c r="B35" s="815" t="s">
        <v>560</v>
      </c>
      <c r="C35" s="816" t="s">
        <v>592</v>
      </c>
      <c r="D35" s="817"/>
      <c r="E35" s="815">
        <v>1</v>
      </c>
      <c r="F35" s="818" t="s">
        <v>593</v>
      </c>
      <c r="G35" s="819"/>
      <c r="H35" s="811"/>
      <c r="I35" s="811"/>
    </row>
    <row r="36" spans="1:9" s="820" customFormat="1" ht="19.5" customHeight="1">
      <c r="A36" s="3688"/>
      <c r="B36" s="3688" t="s">
        <v>563</v>
      </c>
      <c r="C36" s="816" t="s">
        <v>594</v>
      </c>
      <c r="D36" s="817"/>
      <c r="E36" s="815">
        <v>1</v>
      </c>
      <c r="F36" s="818" t="s">
        <v>595</v>
      </c>
      <c r="G36" s="819"/>
      <c r="H36" s="811"/>
      <c r="I36" s="811"/>
    </row>
    <row r="37" spans="1:9" s="820" customFormat="1" ht="19.5" customHeight="1">
      <c r="A37" s="3688"/>
      <c r="B37" s="3688"/>
      <c r="C37" s="816" t="s">
        <v>596</v>
      </c>
      <c r="D37" s="817"/>
      <c r="E37" s="815">
        <v>1.5</v>
      </c>
      <c r="F37" s="818" t="s">
        <v>597</v>
      </c>
      <c r="G37" s="819"/>
      <c r="H37" s="811"/>
      <c r="I37" s="811"/>
    </row>
    <row r="38" spans="1:9" s="820" customFormat="1" ht="19.5" customHeight="1">
      <c r="A38" s="3688"/>
      <c r="B38" s="3688"/>
      <c r="C38" s="816" t="s">
        <v>598</v>
      </c>
      <c r="D38" s="817"/>
      <c r="E38" s="815">
        <v>1</v>
      </c>
      <c r="F38" s="818" t="s">
        <v>599</v>
      </c>
      <c r="G38" s="819"/>
      <c r="H38" s="811"/>
      <c r="I38" s="811"/>
    </row>
    <row r="39" spans="1:9" s="820" customFormat="1" ht="19.5" customHeight="1">
      <c r="A39" s="3688"/>
      <c r="B39" s="3688"/>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688" t="s">
        <v>614</v>
      </c>
      <c r="C61" s="751" t="s">
        <v>615</v>
      </c>
      <c r="D61" s="751" t="s">
        <v>616</v>
      </c>
      <c r="E61" s="828">
        <v>0.5</v>
      </c>
      <c r="F61" s="815">
        <v>80</v>
      </c>
    </row>
    <row r="62" spans="1:8" s="811" customFormat="1" ht="24">
      <c r="A62" s="815">
        <v>2</v>
      </c>
      <c r="B62" s="3688"/>
      <c r="C62" s="751" t="s">
        <v>617</v>
      </c>
      <c r="D62" s="751" t="s">
        <v>618</v>
      </c>
      <c r="E62" s="828">
        <v>0.5</v>
      </c>
      <c r="F62" s="815">
        <v>80</v>
      </c>
    </row>
    <row r="63" spans="1:8" s="811" customFormat="1" ht="36">
      <c r="A63" s="815">
        <v>3</v>
      </c>
      <c r="B63" s="3688"/>
      <c r="C63" s="751" t="s">
        <v>619</v>
      </c>
      <c r="D63" s="751" t="s">
        <v>620</v>
      </c>
      <c r="E63" s="828">
        <v>0.5</v>
      </c>
      <c r="F63" s="815">
        <v>80</v>
      </c>
    </row>
    <row r="64" spans="1:8" s="811" customFormat="1" ht="36">
      <c r="A64" s="815">
        <v>4</v>
      </c>
      <c r="B64" s="3688"/>
      <c r="C64" s="751" t="s">
        <v>621</v>
      </c>
      <c r="D64" s="751" t="s">
        <v>622</v>
      </c>
      <c r="E64" s="828">
        <v>0.4</v>
      </c>
      <c r="F64" s="815">
        <v>60</v>
      </c>
    </row>
    <row r="65" spans="1:6" s="811" customFormat="1" ht="36">
      <c r="A65" s="815">
        <v>5</v>
      </c>
      <c r="B65" s="3688"/>
      <c r="C65" s="751" t="s">
        <v>623</v>
      </c>
      <c r="D65" s="751" t="s">
        <v>624</v>
      </c>
      <c r="E65" s="828">
        <v>0.2</v>
      </c>
      <c r="F65" s="815">
        <v>30</v>
      </c>
    </row>
    <row r="66" spans="1:6" s="811" customFormat="1" ht="36">
      <c r="A66" s="815">
        <v>6</v>
      </c>
      <c r="B66" s="3688"/>
      <c r="C66" s="751" t="s">
        <v>625</v>
      </c>
      <c r="D66" s="751" t="s">
        <v>626</v>
      </c>
      <c r="E66" s="828">
        <v>0.3</v>
      </c>
      <c r="F66" s="815">
        <v>50</v>
      </c>
    </row>
    <row r="67" spans="1:6" s="811" customFormat="1" ht="36">
      <c r="A67" s="815">
        <v>7</v>
      </c>
      <c r="B67" s="3688"/>
      <c r="C67" s="751" t="s">
        <v>627</v>
      </c>
      <c r="D67" s="751" t="s">
        <v>628</v>
      </c>
      <c r="E67" s="828">
        <v>0.2</v>
      </c>
      <c r="F67" s="815">
        <v>30</v>
      </c>
    </row>
    <row r="68" spans="1:6" s="811" customFormat="1" ht="36">
      <c r="A68" s="815">
        <v>8</v>
      </c>
      <c r="B68" s="3688"/>
      <c r="C68" s="751" t="s">
        <v>629</v>
      </c>
      <c r="D68" s="751" t="s">
        <v>630</v>
      </c>
      <c r="E68" s="828">
        <v>0.2</v>
      </c>
      <c r="F68" s="815">
        <v>30</v>
      </c>
    </row>
    <row r="69" spans="1:6" s="811" customFormat="1" ht="36">
      <c r="A69" s="815">
        <v>9</v>
      </c>
      <c r="B69" s="3688"/>
      <c r="C69" s="751" t="s">
        <v>631</v>
      </c>
      <c r="D69" s="751" t="s">
        <v>632</v>
      </c>
      <c r="E69" s="828">
        <v>0.2</v>
      </c>
      <c r="F69" s="815">
        <v>30</v>
      </c>
    </row>
    <row r="70" spans="1:6" s="811" customFormat="1" ht="48">
      <c r="A70" s="815">
        <v>10</v>
      </c>
      <c r="B70" s="3688"/>
      <c r="C70" s="751" t="s">
        <v>633</v>
      </c>
      <c r="D70" s="751" t="s">
        <v>634</v>
      </c>
      <c r="E70" s="828">
        <v>0.2</v>
      </c>
      <c r="F70" s="815">
        <v>30</v>
      </c>
    </row>
    <row r="71" spans="1:6" s="811" customFormat="1" ht="48">
      <c r="A71" s="815">
        <v>11</v>
      </c>
      <c r="B71" s="3688"/>
      <c r="C71" s="751" t="s">
        <v>635</v>
      </c>
      <c r="D71" s="751" t="s">
        <v>636</v>
      </c>
      <c r="E71" s="828">
        <v>0.2</v>
      </c>
      <c r="F71" s="815">
        <v>30</v>
      </c>
    </row>
    <row r="72" spans="1:6" s="811" customFormat="1" ht="36">
      <c r="A72" s="815">
        <v>12</v>
      </c>
      <c r="B72" s="3688"/>
      <c r="C72" s="751" t="s">
        <v>637</v>
      </c>
      <c r="D72" s="751" t="s">
        <v>638</v>
      </c>
      <c r="E72" s="828">
        <v>0.5</v>
      </c>
      <c r="F72" s="815">
        <v>80</v>
      </c>
    </row>
    <row r="73" spans="1:6" s="811" customFormat="1" ht="24">
      <c r="A73" s="815">
        <v>13</v>
      </c>
      <c r="B73" s="3688"/>
      <c r="C73" s="751" t="s">
        <v>639</v>
      </c>
      <c r="D73" s="751" t="s">
        <v>640</v>
      </c>
      <c r="E73" s="828">
        <v>0.4</v>
      </c>
      <c r="F73" s="815">
        <v>60</v>
      </c>
    </row>
    <row r="74" spans="1:6" s="811" customFormat="1" ht="24">
      <c r="A74" s="815">
        <v>14</v>
      </c>
      <c r="B74" s="3688"/>
      <c r="C74" s="751" t="s">
        <v>641</v>
      </c>
      <c r="D74" s="751" t="s">
        <v>642</v>
      </c>
      <c r="E74" s="828">
        <v>0.2</v>
      </c>
      <c r="F74" s="815">
        <v>30</v>
      </c>
    </row>
    <row r="75" spans="1:6" s="811" customFormat="1" ht="24">
      <c r="A75" s="815">
        <v>15</v>
      </c>
      <c r="B75" s="3688"/>
      <c r="C75" s="751" t="s">
        <v>643</v>
      </c>
      <c r="D75" s="751" t="s">
        <v>644</v>
      </c>
      <c r="E75" s="828">
        <v>0.2</v>
      </c>
      <c r="F75" s="815">
        <v>30</v>
      </c>
    </row>
    <row r="76" spans="1:6" s="811" customFormat="1" ht="24">
      <c r="A76" s="815">
        <v>16</v>
      </c>
      <c r="B76" s="3688" t="s">
        <v>645</v>
      </c>
      <c r="C76" s="751" t="s">
        <v>646</v>
      </c>
      <c r="D76" s="751" t="s">
        <v>647</v>
      </c>
      <c r="E76" s="828">
        <v>0.5</v>
      </c>
      <c r="F76" s="815">
        <v>80</v>
      </c>
    </row>
    <row r="77" spans="1:6" s="811" customFormat="1" ht="24">
      <c r="A77" s="815">
        <v>17</v>
      </c>
      <c r="B77" s="3688"/>
      <c r="C77" s="751" t="s">
        <v>648</v>
      </c>
      <c r="D77" s="751" t="s">
        <v>649</v>
      </c>
      <c r="E77" s="828">
        <v>0.5</v>
      </c>
      <c r="F77" s="815">
        <v>80</v>
      </c>
    </row>
    <row r="78" spans="1:6" s="811" customFormat="1" ht="24">
      <c r="A78" s="815">
        <v>18</v>
      </c>
      <c r="B78" s="3688"/>
      <c r="C78" s="751" t="s">
        <v>650</v>
      </c>
      <c r="D78" s="751" t="s">
        <v>651</v>
      </c>
      <c r="E78" s="828">
        <v>0.2</v>
      </c>
      <c r="F78" s="815">
        <v>30</v>
      </c>
    </row>
    <row r="79" spans="1:6" s="811" customFormat="1" ht="24">
      <c r="A79" s="815">
        <v>19</v>
      </c>
      <c r="B79" s="3688"/>
      <c r="C79" s="751" t="s">
        <v>652</v>
      </c>
      <c r="D79" s="751" t="s">
        <v>653</v>
      </c>
      <c r="E79" s="828">
        <v>0.5</v>
      </c>
      <c r="F79" s="815">
        <v>80</v>
      </c>
    </row>
    <row r="80" spans="1:6" s="811" customFormat="1" ht="36">
      <c r="A80" s="815">
        <v>20</v>
      </c>
      <c r="B80" s="3688"/>
      <c r="C80" s="751" t="s">
        <v>654</v>
      </c>
      <c r="D80" s="751" t="s">
        <v>655</v>
      </c>
      <c r="E80" s="828">
        <v>0.2</v>
      </c>
      <c r="F80" s="815">
        <v>30</v>
      </c>
    </row>
    <row r="81" spans="1:6" s="811" customFormat="1" ht="36">
      <c r="A81" s="815">
        <v>21</v>
      </c>
      <c r="B81" s="3688"/>
      <c r="C81" s="751" t="s">
        <v>656</v>
      </c>
      <c r="D81" s="751" t="s">
        <v>657</v>
      </c>
      <c r="E81" s="828">
        <v>0.2</v>
      </c>
      <c r="F81" s="815">
        <v>30</v>
      </c>
    </row>
    <row r="82" spans="1:6" s="811" customFormat="1" ht="48">
      <c r="A82" s="815">
        <v>22</v>
      </c>
      <c r="B82" s="3688"/>
      <c r="C82" s="751" t="s">
        <v>658</v>
      </c>
      <c r="D82" s="751" t="s">
        <v>659</v>
      </c>
      <c r="E82" s="828">
        <v>0.2</v>
      </c>
      <c r="F82" s="815">
        <v>30</v>
      </c>
    </row>
    <row r="83" spans="1:6" s="811" customFormat="1" ht="48">
      <c r="A83" s="815">
        <v>23</v>
      </c>
      <c r="B83" s="3688"/>
      <c r="C83" s="751" t="s">
        <v>660</v>
      </c>
      <c r="D83" s="751" t="s">
        <v>661</v>
      </c>
      <c r="E83" s="828">
        <v>0.2</v>
      </c>
      <c r="F83" s="815">
        <v>30</v>
      </c>
    </row>
    <row r="84" spans="1:6" s="811" customFormat="1" ht="36">
      <c r="A84" s="815">
        <v>24</v>
      </c>
      <c r="B84" s="3688"/>
      <c r="C84" s="751" t="s">
        <v>662</v>
      </c>
      <c r="D84" s="751" t="s">
        <v>663</v>
      </c>
      <c r="E84" s="828">
        <v>0.2</v>
      </c>
      <c r="F84" s="815">
        <v>30</v>
      </c>
    </row>
    <row r="85" spans="1:6" s="811" customFormat="1" ht="36">
      <c r="A85" s="815">
        <v>25</v>
      </c>
      <c r="B85" s="3688"/>
      <c r="C85" s="751" t="s">
        <v>664</v>
      </c>
      <c r="D85" s="751" t="s">
        <v>665</v>
      </c>
      <c r="E85" s="828">
        <v>0.5</v>
      </c>
      <c r="F85" s="815">
        <v>80</v>
      </c>
    </row>
    <row r="86" spans="1:6" s="811" customFormat="1" ht="36">
      <c r="A86" s="815">
        <v>26</v>
      </c>
      <c r="B86" s="3688"/>
      <c r="C86" s="751" t="s">
        <v>666</v>
      </c>
      <c r="D86" s="751" t="s">
        <v>667</v>
      </c>
      <c r="E86" s="828">
        <v>0.2</v>
      </c>
      <c r="F86" s="815">
        <v>30</v>
      </c>
    </row>
    <row r="87" spans="1:6" s="811" customFormat="1" ht="36">
      <c r="A87" s="815">
        <v>27</v>
      </c>
      <c r="B87" s="3688"/>
      <c r="C87" s="751" t="s">
        <v>668</v>
      </c>
      <c r="D87" s="751" t="s">
        <v>669</v>
      </c>
      <c r="E87" s="828">
        <v>0.2</v>
      </c>
      <c r="F87" s="815">
        <v>30</v>
      </c>
    </row>
    <row r="88" spans="1:6" s="811" customFormat="1" ht="36">
      <c r="A88" s="815">
        <v>28</v>
      </c>
      <c r="B88" s="3688"/>
      <c r="C88" s="751" t="s">
        <v>670</v>
      </c>
      <c r="D88" s="751" t="s">
        <v>671</v>
      </c>
      <c r="E88" s="828">
        <v>0.2</v>
      </c>
      <c r="F88" s="815">
        <v>30</v>
      </c>
    </row>
    <row r="89" spans="1:6" s="811" customFormat="1" ht="24">
      <c r="A89" s="815">
        <v>29</v>
      </c>
      <c r="B89" s="3688"/>
      <c r="C89" s="751" t="s">
        <v>672</v>
      </c>
      <c r="D89" s="751" t="s">
        <v>673</v>
      </c>
      <c r="E89" s="828">
        <v>0.2</v>
      </c>
      <c r="F89" s="815">
        <v>30</v>
      </c>
    </row>
    <row r="90" spans="1:6" s="811" customFormat="1" ht="24">
      <c r="A90" s="815">
        <v>30</v>
      </c>
      <c r="B90" s="3688"/>
      <c r="C90" s="751" t="s">
        <v>674</v>
      </c>
      <c r="D90" s="751" t="s">
        <v>675</v>
      </c>
      <c r="E90" s="828">
        <v>0.2</v>
      </c>
      <c r="F90" s="815">
        <v>30</v>
      </c>
    </row>
    <row r="91" spans="1:6" s="811" customFormat="1" ht="36">
      <c r="A91" s="815">
        <v>31</v>
      </c>
      <c r="B91" s="3688"/>
      <c r="C91" s="751" t="s">
        <v>676</v>
      </c>
      <c r="D91" s="751" t="s">
        <v>677</v>
      </c>
      <c r="E91" s="828">
        <v>0.2</v>
      </c>
      <c r="F91" s="815">
        <v>30</v>
      </c>
    </row>
    <row r="92" spans="1:6" s="811" customFormat="1" ht="24">
      <c r="A92" s="815">
        <v>32</v>
      </c>
      <c r="B92" s="3688" t="s">
        <v>678</v>
      </c>
      <c r="C92" s="815" t="s">
        <v>679</v>
      </c>
      <c r="D92" s="751" t="s">
        <v>680</v>
      </c>
      <c r="E92" s="828">
        <v>0.2</v>
      </c>
      <c r="F92" s="815">
        <v>30</v>
      </c>
    </row>
    <row r="93" spans="1:6" s="811" customFormat="1" ht="36">
      <c r="A93" s="815">
        <v>33</v>
      </c>
      <c r="B93" s="3688"/>
      <c r="C93" s="815" t="s">
        <v>681</v>
      </c>
      <c r="D93" s="751" t="s">
        <v>682</v>
      </c>
      <c r="E93" s="828">
        <v>0.2</v>
      </c>
      <c r="F93" s="815">
        <v>30</v>
      </c>
    </row>
    <row r="94" spans="1:6" s="811" customFormat="1" ht="48">
      <c r="A94" s="815">
        <v>34</v>
      </c>
      <c r="B94" s="3688"/>
      <c r="C94" s="815" t="s">
        <v>683</v>
      </c>
      <c r="D94" s="751" t="s">
        <v>684</v>
      </c>
      <c r="E94" s="828">
        <v>0.2</v>
      </c>
      <c r="F94" s="815">
        <v>30</v>
      </c>
    </row>
    <row r="95" spans="1:6" s="811" customFormat="1" ht="36">
      <c r="A95" s="815">
        <v>35</v>
      </c>
      <c r="B95" s="3688"/>
      <c r="C95" s="815" t="s">
        <v>685</v>
      </c>
      <c r="D95" s="751" t="s">
        <v>686</v>
      </c>
      <c r="E95" s="828">
        <v>0.2</v>
      </c>
      <c r="F95" s="815">
        <v>30</v>
      </c>
    </row>
    <row r="96" spans="1:6" s="811" customFormat="1" ht="48">
      <c r="A96" s="815">
        <v>36</v>
      </c>
      <c r="B96" s="3688"/>
      <c r="C96" s="751" t="s">
        <v>687</v>
      </c>
      <c r="D96" s="751" t="s">
        <v>688</v>
      </c>
      <c r="E96" s="828">
        <v>0.2</v>
      </c>
      <c r="F96" s="815">
        <v>30</v>
      </c>
    </row>
    <row r="97" spans="1:6" s="811" customFormat="1" ht="36">
      <c r="A97" s="815">
        <v>37</v>
      </c>
      <c r="B97" s="3688"/>
      <c r="C97" s="815" t="s">
        <v>689</v>
      </c>
      <c r="D97" s="751" t="s">
        <v>690</v>
      </c>
      <c r="E97" s="828">
        <v>0.2</v>
      </c>
      <c r="F97" s="815">
        <v>30</v>
      </c>
    </row>
    <row r="98" spans="1:6" s="811" customFormat="1" ht="36">
      <c r="A98" s="815">
        <v>38</v>
      </c>
      <c r="B98" s="3688"/>
      <c r="C98" s="815" t="s">
        <v>691</v>
      </c>
      <c r="D98" s="751" t="s">
        <v>692</v>
      </c>
      <c r="E98" s="828">
        <v>0.2</v>
      </c>
      <c r="F98" s="815">
        <v>30</v>
      </c>
    </row>
    <row r="99" spans="1:6" s="811" customFormat="1" ht="36">
      <c r="A99" s="815">
        <v>39</v>
      </c>
      <c r="B99" s="3688" t="s">
        <v>693</v>
      </c>
      <c r="C99" s="815" t="s">
        <v>694</v>
      </c>
      <c r="D99" s="751" t="s">
        <v>695</v>
      </c>
      <c r="E99" s="828">
        <v>0.3</v>
      </c>
      <c r="F99" s="815">
        <v>50</v>
      </c>
    </row>
    <row r="100" spans="1:6" s="811" customFormat="1" ht="24">
      <c r="A100" s="815">
        <v>40</v>
      </c>
      <c r="B100" s="3688"/>
      <c r="C100" s="815" t="s">
        <v>696</v>
      </c>
      <c r="D100" s="751" t="s">
        <v>697</v>
      </c>
      <c r="E100" s="828">
        <v>0.2</v>
      </c>
      <c r="F100" s="815">
        <v>30</v>
      </c>
    </row>
    <row r="101" spans="1:6" s="811" customFormat="1" ht="36">
      <c r="A101" s="815">
        <v>41</v>
      </c>
      <c r="B101" s="3688"/>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688" t="s">
        <v>708</v>
      </c>
      <c r="C105" s="815" t="s">
        <v>709</v>
      </c>
      <c r="D105" s="751" t="s">
        <v>710</v>
      </c>
      <c r="E105" s="828">
        <v>0.2</v>
      </c>
      <c r="F105" s="815">
        <v>30</v>
      </c>
    </row>
    <row r="106" spans="1:6" s="811" customFormat="1" ht="36">
      <c r="A106" s="815">
        <v>46</v>
      </c>
      <c r="B106" s="3688"/>
      <c r="C106" s="815" t="s">
        <v>711</v>
      </c>
      <c r="D106" s="751" t="s">
        <v>712</v>
      </c>
      <c r="E106" s="828">
        <v>0.2</v>
      </c>
      <c r="F106" s="815">
        <v>30</v>
      </c>
    </row>
    <row r="107" spans="1:6" s="811" customFormat="1" ht="36">
      <c r="A107" s="815">
        <v>47</v>
      </c>
      <c r="B107" s="3688" t="s">
        <v>713</v>
      </c>
      <c r="C107" s="815" t="s">
        <v>714</v>
      </c>
      <c r="D107" s="751" t="s">
        <v>715</v>
      </c>
      <c r="E107" s="828">
        <v>0.3</v>
      </c>
      <c r="F107" s="815">
        <v>50</v>
      </c>
    </row>
    <row r="108" spans="1:6" s="811" customFormat="1" ht="36">
      <c r="A108" s="815">
        <v>48</v>
      </c>
      <c r="B108" s="3688"/>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688" t="s">
        <v>724</v>
      </c>
      <c r="C111" s="815" t="s">
        <v>725</v>
      </c>
      <c r="D111" s="751" t="s">
        <v>726</v>
      </c>
      <c r="E111" s="828">
        <v>0.2</v>
      </c>
      <c r="F111" s="815">
        <v>30</v>
      </c>
    </row>
    <row r="112" spans="1:6" s="811" customFormat="1" ht="24">
      <c r="A112" s="815">
        <v>52</v>
      </c>
      <c r="B112" s="3688"/>
      <c r="C112" s="815" t="s">
        <v>727</v>
      </c>
      <c r="D112" s="751" t="s">
        <v>728</v>
      </c>
      <c r="E112" s="828">
        <v>0.2</v>
      </c>
      <c r="F112" s="815">
        <v>30</v>
      </c>
    </row>
    <row r="113" spans="1:6" s="811" customFormat="1" ht="24">
      <c r="A113" s="815">
        <v>53</v>
      </c>
      <c r="B113" s="3688"/>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688" t="s">
        <v>737</v>
      </c>
      <c r="C116" s="815" t="s">
        <v>738</v>
      </c>
      <c r="D116" s="751" t="s">
        <v>739</v>
      </c>
      <c r="E116" s="828">
        <v>0.2</v>
      </c>
      <c r="F116" s="815">
        <v>30</v>
      </c>
    </row>
    <row r="117" spans="1:6" ht="36">
      <c r="A117" s="815">
        <v>57</v>
      </c>
      <c r="B117" s="3688"/>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2819</v>
      </c>
      <c r="B1" s="2355"/>
      <c r="C1" s="2355"/>
      <c r="D1" s="2355"/>
      <c r="E1" s="2355"/>
      <c r="F1" s="3012"/>
      <c r="G1" s="3012"/>
      <c r="H1" s="3012"/>
      <c r="I1" s="3012"/>
      <c r="J1" s="3012"/>
      <c r="K1" s="3012"/>
      <c r="L1" s="3012"/>
      <c r="M1" s="3012"/>
      <c r="N1" s="3012"/>
      <c r="O1" s="3012"/>
      <c r="P1" s="3012"/>
    </row>
    <row r="2" spans="1:16" ht="15.75">
      <c r="A2" s="2353" t="s">
        <v>2811</v>
      </c>
      <c r="B2" s="2817" t="e">
        <f ca="1">SUMIF(B6:B13,"&lt;&gt;#ref!",B6:B13)</f>
        <v>#DIV/0!</v>
      </c>
      <c r="C2" s="2353" t="s">
        <v>2812</v>
      </c>
      <c r="D2" s="2353" t="s">
        <v>2813</v>
      </c>
      <c r="E2" s="2827">
        <f ca="1">SUMIF(E6:E13,"&lt;&gt;#ref!",E6:E13)</f>
        <v>0</v>
      </c>
      <c r="F2" s="3012"/>
      <c r="G2" s="3012"/>
      <c r="H2" s="3012"/>
      <c r="I2" s="3012"/>
      <c r="J2" s="3012"/>
      <c r="K2" s="3012"/>
      <c r="L2" s="3012"/>
      <c r="M2" s="3012"/>
      <c r="N2" s="3012"/>
      <c r="O2" s="3012"/>
      <c r="P2" s="3012"/>
    </row>
    <row r="3" spans="1:16" ht="15.75">
      <c r="A3" s="2353" t="s">
        <v>2814</v>
      </c>
      <c r="B3" s="2817" t="e">
        <f ca="1">ROUND(B2*10000/E2,0)</f>
        <v>#DIV/0!</v>
      </c>
      <c r="C3" s="2353" t="s">
        <v>2820</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2815</v>
      </c>
      <c r="B5" s="2825" t="s">
        <v>2816</v>
      </c>
      <c r="C5" s="2354"/>
      <c r="D5" s="3012"/>
      <c r="E5" s="2826" t="s">
        <v>2817</v>
      </c>
      <c r="F5" s="3012"/>
      <c r="G5" s="3012"/>
      <c r="H5" s="3012"/>
      <c r="I5" s="3012"/>
      <c r="J5" s="3012"/>
      <c r="K5" s="3012"/>
      <c r="L5" s="3012"/>
      <c r="M5" s="3012"/>
      <c r="N5" s="3012"/>
      <c r="O5" s="3012"/>
      <c r="P5" s="3012"/>
    </row>
    <row r="6" spans="1:16" ht="15.75">
      <c r="A6" s="2824" t="s">
        <v>2818</v>
      </c>
      <c r="B6" s="2817" t="e">
        <f ca="1">SUMIF(INDIRECT("'"&amp;A6&amp;"'"&amp;"!A:A"),"总价",INDIRECT("'"&amp;A6&amp;"'"&amp;"!B:B"))</f>
        <v>#DIV/0!</v>
      </c>
      <c r="C6" s="2353" t="s">
        <v>2812</v>
      </c>
      <c r="D6" s="3012"/>
      <c r="E6" s="2827">
        <f ca="1">SUMIF(INDIRECT("'"&amp;A6&amp;"'"&amp;"!C:C"),"建筑面积",INDIRECT("'"&amp;A6&amp;"'"&amp;"!D:D"))</f>
        <v>0</v>
      </c>
      <c r="F6" s="3012"/>
      <c r="G6" s="3012"/>
      <c r="H6" s="3012"/>
      <c r="I6" s="3012"/>
      <c r="J6" s="3012"/>
      <c r="K6" s="3012"/>
      <c r="L6" s="3012"/>
      <c r="M6" s="3012"/>
      <c r="N6" s="3012"/>
      <c r="O6" s="3012"/>
      <c r="P6" s="3012"/>
    </row>
    <row r="7" spans="1:16" ht="15.75">
      <c r="A7" s="2824"/>
      <c r="B7" s="2817" t="e">
        <f ca="1">SUMIF(INDIRECT("'"&amp;A7&amp;"'"&amp;"!A:A"),"总价",INDIRECT("'"&amp;A7&amp;"'"&amp;"!B:B"))</f>
        <v>#REF!</v>
      </c>
      <c r="C7" s="2353" t="s">
        <v>2812</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53" t="s">
        <v>2812</v>
      </c>
      <c r="D8" s="3012"/>
      <c r="E8" s="2827" t="e">
        <f t="shared" ca="1" si="0"/>
        <v>#REF!</v>
      </c>
      <c r="F8" s="3012"/>
      <c r="G8" s="3012"/>
      <c r="H8" s="3012"/>
      <c r="I8" s="3012"/>
      <c r="J8" s="3012"/>
      <c r="K8" s="3012"/>
      <c r="L8" s="3012"/>
      <c r="M8" s="3012"/>
      <c r="N8" s="3012"/>
      <c r="O8" s="3012"/>
      <c r="P8" s="3012"/>
    </row>
    <row r="9" spans="1:16" ht="15.75">
      <c r="A9" s="2824"/>
      <c r="B9" s="2817" t="e">
        <f t="shared" ca="1" si="1"/>
        <v>#REF!</v>
      </c>
      <c r="C9" s="2353" t="s">
        <v>2812</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53" t="s">
        <v>2812</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53" t="s">
        <v>2812</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53" t="s">
        <v>2812</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53" t="s">
        <v>2812</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1"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8"/>
  <sheetViews>
    <sheetView zoomScale="80" zoomScaleNormal="80" workbookViewId="0">
      <selection activeCell="H3" sqref="H3"/>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694" t="s">
        <v>1117</v>
      </c>
      <c r="C1" s="3694"/>
      <c r="D1" s="3694"/>
      <c r="E1" s="3694"/>
      <c r="F1" s="3694"/>
      <c r="G1" s="3690" t="s">
        <v>1118</v>
      </c>
      <c r="H1" s="3690"/>
      <c r="I1" s="3690"/>
      <c r="J1" s="3690"/>
      <c r="K1" s="3690"/>
      <c r="L1" s="3690"/>
      <c r="N1" s="3690" t="s">
        <v>1119</v>
      </c>
      <c r="O1" s="3690"/>
      <c r="P1" s="3690"/>
      <c r="Q1" s="3690"/>
      <c r="S1" s="3690" t="s">
        <v>1120</v>
      </c>
      <c r="T1" s="3690"/>
      <c r="U1" s="3690"/>
      <c r="V1" s="3690"/>
      <c r="X1" s="3689" t="s">
        <v>1121</v>
      </c>
      <c r="Y1" s="3690"/>
      <c r="Z1" s="3690"/>
      <c r="AA1" s="3690"/>
      <c r="AB1" s="3690"/>
      <c r="AD1" s="3689" t="s">
        <v>1122</v>
      </c>
      <c r="AE1" s="3690"/>
      <c r="AF1" s="3690"/>
      <c r="AG1" s="3690"/>
      <c r="AH1" s="3690"/>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2852</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3054</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48">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2853</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3053</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48">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3052</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2">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3050</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1">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3049</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28">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2869</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2867</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2866</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2865</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2863</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2861</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2864</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692">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2859</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692"/>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2858</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692"/>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2851</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699"/>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2849</v>
      </c>
      <c r="B20" s="2430">
        <v>439</v>
      </c>
      <c r="C20" s="2430">
        <v>327</v>
      </c>
      <c r="D20" s="2430">
        <f>C20</f>
        <v>327</v>
      </c>
      <c r="E20" s="2430">
        <v>627</v>
      </c>
      <c r="F20" s="2431">
        <v>283</v>
      </c>
      <c r="G20" s="3695">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2850</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692"/>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692"/>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699"/>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695">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692"/>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692"/>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693"/>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691">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692"/>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692"/>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693"/>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691">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692"/>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692"/>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693"/>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696">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697"/>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697"/>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698"/>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691">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692"/>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692"/>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693"/>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691">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692">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692">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693">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691">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692">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692">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693">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691">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692">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692">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693">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691">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692">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692">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693">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691">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692">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692">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693">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691">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692">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692">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693">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691">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692">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692">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693">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691">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692">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692">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693">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691">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692">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692">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693">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691">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692">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692">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693">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0"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0"/>
    <col min="20" max="45" width="9" style="729"/>
    <col min="46" max="16384" width="9" style="130"/>
  </cols>
  <sheetData>
    <row r="1" spans="1:45" ht="14.25" customHeight="1" thickBot="1">
      <c r="A1" s="146"/>
      <c r="B1" s="1108" t="s">
        <v>2821</v>
      </c>
      <c r="C1" s="3703" t="s">
        <v>2822</v>
      </c>
      <c r="D1" s="3704"/>
      <c r="E1" s="3704"/>
      <c r="F1" s="3704"/>
      <c r="G1" s="3704"/>
      <c r="H1" s="3704"/>
      <c r="I1" s="3704"/>
      <c r="J1" s="3704"/>
      <c r="K1" s="3704"/>
      <c r="L1" s="3704"/>
      <c r="M1" s="3704"/>
      <c r="N1" s="3704"/>
      <c r="O1" s="3704"/>
      <c r="P1" s="3704"/>
      <c r="Q1" s="3704"/>
      <c r="R1" s="3704"/>
      <c r="S1" s="3705"/>
      <c r="T1" s="1108" t="s">
        <v>2823</v>
      </c>
    </row>
    <row r="2" spans="1:45" s="658" customFormat="1">
      <c r="A2" s="1109"/>
      <c r="B2" s="654" t="s">
        <v>2824</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1110" t="str">
        <f>S3&amp;"(含)"&amp;"-"</f>
        <v>(含)-</v>
      </c>
      <c r="T2" s="657"/>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3" customFormat="1">
      <c r="A3" s="1111"/>
      <c r="B3" s="659"/>
      <c r="C3" s="660"/>
      <c r="D3" s="661"/>
      <c r="E3" s="661"/>
      <c r="F3" s="1466"/>
      <c r="G3" s="1466"/>
      <c r="H3" s="1466"/>
      <c r="I3" s="1466"/>
      <c r="J3" s="1466"/>
      <c r="K3" s="1466"/>
      <c r="L3" s="1467"/>
      <c r="M3" s="1468"/>
      <c r="N3" s="1468"/>
      <c r="O3" s="1466"/>
      <c r="P3" s="1466"/>
      <c r="Q3" s="1466"/>
      <c r="R3" s="1466"/>
      <c r="S3" s="1469"/>
      <c r="T3" s="662"/>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3"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09" customFormat="1">
      <c r="A5" s="1119"/>
      <c r="B5" s="1499" t="s">
        <v>2825</v>
      </c>
      <c r="C5" s="1120"/>
      <c r="D5" s="1121"/>
      <c r="E5" s="1121"/>
      <c r="F5" s="1473"/>
      <c r="G5" s="1473"/>
      <c r="H5" s="1473"/>
      <c r="I5" s="1473"/>
      <c r="J5" s="1473"/>
      <c r="K5" s="1473"/>
      <c r="L5" s="1474"/>
      <c r="M5" s="1475"/>
      <c r="N5" s="1475"/>
      <c r="O5" s="1473"/>
      <c r="P5" s="1473"/>
      <c r="Q5" s="1473"/>
      <c r="R5" s="1473"/>
      <c r="S5" s="1476"/>
      <c r="T5" s="1123"/>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09"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09" customFormat="1">
      <c r="A7" s="1119"/>
      <c r="B7" s="1500" t="s">
        <v>2826</v>
      </c>
      <c r="C7" s="1029"/>
      <c r="D7" s="1023"/>
      <c r="E7" s="1023"/>
      <c r="F7" s="1478"/>
      <c r="G7" s="1478"/>
      <c r="H7" s="1478"/>
      <c r="I7" s="1478"/>
      <c r="J7" s="1478"/>
      <c r="K7" s="1478"/>
      <c r="L7" s="1478"/>
      <c r="M7" s="1479"/>
      <c r="N7" s="1480"/>
      <c r="O7" s="1481"/>
      <c r="P7" s="1482"/>
      <c r="Q7" s="1483"/>
      <c r="R7" s="1484"/>
      <c r="S7" s="1485"/>
      <c r="T7" s="664"/>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09"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09" customFormat="1">
      <c r="A9" s="1119"/>
      <c r="B9" s="1500" t="s">
        <v>2827</v>
      </c>
      <c r="C9" s="1029"/>
      <c r="D9" s="1023"/>
      <c r="E9" s="1023"/>
      <c r="F9" s="1478"/>
      <c r="G9" s="1478"/>
      <c r="H9" s="1478"/>
      <c r="I9" s="1478"/>
      <c r="J9" s="1478"/>
      <c r="K9" s="1478"/>
      <c r="L9" s="1486"/>
      <c r="M9" s="1479"/>
      <c r="N9" s="1480"/>
      <c r="O9" s="1481"/>
      <c r="P9" s="1482"/>
      <c r="Q9" s="1483"/>
      <c r="R9" s="1484"/>
      <c r="S9" s="1485"/>
      <c r="T9" s="664"/>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09"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09" customFormat="1">
      <c r="A11" s="1119"/>
      <c r="B11" s="1499" t="s">
        <v>2828</v>
      </c>
      <c r="C11" s="1120"/>
      <c r="D11" s="1121"/>
      <c r="E11" s="1121"/>
      <c r="F11" s="1121"/>
      <c r="G11" s="1121"/>
      <c r="H11" s="1121"/>
      <c r="I11" s="1121"/>
      <c r="J11" s="1121"/>
      <c r="K11" s="1121"/>
      <c r="L11" s="1121"/>
      <c r="M11" s="1122"/>
      <c r="N11" s="1126"/>
      <c r="O11" s="1127"/>
      <c r="P11" s="1128"/>
      <c r="Q11" s="1129"/>
      <c r="R11" s="1130"/>
      <c r="S11" s="1131"/>
      <c r="T11" s="1123"/>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09"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09" customFormat="1">
      <c r="A13" s="1119"/>
      <c r="B13" s="1499" t="s">
        <v>2829</v>
      </c>
      <c r="C13" s="1120"/>
      <c r="D13" s="1121"/>
      <c r="E13" s="1121"/>
      <c r="F13" s="1121"/>
      <c r="G13" s="1121"/>
      <c r="H13" s="1121"/>
      <c r="I13" s="1121"/>
      <c r="J13" s="1121"/>
      <c r="K13" s="1121"/>
      <c r="L13" s="1121"/>
      <c r="M13" s="1122"/>
      <c r="N13" s="1126"/>
      <c r="O13" s="1127"/>
      <c r="P13" s="1128"/>
      <c r="Q13" s="1129"/>
      <c r="R13" s="1130"/>
      <c r="S13" s="1131"/>
      <c r="T13" s="11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09"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09" customFormat="1">
      <c r="A15" s="1119"/>
      <c r="B15" s="1499" t="s">
        <v>2830</v>
      </c>
      <c r="C15" s="1120"/>
      <c r="D15" s="1121"/>
      <c r="E15" s="1121"/>
      <c r="F15" s="1121"/>
      <c r="G15" s="1121"/>
      <c r="H15" s="1121"/>
      <c r="I15" s="1121"/>
      <c r="J15" s="1121"/>
      <c r="K15" s="1121"/>
      <c r="L15" s="1121"/>
      <c r="M15" s="1122"/>
      <c r="N15" s="1126"/>
      <c r="O15" s="1127"/>
      <c r="P15" s="1128"/>
      <c r="Q15" s="1129"/>
      <c r="R15" s="1130"/>
      <c r="S15" s="1131"/>
      <c r="T15" s="11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09"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8" customFormat="1">
      <c r="A17" s="2356" t="s">
        <v>2831</v>
      </c>
      <c r="B17" s="2357" t="s">
        <v>2832</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0"/>
      <c r="AS17" s="730"/>
    </row>
    <row r="18" spans="1:45" s="658"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0"/>
      <c r="AS18" s="730"/>
    </row>
    <row r="19" spans="1:45">
      <c r="A19" s="129"/>
      <c r="B19" s="159"/>
      <c r="C19" s="159"/>
      <c r="D19" s="2358" t="s">
        <v>2833</v>
      </c>
      <c r="E19" s="1517"/>
      <c r="F19" s="1517"/>
      <c r="G19" s="1517"/>
      <c r="H19" s="1184"/>
      <c r="I19" s="159"/>
      <c r="J19" s="159"/>
      <c r="K19" s="159"/>
      <c r="L19" s="159"/>
      <c r="M19" s="159"/>
      <c r="N19" s="159"/>
      <c r="O19" s="159"/>
      <c r="P19" s="159"/>
      <c r="Q19" s="159"/>
      <c r="R19" s="722"/>
      <c r="S19" s="129"/>
    </row>
    <row r="20" spans="1:45" ht="16.5" thickBot="1">
      <c r="A20" s="666" t="s">
        <v>2834</v>
      </c>
      <c r="B20" s="295" t="e">
        <f ca="1">IF(D20="——",S22,S22-F20)</f>
        <v>#REF!</v>
      </c>
      <c r="C20" s="159"/>
      <c r="D20" s="2359"/>
      <c r="E20" s="1518"/>
      <c r="F20" s="1108" t="e">
        <f ca="1">SUMIF(INDIRECT("'"&amp;H20&amp;"'"&amp;"!A:A"),"承租人权益价值",INDIRECT("'"&amp;H20&amp;"'"&amp;"!c:c"))</f>
        <v>#REF!</v>
      </c>
      <c r="G20" s="1108" t="s">
        <v>2835</v>
      </c>
      <c r="H20" s="2360"/>
      <c r="I20" s="159"/>
      <c r="J20" s="159"/>
      <c r="K20" s="159"/>
      <c r="L20" s="159"/>
      <c r="M20" s="159"/>
      <c r="N20" s="159"/>
      <c r="O20" s="159"/>
      <c r="P20" s="159"/>
      <c r="Q20" s="159"/>
      <c r="R20" s="722"/>
      <c r="S20" s="129"/>
    </row>
    <row r="21" spans="1:45" ht="15.75">
      <c r="A21" s="666" t="s">
        <v>2836</v>
      </c>
      <c r="B21" s="295" t="e">
        <f ca="1">ROUND(B20*10000/B22,0)</f>
        <v>#REF!</v>
      </c>
      <c r="C21" s="159"/>
      <c r="D21" s="159"/>
      <c r="E21" s="159"/>
      <c r="F21" s="159"/>
      <c r="G21" s="159"/>
      <c r="H21" s="159"/>
      <c r="I21" s="159"/>
      <c r="J21" s="159"/>
      <c r="K21" s="159"/>
      <c r="L21" s="159"/>
      <c r="M21" s="159"/>
      <c r="N21" s="159"/>
      <c r="O21" s="159"/>
      <c r="P21" s="159"/>
      <c r="Q21" s="159"/>
      <c r="R21" s="722"/>
      <c r="S21" s="129"/>
    </row>
    <row r="22" spans="1:45">
      <c r="A22" s="317" t="s">
        <v>2837</v>
      </c>
      <c r="B22" s="23">
        <f>SUM(B24:B10000)</f>
        <v>100</v>
      </c>
      <c r="C22" s="3700" t="s">
        <v>33</v>
      </c>
      <c r="D22" s="3701"/>
      <c r="E22" s="3701"/>
      <c r="F22" s="3701"/>
      <c r="G22" s="3701"/>
      <c r="H22" s="3701"/>
      <c r="I22" s="3701"/>
      <c r="J22" s="3701"/>
      <c r="K22" s="3701"/>
      <c r="L22" s="3701"/>
      <c r="M22" s="3701"/>
      <c r="N22" s="3701"/>
      <c r="O22" s="3701"/>
      <c r="P22" s="3701"/>
      <c r="Q22" s="3702"/>
      <c r="R22" s="667">
        <f>ROUND(S22*10000/B22,0)</f>
        <v>10000</v>
      </c>
      <c r="S22" s="23">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8" t="s">
        <v>2841</v>
      </c>
      <c r="S23" s="11" t="s">
        <v>2842</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2843</v>
      </c>
      <c r="B24" s="669">
        <v>100</v>
      </c>
      <c r="C24" s="3029">
        <v>1</v>
      </c>
      <c r="D24" s="3030"/>
      <c r="E24" s="3029">
        <v>1</v>
      </c>
      <c r="F24" s="3030"/>
      <c r="G24" s="3029">
        <v>1</v>
      </c>
      <c r="H24" s="3030"/>
      <c r="I24" s="3029">
        <v>1</v>
      </c>
      <c r="J24" s="3030"/>
      <c r="K24" s="3029">
        <v>1</v>
      </c>
      <c r="L24" s="3030"/>
      <c r="M24" s="3029">
        <v>1</v>
      </c>
      <c r="N24" s="3030"/>
      <c r="O24" s="3029">
        <v>1</v>
      </c>
      <c r="P24" s="3030"/>
      <c r="Q24" s="3029">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0"/>
      <c r="B25" s="55"/>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7">
        <f t="shared" si="11"/>
        <v>0</v>
      </c>
    </row>
    <row r="26" spans="1:45">
      <c r="A26" s="150"/>
      <c r="B26" s="55"/>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7">
        <f t="shared" si="11"/>
        <v>0</v>
      </c>
    </row>
    <row r="27" spans="1:45">
      <c r="A27" s="150"/>
      <c r="B27" s="55"/>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7">
        <f t="shared" si="11"/>
        <v>0</v>
      </c>
    </row>
    <row r="28" spans="1:45">
      <c r="A28" s="150"/>
      <c r="B28" s="55"/>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7">
        <f t="shared" si="11"/>
        <v>0</v>
      </c>
    </row>
    <row r="29" spans="1:45">
      <c r="A29" s="150"/>
      <c r="B29" s="55"/>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7">
        <f t="shared" si="11"/>
        <v>0</v>
      </c>
    </row>
    <row r="30" spans="1:45">
      <c r="A30" s="150"/>
      <c r="B30" s="55"/>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7">
        <f t="shared" si="11"/>
        <v>0</v>
      </c>
    </row>
    <row r="31" spans="1:45">
      <c r="A31" s="150"/>
      <c r="B31" s="55"/>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7">
        <f t="shared" si="11"/>
        <v>0</v>
      </c>
    </row>
    <row r="32" spans="1:45">
      <c r="A32" s="150"/>
      <c r="B32" s="55"/>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7">
        <f t="shared" si="11"/>
        <v>0</v>
      </c>
    </row>
    <row r="33" spans="1:19">
      <c r="A33" s="150"/>
      <c r="B33" s="55"/>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7">
        <f t="shared" si="11"/>
        <v>0</v>
      </c>
    </row>
    <row r="34" spans="1:19">
      <c r="A34" s="150"/>
      <c r="B34" s="55"/>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7">
        <f t="shared" si="11"/>
        <v>0</v>
      </c>
    </row>
    <row r="35" spans="1:19">
      <c r="A35" s="150"/>
      <c r="B35" s="55"/>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7">
        <f t="shared" si="11"/>
        <v>0</v>
      </c>
    </row>
    <row r="36" spans="1:19">
      <c r="A36" s="150"/>
      <c r="B36" s="55"/>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7">
        <f t="shared" si="11"/>
        <v>0</v>
      </c>
    </row>
    <row r="37" spans="1:19">
      <c r="A37" s="150"/>
      <c r="B37" s="55"/>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7">
        <f t="shared" si="11"/>
        <v>0</v>
      </c>
    </row>
    <row r="38" spans="1:19">
      <c r="A38" s="150"/>
      <c r="B38" s="55"/>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7">
        <f t="shared" si="11"/>
        <v>0</v>
      </c>
    </row>
    <row r="39" spans="1:19">
      <c r="A39" s="150"/>
      <c r="B39" s="55"/>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7">
        <f t="shared" si="11"/>
        <v>0</v>
      </c>
    </row>
    <row r="40" spans="1:19">
      <c r="A40" s="150"/>
      <c r="B40" s="55"/>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7">
        <f t="shared" si="11"/>
        <v>0</v>
      </c>
    </row>
    <row r="41" spans="1:19">
      <c r="A41" s="150"/>
      <c r="B41" s="55"/>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7">
        <f t="shared" si="11"/>
        <v>0</v>
      </c>
    </row>
    <row r="42" spans="1:19">
      <c r="A42" s="150"/>
      <c r="B42" s="55"/>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7">
        <f t="shared" si="11"/>
        <v>0</v>
      </c>
    </row>
    <row r="43" spans="1:19">
      <c r="A43" s="150"/>
      <c r="B43" s="55"/>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7">
        <f t="shared" si="11"/>
        <v>0</v>
      </c>
    </row>
    <row r="44" spans="1:19">
      <c r="A44" s="150"/>
      <c r="B44" s="55"/>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7">
        <f t="shared" si="11"/>
        <v>0</v>
      </c>
    </row>
    <row r="45" spans="1:19">
      <c r="A45" s="150"/>
      <c r="B45" s="55"/>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7">
        <f t="shared" si="11"/>
        <v>0</v>
      </c>
    </row>
    <row r="46" spans="1:19">
      <c r="A46" s="150"/>
      <c r="B46" s="55"/>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7">
        <f t="shared" si="11"/>
        <v>0</v>
      </c>
    </row>
    <row r="47" spans="1:19">
      <c r="A47" s="150"/>
      <c r="B47" s="55"/>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7">
        <f t="shared" si="11"/>
        <v>0</v>
      </c>
    </row>
    <row r="48" spans="1:19">
      <c r="A48" s="150"/>
      <c r="B48" s="55"/>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7">
        <f t="shared" si="11"/>
        <v>0</v>
      </c>
    </row>
    <row r="49" spans="1:19">
      <c r="A49" s="150"/>
      <c r="B49" s="55"/>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7">
        <f t="shared" si="11"/>
        <v>0</v>
      </c>
    </row>
    <row r="50" spans="1:19">
      <c r="A50" s="150"/>
      <c r="B50" s="55"/>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7">
        <f t="shared" si="11"/>
        <v>0</v>
      </c>
    </row>
    <row r="51" spans="1:19">
      <c r="A51" s="150"/>
      <c r="B51" s="55"/>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7">
        <f t="shared" si="11"/>
        <v>0</v>
      </c>
    </row>
    <row r="52" spans="1:19">
      <c r="A52" s="150"/>
      <c r="B52" s="55"/>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7">
        <f t="shared" si="11"/>
        <v>0</v>
      </c>
    </row>
    <row r="53" spans="1:19">
      <c r="A53" s="150"/>
      <c r="B53" s="55"/>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7">
        <f t="shared" si="11"/>
        <v>0</v>
      </c>
    </row>
    <row r="54" spans="1:19">
      <c r="A54" s="150"/>
      <c r="B54" s="55"/>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7">
        <f t="shared" si="11"/>
        <v>0</v>
      </c>
    </row>
    <row r="55" spans="1:19">
      <c r="A55" s="150"/>
      <c r="B55" s="55"/>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7">
        <f t="shared" ref="S55:S77" si="21">ROUND(R55*B55/10000,0)</f>
        <v>0</v>
      </c>
    </row>
    <row r="56" spans="1:19">
      <c r="A56" s="150"/>
      <c r="B56" s="55"/>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7">
        <f t="shared" si="21"/>
        <v>0</v>
      </c>
    </row>
    <row r="57" spans="1:19">
      <c r="A57" s="150"/>
      <c r="B57" s="55"/>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7">
        <f t="shared" si="21"/>
        <v>0</v>
      </c>
    </row>
    <row r="58" spans="1:19">
      <c r="A58" s="150"/>
      <c r="B58" s="55"/>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7">
        <f t="shared" si="21"/>
        <v>0</v>
      </c>
    </row>
    <row r="59" spans="1:19">
      <c r="A59" s="150"/>
      <c r="B59" s="55"/>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7">
        <f t="shared" si="21"/>
        <v>0</v>
      </c>
    </row>
    <row r="60" spans="1:19">
      <c r="A60" s="150"/>
      <c r="B60" s="55"/>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7">
        <f t="shared" si="21"/>
        <v>0</v>
      </c>
    </row>
    <row r="61" spans="1:19">
      <c r="A61" s="150"/>
      <c r="B61" s="55"/>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7">
        <f t="shared" si="21"/>
        <v>0</v>
      </c>
    </row>
    <row r="62" spans="1:19">
      <c r="A62" s="150"/>
      <c r="B62" s="55"/>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7">
        <f t="shared" si="21"/>
        <v>0</v>
      </c>
    </row>
    <row r="63" spans="1:19">
      <c r="A63" s="150"/>
      <c r="B63" s="55"/>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7">
        <f t="shared" si="21"/>
        <v>0</v>
      </c>
    </row>
    <row r="64" spans="1:19">
      <c r="A64" s="150"/>
      <c r="B64" s="55"/>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7">
        <f t="shared" si="21"/>
        <v>0</v>
      </c>
    </row>
    <row r="65" spans="1:19">
      <c r="A65" s="150"/>
      <c r="B65" s="55"/>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7">
        <f t="shared" si="21"/>
        <v>0</v>
      </c>
    </row>
    <row r="66" spans="1:19">
      <c r="A66" s="150"/>
      <c r="B66" s="55"/>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7">
        <f t="shared" si="21"/>
        <v>0</v>
      </c>
    </row>
    <row r="67" spans="1:19">
      <c r="A67" s="150"/>
      <c r="B67" s="55"/>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7">
        <f t="shared" si="21"/>
        <v>0</v>
      </c>
    </row>
    <row r="68" spans="1:19">
      <c r="A68" s="150"/>
      <c r="B68" s="55"/>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7">
        <f t="shared" si="21"/>
        <v>0</v>
      </c>
    </row>
    <row r="69" spans="1:19">
      <c r="A69" s="150"/>
      <c r="B69" s="55"/>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7">
        <f t="shared" si="21"/>
        <v>0</v>
      </c>
    </row>
    <row r="70" spans="1:19">
      <c r="A70" s="150"/>
      <c r="B70" s="55"/>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7">
        <f t="shared" si="21"/>
        <v>0</v>
      </c>
    </row>
    <row r="71" spans="1:19">
      <c r="A71" s="150"/>
      <c r="B71" s="55"/>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7">
        <f t="shared" si="21"/>
        <v>0</v>
      </c>
    </row>
    <row r="72" spans="1:19">
      <c r="A72" s="150"/>
      <c r="B72" s="55"/>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7">
        <f t="shared" si="21"/>
        <v>0</v>
      </c>
    </row>
    <row r="73" spans="1:19">
      <c r="A73" s="150"/>
      <c r="B73" s="55"/>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7">
        <f t="shared" si="21"/>
        <v>0</v>
      </c>
    </row>
    <row r="74" spans="1:19">
      <c r="A74" s="150"/>
      <c r="B74" s="55"/>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7">
        <f t="shared" si="21"/>
        <v>0</v>
      </c>
    </row>
    <row r="75" spans="1:19">
      <c r="A75" s="150"/>
      <c r="B75" s="55"/>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7">
        <f t="shared" si="21"/>
        <v>0</v>
      </c>
    </row>
    <row r="76" spans="1:19">
      <c r="A76" s="150"/>
      <c r="B76" s="55"/>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7">
        <f t="shared" si="21"/>
        <v>0</v>
      </c>
    </row>
    <row r="77" spans="1:19">
      <c r="A77" s="150"/>
      <c r="B77" s="55"/>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7">
        <f t="shared" si="21"/>
        <v>0</v>
      </c>
    </row>
    <row r="78" spans="1:19">
      <c r="A78" s="150"/>
      <c r="B78" s="55"/>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7">
        <f t="shared" ref="S78:S122" si="22">ROUND(R78*B78/10000,0)</f>
        <v>0</v>
      </c>
    </row>
    <row r="79" spans="1:19">
      <c r="A79" s="150"/>
      <c r="B79" s="55"/>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7">
        <f t="shared" si="22"/>
        <v>0</v>
      </c>
    </row>
    <row r="80" spans="1:19">
      <c r="A80" s="150"/>
      <c r="B80" s="55"/>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7">
        <f t="shared" si="22"/>
        <v>0</v>
      </c>
    </row>
    <row r="81" spans="1:19">
      <c r="A81" s="150"/>
      <c r="B81" s="55"/>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7">
        <f t="shared" si="22"/>
        <v>0</v>
      </c>
    </row>
    <row r="82" spans="1:19">
      <c r="A82" s="150"/>
      <c r="B82" s="55"/>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7">
        <f t="shared" si="22"/>
        <v>0</v>
      </c>
    </row>
    <row r="83" spans="1:19">
      <c r="A83" s="150"/>
      <c r="B83" s="55"/>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7">
        <f t="shared" si="22"/>
        <v>0</v>
      </c>
    </row>
    <row r="84" spans="1:19">
      <c r="A84" s="150"/>
      <c r="B84" s="55"/>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7">
        <f t="shared" si="22"/>
        <v>0</v>
      </c>
    </row>
    <row r="85" spans="1:19">
      <c r="A85" s="150"/>
      <c r="B85" s="55"/>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7">
        <f t="shared" si="22"/>
        <v>0</v>
      </c>
    </row>
    <row r="86" spans="1:19">
      <c r="A86" s="150"/>
      <c r="B86" s="55"/>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7">
        <f t="shared" si="22"/>
        <v>0</v>
      </c>
    </row>
    <row r="87" spans="1:19">
      <c r="A87" s="150"/>
      <c r="B87" s="55"/>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7">
        <f t="shared" si="22"/>
        <v>0</v>
      </c>
    </row>
    <row r="88" spans="1:19">
      <c r="A88" s="150"/>
      <c r="B88" s="55"/>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7">
        <f t="shared" si="22"/>
        <v>0</v>
      </c>
    </row>
    <row r="89" spans="1:19">
      <c r="A89" s="150"/>
      <c r="B89" s="55"/>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7">
        <f t="shared" si="22"/>
        <v>0</v>
      </c>
    </row>
    <row r="90" spans="1:19">
      <c r="A90" s="150"/>
      <c r="B90" s="55"/>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7">
        <f t="shared" si="22"/>
        <v>0</v>
      </c>
    </row>
    <row r="91" spans="1:19">
      <c r="A91" s="150"/>
      <c r="B91" s="55"/>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7">
        <f t="shared" si="22"/>
        <v>0</v>
      </c>
    </row>
    <row r="92" spans="1:19">
      <c r="A92" s="150"/>
      <c r="B92" s="55"/>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7">
        <f t="shared" si="22"/>
        <v>0</v>
      </c>
    </row>
    <row r="93" spans="1:19">
      <c r="A93" s="150"/>
      <c r="B93" s="55"/>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7">
        <f t="shared" si="22"/>
        <v>0</v>
      </c>
    </row>
    <row r="94" spans="1:19">
      <c r="A94" s="150"/>
      <c r="B94" s="55"/>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7">
        <f t="shared" si="22"/>
        <v>0</v>
      </c>
    </row>
    <row r="95" spans="1:19">
      <c r="A95" s="150"/>
      <c r="B95" s="55"/>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7">
        <f t="shared" si="22"/>
        <v>0</v>
      </c>
    </row>
    <row r="96" spans="1:19">
      <c r="A96" s="150"/>
      <c r="B96" s="55"/>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7">
        <f t="shared" si="22"/>
        <v>0</v>
      </c>
    </row>
    <row r="97" spans="1:19">
      <c r="A97" s="150"/>
      <c r="B97" s="55"/>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7">
        <f t="shared" si="22"/>
        <v>0</v>
      </c>
    </row>
    <row r="98" spans="1:19">
      <c r="A98" s="150"/>
      <c r="B98" s="55"/>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7">
        <f t="shared" si="22"/>
        <v>0</v>
      </c>
    </row>
    <row r="99" spans="1:19">
      <c r="A99" s="150"/>
      <c r="B99" s="55"/>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7">
        <f t="shared" si="22"/>
        <v>0</v>
      </c>
    </row>
    <row r="100" spans="1:19">
      <c r="A100" s="150"/>
      <c r="B100" s="55"/>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7">
        <f t="shared" si="22"/>
        <v>0</v>
      </c>
    </row>
    <row r="101" spans="1:19">
      <c r="A101" s="150"/>
      <c r="B101" s="55"/>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7">
        <f t="shared" si="22"/>
        <v>0</v>
      </c>
    </row>
    <row r="102" spans="1:19">
      <c r="A102" s="150"/>
      <c r="B102" s="55"/>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7">
        <f t="shared" si="22"/>
        <v>0</v>
      </c>
    </row>
    <row r="103" spans="1:19">
      <c r="A103" s="150"/>
      <c r="B103" s="55"/>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7">
        <f t="shared" si="22"/>
        <v>0</v>
      </c>
    </row>
    <row r="104" spans="1:19">
      <c r="A104" s="150"/>
      <c r="B104" s="55"/>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7">
        <f t="shared" si="22"/>
        <v>0</v>
      </c>
    </row>
    <row r="105" spans="1:19">
      <c r="A105" s="150"/>
      <c r="B105" s="55"/>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7">
        <f t="shared" si="22"/>
        <v>0</v>
      </c>
    </row>
    <row r="106" spans="1:19">
      <c r="A106" s="150"/>
      <c r="B106" s="55"/>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7">
        <f t="shared" si="22"/>
        <v>0</v>
      </c>
    </row>
    <row r="107" spans="1:19">
      <c r="A107" s="150"/>
      <c r="B107" s="55"/>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7">
        <f t="shared" si="22"/>
        <v>0</v>
      </c>
    </row>
    <row r="108" spans="1:19">
      <c r="A108" s="150"/>
      <c r="B108" s="55"/>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7">
        <f t="shared" si="22"/>
        <v>0</v>
      </c>
    </row>
    <row r="109" spans="1:19">
      <c r="A109" s="150"/>
      <c r="B109" s="55"/>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7">
        <f t="shared" si="22"/>
        <v>0</v>
      </c>
    </row>
    <row r="110" spans="1:19">
      <c r="A110" s="150"/>
      <c r="B110" s="55"/>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7">
        <f t="shared" si="22"/>
        <v>0</v>
      </c>
    </row>
    <row r="111" spans="1:19">
      <c r="A111" s="150"/>
      <c r="B111" s="55"/>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7">
        <f t="shared" si="22"/>
        <v>0</v>
      </c>
    </row>
    <row r="112" spans="1:19">
      <c r="A112" s="150"/>
      <c r="B112" s="55"/>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7">
        <f t="shared" si="22"/>
        <v>0</v>
      </c>
    </row>
    <row r="113" spans="1:19">
      <c r="A113" s="150"/>
      <c r="B113" s="55"/>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7">
        <f t="shared" si="22"/>
        <v>0</v>
      </c>
    </row>
    <row r="114" spans="1:19">
      <c r="A114" s="150"/>
      <c r="B114" s="55"/>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7">
        <f t="shared" si="22"/>
        <v>0</v>
      </c>
    </row>
    <row r="115" spans="1:19">
      <c r="A115" s="150"/>
      <c r="B115" s="55"/>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7">
        <f t="shared" si="22"/>
        <v>0</v>
      </c>
    </row>
    <row r="116" spans="1:19">
      <c r="A116" s="150"/>
      <c r="B116" s="55"/>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7">
        <f t="shared" si="22"/>
        <v>0</v>
      </c>
    </row>
    <row r="117" spans="1:19">
      <c r="A117" s="150"/>
      <c r="B117" s="55"/>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7">
        <f t="shared" si="22"/>
        <v>0</v>
      </c>
    </row>
    <row r="118" spans="1:19">
      <c r="A118" s="150"/>
      <c r="B118" s="55"/>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7">
        <f t="shared" si="22"/>
        <v>0</v>
      </c>
    </row>
    <row r="119" spans="1:19">
      <c r="A119" s="150"/>
      <c r="B119" s="55"/>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7">
        <f t="shared" si="22"/>
        <v>0</v>
      </c>
    </row>
    <row r="120" spans="1:19">
      <c r="A120" s="150"/>
      <c r="B120" s="55"/>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7">
        <f t="shared" si="22"/>
        <v>0</v>
      </c>
    </row>
    <row r="121" spans="1:19">
      <c r="A121" s="150"/>
      <c r="B121" s="55"/>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7">
        <f t="shared" si="22"/>
        <v>0</v>
      </c>
    </row>
    <row r="122" spans="1:19">
      <c r="A122" s="150"/>
      <c r="B122" s="55"/>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7">
        <f t="shared" si="22"/>
        <v>0</v>
      </c>
    </row>
    <row r="123" spans="1:19">
      <c r="A123" s="150"/>
      <c r="B123" s="55"/>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7">
        <f t="shared" ref="S123:S186" si="32">ROUND(R123*B123/10000,0)</f>
        <v>0</v>
      </c>
    </row>
    <row r="124" spans="1:19">
      <c r="A124" s="150"/>
      <c r="B124" s="55"/>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7">
        <f t="shared" si="32"/>
        <v>0</v>
      </c>
    </row>
    <row r="125" spans="1:19">
      <c r="A125" s="150"/>
      <c r="B125" s="55"/>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7">
        <f t="shared" si="32"/>
        <v>0</v>
      </c>
    </row>
    <row r="126" spans="1:19">
      <c r="A126" s="150"/>
      <c r="B126" s="55"/>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7">
        <f t="shared" si="32"/>
        <v>0</v>
      </c>
    </row>
    <row r="127" spans="1:19">
      <c r="A127" s="150"/>
      <c r="B127" s="55"/>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7">
        <f t="shared" si="32"/>
        <v>0</v>
      </c>
    </row>
    <row r="128" spans="1:19">
      <c r="A128" s="150"/>
      <c r="B128" s="55"/>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7">
        <f t="shared" si="32"/>
        <v>0</v>
      </c>
    </row>
    <row r="129" spans="1:19">
      <c r="A129" s="150"/>
      <c r="B129" s="55"/>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7">
        <f t="shared" si="32"/>
        <v>0</v>
      </c>
    </row>
    <row r="130" spans="1:19">
      <c r="A130" s="150"/>
      <c r="B130" s="55"/>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7">
        <f t="shared" si="32"/>
        <v>0</v>
      </c>
    </row>
    <row r="131" spans="1:19">
      <c r="A131" s="150"/>
      <c r="B131" s="55"/>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7">
        <f t="shared" si="32"/>
        <v>0</v>
      </c>
    </row>
    <row r="132" spans="1:19">
      <c r="A132" s="150"/>
      <c r="B132" s="55"/>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7">
        <f t="shared" si="32"/>
        <v>0</v>
      </c>
    </row>
    <row r="133" spans="1:19">
      <c r="A133" s="150"/>
      <c r="B133" s="55"/>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7">
        <f t="shared" si="32"/>
        <v>0</v>
      </c>
    </row>
    <row r="134" spans="1:19">
      <c r="A134" s="150"/>
      <c r="B134" s="55"/>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7">
        <f t="shared" si="32"/>
        <v>0</v>
      </c>
    </row>
    <row r="135" spans="1:19">
      <c r="A135" s="150"/>
      <c r="B135" s="55"/>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7">
        <f t="shared" si="32"/>
        <v>0</v>
      </c>
    </row>
    <row r="136" spans="1:19">
      <c r="A136" s="150"/>
      <c r="B136" s="55"/>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7">
        <f t="shared" si="32"/>
        <v>0</v>
      </c>
    </row>
    <row r="137" spans="1:19">
      <c r="A137" s="150"/>
      <c r="B137" s="55"/>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7">
        <f t="shared" si="32"/>
        <v>0</v>
      </c>
    </row>
    <row r="138" spans="1:19">
      <c r="A138" s="150"/>
      <c r="B138" s="55"/>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7">
        <f t="shared" si="32"/>
        <v>0</v>
      </c>
    </row>
    <row r="139" spans="1:19">
      <c r="A139" s="150"/>
      <c r="B139" s="55"/>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7">
        <f t="shared" si="32"/>
        <v>0</v>
      </c>
    </row>
    <row r="140" spans="1:19">
      <c r="A140" s="150"/>
      <c r="B140" s="55"/>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7">
        <f t="shared" si="32"/>
        <v>0</v>
      </c>
    </row>
    <row r="141" spans="1:19">
      <c r="A141" s="150"/>
      <c r="B141" s="55"/>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7">
        <f t="shared" si="32"/>
        <v>0</v>
      </c>
    </row>
    <row r="142" spans="1:19">
      <c r="A142" s="150"/>
      <c r="B142" s="55"/>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7">
        <f t="shared" si="32"/>
        <v>0</v>
      </c>
    </row>
    <row r="143" spans="1:19">
      <c r="A143" s="150"/>
      <c r="B143" s="55"/>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7">
        <f t="shared" si="32"/>
        <v>0</v>
      </c>
    </row>
    <row r="144" spans="1:19">
      <c r="A144" s="150"/>
      <c r="B144" s="55"/>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7">
        <f t="shared" si="32"/>
        <v>0</v>
      </c>
    </row>
    <row r="145" spans="1:19">
      <c r="A145" s="150"/>
      <c r="B145" s="55"/>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7">
        <f t="shared" si="32"/>
        <v>0</v>
      </c>
    </row>
    <row r="146" spans="1:19">
      <c r="A146" s="150"/>
      <c r="B146" s="55"/>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7">
        <f t="shared" si="32"/>
        <v>0</v>
      </c>
    </row>
    <row r="147" spans="1:19">
      <c r="A147" s="150"/>
      <c r="B147" s="55"/>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7">
        <f t="shared" si="32"/>
        <v>0</v>
      </c>
    </row>
    <row r="148" spans="1:19">
      <c r="A148" s="150"/>
      <c r="B148" s="55"/>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7">
        <f t="shared" si="32"/>
        <v>0</v>
      </c>
    </row>
    <row r="149" spans="1:19">
      <c r="A149" s="150"/>
      <c r="B149" s="55"/>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7">
        <f t="shared" si="32"/>
        <v>0</v>
      </c>
    </row>
    <row r="150" spans="1:19">
      <c r="A150" s="150"/>
      <c r="B150" s="55"/>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7">
        <f t="shared" si="32"/>
        <v>0</v>
      </c>
    </row>
    <row r="151" spans="1:19">
      <c r="A151" s="150"/>
      <c r="B151" s="55"/>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7">
        <f t="shared" si="32"/>
        <v>0</v>
      </c>
    </row>
    <row r="152" spans="1:19">
      <c r="A152" s="150"/>
      <c r="B152" s="55"/>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7">
        <f t="shared" si="32"/>
        <v>0</v>
      </c>
    </row>
    <row r="153" spans="1:19">
      <c r="A153" s="150"/>
      <c r="B153" s="55"/>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7">
        <f t="shared" si="32"/>
        <v>0</v>
      </c>
    </row>
    <row r="154" spans="1:19">
      <c r="A154" s="150"/>
      <c r="B154" s="55"/>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7">
        <f t="shared" si="32"/>
        <v>0</v>
      </c>
    </row>
    <row r="155" spans="1:19">
      <c r="A155" s="150"/>
      <c r="B155" s="55"/>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7">
        <f t="shared" si="32"/>
        <v>0</v>
      </c>
    </row>
    <row r="156" spans="1:19">
      <c r="A156" s="150"/>
      <c r="B156" s="55"/>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7">
        <f t="shared" si="32"/>
        <v>0</v>
      </c>
    </row>
    <row r="157" spans="1:19">
      <c r="A157" s="150"/>
      <c r="B157" s="55"/>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7">
        <f t="shared" si="32"/>
        <v>0</v>
      </c>
    </row>
    <row r="158" spans="1:19">
      <c r="A158" s="150"/>
      <c r="B158" s="55"/>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7">
        <f t="shared" si="32"/>
        <v>0</v>
      </c>
    </row>
    <row r="159" spans="1:19">
      <c r="A159" s="150"/>
      <c r="B159" s="55"/>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7">
        <f t="shared" si="32"/>
        <v>0</v>
      </c>
    </row>
    <row r="160" spans="1:19">
      <c r="A160" s="150"/>
      <c r="B160" s="55"/>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7">
        <f t="shared" si="32"/>
        <v>0</v>
      </c>
    </row>
    <row r="161" spans="1:19">
      <c r="A161" s="150"/>
      <c r="B161" s="55"/>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7">
        <f t="shared" si="32"/>
        <v>0</v>
      </c>
    </row>
    <row r="162" spans="1:19">
      <c r="A162" s="150"/>
      <c r="B162" s="55"/>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7">
        <f t="shared" si="32"/>
        <v>0</v>
      </c>
    </row>
    <row r="163" spans="1:19">
      <c r="A163" s="150"/>
      <c r="B163" s="55"/>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7">
        <f t="shared" si="32"/>
        <v>0</v>
      </c>
    </row>
    <row r="164" spans="1:19">
      <c r="A164" s="150"/>
      <c r="B164" s="55"/>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7">
        <f t="shared" si="32"/>
        <v>0</v>
      </c>
    </row>
    <row r="165" spans="1:19">
      <c r="A165" s="150"/>
      <c r="B165" s="55"/>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7">
        <f t="shared" si="32"/>
        <v>0</v>
      </c>
    </row>
    <row r="166" spans="1:19">
      <c r="A166" s="150"/>
      <c r="B166" s="55"/>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7">
        <f t="shared" si="32"/>
        <v>0</v>
      </c>
    </row>
    <row r="167" spans="1:19">
      <c r="A167" s="150"/>
      <c r="B167" s="55"/>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7">
        <f t="shared" si="32"/>
        <v>0</v>
      </c>
    </row>
    <row r="168" spans="1:19">
      <c r="A168" s="150"/>
      <c r="B168" s="55"/>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7">
        <f t="shared" si="32"/>
        <v>0</v>
      </c>
    </row>
    <row r="169" spans="1:19">
      <c r="A169" s="150"/>
      <c r="B169" s="55"/>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7">
        <f t="shared" si="32"/>
        <v>0</v>
      </c>
    </row>
    <row r="170" spans="1:19">
      <c r="A170" s="150"/>
      <c r="B170" s="55"/>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7">
        <f t="shared" si="32"/>
        <v>0</v>
      </c>
    </row>
    <row r="171" spans="1:19">
      <c r="A171" s="150"/>
      <c r="B171" s="55"/>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7">
        <f t="shared" si="32"/>
        <v>0</v>
      </c>
    </row>
    <row r="172" spans="1:19">
      <c r="A172" s="150"/>
      <c r="B172" s="55"/>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7">
        <f t="shared" si="32"/>
        <v>0</v>
      </c>
    </row>
    <row r="173" spans="1:19">
      <c r="A173" s="150"/>
      <c r="B173" s="55"/>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7">
        <f t="shared" si="32"/>
        <v>0</v>
      </c>
    </row>
    <row r="174" spans="1:19">
      <c r="A174" s="150"/>
      <c r="B174" s="55"/>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7">
        <f t="shared" si="32"/>
        <v>0</v>
      </c>
    </row>
    <row r="175" spans="1:19">
      <c r="A175" s="150"/>
      <c r="B175" s="55"/>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7">
        <f t="shared" si="32"/>
        <v>0</v>
      </c>
    </row>
    <row r="176" spans="1:19">
      <c r="A176" s="150"/>
      <c r="B176" s="55"/>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7">
        <f t="shared" si="32"/>
        <v>0</v>
      </c>
    </row>
    <row r="177" spans="1:19">
      <c r="A177" s="150"/>
      <c r="B177" s="55"/>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7">
        <f t="shared" si="32"/>
        <v>0</v>
      </c>
    </row>
    <row r="178" spans="1:19">
      <c r="A178" s="150"/>
      <c r="B178" s="55"/>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7">
        <f t="shared" si="32"/>
        <v>0</v>
      </c>
    </row>
    <row r="179" spans="1:19">
      <c r="A179" s="150"/>
      <c r="B179" s="55"/>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7">
        <f t="shared" si="32"/>
        <v>0</v>
      </c>
    </row>
    <row r="180" spans="1:19">
      <c r="A180" s="150"/>
      <c r="B180" s="55"/>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7">
        <f t="shared" si="32"/>
        <v>0</v>
      </c>
    </row>
    <row r="181" spans="1:19">
      <c r="A181" s="150"/>
      <c r="B181" s="55"/>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7">
        <f t="shared" si="32"/>
        <v>0</v>
      </c>
    </row>
    <row r="182" spans="1:19">
      <c r="A182" s="150"/>
      <c r="B182" s="55"/>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7">
        <f t="shared" si="32"/>
        <v>0</v>
      </c>
    </row>
    <row r="183" spans="1:19">
      <c r="A183" s="150"/>
      <c r="B183" s="55"/>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7">
        <f t="shared" si="32"/>
        <v>0</v>
      </c>
    </row>
    <row r="184" spans="1:19">
      <c r="A184" s="150"/>
      <c r="B184" s="55"/>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7">
        <f t="shared" si="32"/>
        <v>0</v>
      </c>
    </row>
    <row r="185" spans="1:19">
      <c r="A185" s="150"/>
      <c r="B185" s="55"/>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7">
        <f t="shared" si="32"/>
        <v>0</v>
      </c>
    </row>
    <row r="186" spans="1:19">
      <c r="A186" s="150"/>
      <c r="B186" s="55"/>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7">
        <f t="shared" si="32"/>
        <v>0</v>
      </c>
    </row>
    <row r="187" spans="1:19">
      <c r="A187" s="150"/>
      <c r="B187" s="55"/>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7">
        <f t="shared" ref="S187:S222" si="42">ROUND(R187*B187/10000,0)</f>
        <v>0</v>
      </c>
    </row>
    <row r="188" spans="1:19">
      <c r="A188" s="150"/>
      <c r="B188" s="55"/>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7">
        <f t="shared" si="42"/>
        <v>0</v>
      </c>
    </row>
    <row r="189" spans="1:19">
      <c r="A189" s="150"/>
      <c r="B189" s="55"/>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7">
        <f t="shared" si="42"/>
        <v>0</v>
      </c>
    </row>
    <row r="190" spans="1:19">
      <c r="A190" s="150"/>
      <c r="B190" s="55"/>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7">
        <f t="shared" si="42"/>
        <v>0</v>
      </c>
    </row>
    <row r="191" spans="1:19">
      <c r="A191" s="150"/>
      <c r="B191" s="55"/>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7">
        <f t="shared" si="42"/>
        <v>0</v>
      </c>
    </row>
    <row r="192" spans="1:19">
      <c r="A192" s="150"/>
      <c r="B192" s="55"/>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7">
        <f t="shared" si="42"/>
        <v>0</v>
      </c>
    </row>
    <row r="193" spans="1:19">
      <c r="A193" s="150"/>
      <c r="B193" s="55"/>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7">
        <f t="shared" si="42"/>
        <v>0</v>
      </c>
    </row>
    <row r="194" spans="1:19">
      <c r="A194" s="150"/>
      <c r="B194" s="55"/>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7">
        <f t="shared" si="42"/>
        <v>0</v>
      </c>
    </row>
    <row r="195" spans="1:19">
      <c r="A195" s="150"/>
      <c r="B195" s="55"/>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7">
        <f t="shared" si="42"/>
        <v>0</v>
      </c>
    </row>
    <row r="196" spans="1:19">
      <c r="A196" s="150"/>
      <c r="B196" s="55"/>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7">
        <f t="shared" si="42"/>
        <v>0</v>
      </c>
    </row>
    <row r="197" spans="1:19">
      <c r="A197" s="150"/>
      <c r="B197" s="55"/>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7">
        <f t="shared" si="42"/>
        <v>0</v>
      </c>
    </row>
    <row r="198" spans="1:19">
      <c r="A198" s="150"/>
      <c r="B198" s="55"/>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7">
        <f t="shared" si="42"/>
        <v>0</v>
      </c>
    </row>
    <row r="199" spans="1:19">
      <c r="A199" s="150"/>
      <c r="B199" s="55"/>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7">
        <f t="shared" si="42"/>
        <v>0</v>
      </c>
    </row>
    <row r="200" spans="1:19">
      <c r="A200" s="150"/>
      <c r="B200" s="55"/>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7">
        <f t="shared" si="42"/>
        <v>0</v>
      </c>
    </row>
    <row r="201" spans="1:19">
      <c r="A201" s="150"/>
      <c r="B201" s="55"/>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7">
        <f t="shared" si="42"/>
        <v>0</v>
      </c>
    </row>
    <row r="202" spans="1:19">
      <c r="A202" s="150"/>
      <c r="B202" s="55"/>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7">
        <f t="shared" si="42"/>
        <v>0</v>
      </c>
    </row>
    <row r="203" spans="1:19">
      <c r="A203" s="150"/>
      <c r="B203" s="55"/>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7">
        <f t="shared" si="42"/>
        <v>0</v>
      </c>
    </row>
    <row r="204" spans="1:19">
      <c r="A204" s="150"/>
      <c r="B204" s="55"/>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7">
        <f t="shared" si="42"/>
        <v>0</v>
      </c>
    </row>
    <row r="205" spans="1:19">
      <c r="A205" s="150"/>
      <c r="B205" s="55"/>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7">
        <f t="shared" si="42"/>
        <v>0</v>
      </c>
    </row>
    <row r="206" spans="1:19">
      <c r="A206" s="150"/>
      <c r="B206" s="55"/>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7">
        <f t="shared" si="42"/>
        <v>0</v>
      </c>
    </row>
    <row r="207" spans="1:19">
      <c r="A207" s="150"/>
      <c r="B207" s="55"/>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7">
        <f t="shared" si="42"/>
        <v>0</v>
      </c>
    </row>
    <row r="208" spans="1:19">
      <c r="A208" s="150"/>
      <c r="B208" s="55"/>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7">
        <f t="shared" si="42"/>
        <v>0</v>
      </c>
    </row>
    <row r="209" spans="1:19">
      <c r="A209" s="150"/>
      <c r="B209" s="55"/>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7">
        <f t="shared" si="42"/>
        <v>0</v>
      </c>
    </row>
    <row r="210" spans="1:19">
      <c r="A210" s="150"/>
      <c r="B210" s="55"/>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7">
        <f t="shared" si="42"/>
        <v>0</v>
      </c>
    </row>
    <row r="211" spans="1:19">
      <c r="A211" s="150"/>
      <c r="B211" s="55"/>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7">
        <f t="shared" si="42"/>
        <v>0</v>
      </c>
    </row>
    <row r="212" spans="1:19">
      <c r="A212" s="150"/>
      <c r="B212" s="55"/>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7">
        <f t="shared" si="42"/>
        <v>0</v>
      </c>
    </row>
    <row r="213" spans="1:19">
      <c r="A213" s="150"/>
      <c r="B213" s="55"/>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7">
        <f t="shared" si="42"/>
        <v>0</v>
      </c>
    </row>
    <row r="214" spans="1:19">
      <c r="A214" s="150"/>
      <c r="B214" s="55"/>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7">
        <f t="shared" si="42"/>
        <v>0</v>
      </c>
    </row>
    <row r="215" spans="1:19">
      <c r="A215" s="150"/>
      <c r="B215" s="55"/>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7">
        <f t="shared" si="42"/>
        <v>0</v>
      </c>
    </row>
    <row r="216" spans="1:19">
      <c r="A216" s="150"/>
      <c r="B216" s="55"/>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7">
        <f t="shared" si="42"/>
        <v>0</v>
      </c>
    </row>
    <row r="217" spans="1:19">
      <c r="A217" s="150"/>
      <c r="B217" s="55"/>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7">
        <f t="shared" si="42"/>
        <v>0</v>
      </c>
    </row>
    <row r="218" spans="1:19">
      <c r="A218" s="150"/>
      <c r="B218" s="55"/>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7">
        <f t="shared" si="42"/>
        <v>0</v>
      </c>
    </row>
    <row r="219" spans="1:19">
      <c r="A219" s="150"/>
      <c r="B219" s="55"/>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7">
        <f t="shared" si="42"/>
        <v>0</v>
      </c>
    </row>
    <row r="220" spans="1:19">
      <c r="A220" s="150"/>
      <c r="B220" s="55"/>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7">
        <f t="shared" si="42"/>
        <v>0</v>
      </c>
    </row>
    <row r="221" spans="1:19">
      <c r="A221" s="150"/>
      <c r="B221" s="55"/>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7">
        <f t="shared" si="42"/>
        <v>0</v>
      </c>
    </row>
    <row r="222" spans="1:19">
      <c r="A222" s="150"/>
      <c r="B222" s="55"/>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7">
        <f t="shared" si="42"/>
        <v>0</v>
      </c>
    </row>
    <row r="223" spans="1:19">
      <c r="A223" s="150"/>
      <c r="B223" s="55"/>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7">
        <f t="shared" ref="S223:S286" si="52">ROUND(R223*B223/10000,0)</f>
        <v>0</v>
      </c>
    </row>
    <row r="224" spans="1:19">
      <c r="A224" s="150"/>
      <c r="B224" s="55"/>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7">
        <f t="shared" si="52"/>
        <v>0</v>
      </c>
    </row>
    <row r="225" spans="1:19">
      <c r="A225" s="150"/>
      <c r="B225" s="55"/>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7">
        <f t="shared" si="52"/>
        <v>0</v>
      </c>
    </row>
    <row r="226" spans="1:19">
      <c r="A226" s="150"/>
      <c r="B226" s="55"/>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7">
        <f t="shared" si="52"/>
        <v>0</v>
      </c>
    </row>
    <row r="227" spans="1:19">
      <c r="A227" s="150"/>
      <c r="B227" s="55"/>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7">
        <f t="shared" si="52"/>
        <v>0</v>
      </c>
    </row>
    <row r="228" spans="1:19">
      <c r="A228" s="150"/>
      <c r="B228" s="55"/>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7">
        <f t="shared" si="52"/>
        <v>0</v>
      </c>
    </row>
    <row r="229" spans="1:19">
      <c r="A229" s="150"/>
      <c r="B229" s="55"/>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7">
        <f t="shared" si="52"/>
        <v>0</v>
      </c>
    </row>
    <row r="230" spans="1:19">
      <c r="A230" s="150"/>
      <c r="B230" s="55"/>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7">
        <f t="shared" si="52"/>
        <v>0</v>
      </c>
    </row>
    <row r="231" spans="1:19">
      <c r="A231" s="150"/>
      <c r="B231" s="55"/>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7">
        <f t="shared" si="52"/>
        <v>0</v>
      </c>
    </row>
    <row r="232" spans="1:19">
      <c r="A232" s="150"/>
      <c r="B232" s="55"/>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7">
        <f t="shared" si="52"/>
        <v>0</v>
      </c>
    </row>
    <row r="233" spans="1:19">
      <c r="A233" s="150"/>
      <c r="B233" s="55"/>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7">
        <f t="shared" si="52"/>
        <v>0</v>
      </c>
    </row>
    <row r="234" spans="1:19">
      <c r="A234" s="150"/>
      <c r="B234" s="55"/>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7">
        <f t="shared" si="52"/>
        <v>0</v>
      </c>
    </row>
    <row r="235" spans="1:19">
      <c r="A235" s="150"/>
      <c r="B235" s="55"/>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7">
        <f t="shared" si="52"/>
        <v>0</v>
      </c>
    </row>
    <row r="236" spans="1:19">
      <c r="A236" s="150"/>
      <c r="B236" s="55"/>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7">
        <f t="shared" si="52"/>
        <v>0</v>
      </c>
    </row>
    <row r="237" spans="1:19">
      <c r="A237" s="150"/>
      <c r="B237" s="55"/>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7">
        <f t="shared" si="52"/>
        <v>0</v>
      </c>
    </row>
    <row r="238" spans="1:19">
      <c r="A238" s="150"/>
      <c r="B238" s="55"/>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7">
        <f t="shared" si="52"/>
        <v>0</v>
      </c>
    </row>
    <row r="239" spans="1:19">
      <c r="A239" s="150"/>
      <c r="B239" s="55"/>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7">
        <f t="shared" si="52"/>
        <v>0</v>
      </c>
    </row>
    <row r="240" spans="1:19">
      <c r="A240" s="150"/>
      <c r="B240" s="55"/>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7">
        <f t="shared" si="52"/>
        <v>0</v>
      </c>
    </row>
    <row r="241" spans="1:19">
      <c r="A241" s="150"/>
      <c r="B241" s="55"/>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7">
        <f t="shared" si="52"/>
        <v>0</v>
      </c>
    </row>
    <row r="242" spans="1:19">
      <c r="A242" s="150"/>
      <c r="B242" s="55"/>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7">
        <f t="shared" si="52"/>
        <v>0</v>
      </c>
    </row>
    <row r="243" spans="1:19">
      <c r="A243" s="150"/>
      <c r="B243" s="55"/>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7">
        <f t="shared" si="52"/>
        <v>0</v>
      </c>
    </row>
    <row r="244" spans="1:19">
      <c r="A244" s="150"/>
      <c r="B244" s="55"/>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7">
        <f t="shared" si="52"/>
        <v>0</v>
      </c>
    </row>
    <row r="245" spans="1:19">
      <c r="A245" s="150"/>
      <c r="B245" s="55"/>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7">
        <f t="shared" si="52"/>
        <v>0</v>
      </c>
    </row>
    <row r="246" spans="1:19">
      <c r="A246" s="150"/>
      <c r="B246" s="55"/>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7">
        <f t="shared" si="52"/>
        <v>0</v>
      </c>
    </row>
    <row r="247" spans="1:19">
      <c r="A247" s="150"/>
      <c r="B247" s="55"/>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7">
        <f t="shared" si="52"/>
        <v>0</v>
      </c>
    </row>
    <row r="248" spans="1:19">
      <c r="A248" s="150"/>
      <c r="B248" s="55"/>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7">
        <f t="shared" si="52"/>
        <v>0</v>
      </c>
    </row>
    <row r="249" spans="1:19">
      <c r="A249" s="150"/>
      <c r="B249" s="55"/>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7">
        <f t="shared" si="52"/>
        <v>0</v>
      </c>
    </row>
    <row r="250" spans="1:19">
      <c r="A250" s="150"/>
      <c r="B250" s="55"/>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7">
        <f t="shared" si="52"/>
        <v>0</v>
      </c>
    </row>
    <row r="251" spans="1:19">
      <c r="A251" s="150"/>
      <c r="B251" s="55"/>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7">
        <f t="shared" si="52"/>
        <v>0</v>
      </c>
    </row>
    <row r="252" spans="1:19">
      <c r="A252" s="150"/>
      <c r="B252" s="55"/>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7">
        <f t="shared" si="52"/>
        <v>0</v>
      </c>
    </row>
    <row r="253" spans="1:19">
      <c r="A253" s="150"/>
      <c r="B253" s="55"/>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7">
        <f t="shared" si="52"/>
        <v>0</v>
      </c>
    </row>
    <row r="254" spans="1:19">
      <c r="A254" s="150"/>
      <c r="B254" s="55"/>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7">
        <f t="shared" si="52"/>
        <v>0</v>
      </c>
    </row>
    <row r="255" spans="1:19">
      <c r="A255" s="150"/>
      <c r="B255" s="55"/>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7">
        <f t="shared" si="52"/>
        <v>0</v>
      </c>
    </row>
    <row r="256" spans="1:19">
      <c r="A256" s="150"/>
      <c r="B256" s="55"/>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7">
        <f t="shared" si="52"/>
        <v>0</v>
      </c>
    </row>
    <row r="257" spans="1:19">
      <c r="A257" s="150"/>
      <c r="B257" s="55"/>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7">
        <f t="shared" si="52"/>
        <v>0</v>
      </c>
    </row>
    <row r="258" spans="1:19">
      <c r="A258" s="150"/>
      <c r="B258" s="55"/>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7">
        <f t="shared" si="52"/>
        <v>0</v>
      </c>
    </row>
    <row r="259" spans="1:19">
      <c r="A259" s="150"/>
      <c r="B259" s="55"/>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7">
        <f t="shared" si="52"/>
        <v>0</v>
      </c>
    </row>
    <row r="260" spans="1:19">
      <c r="A260" s="150"/>
      <c r="B260" s="55"/>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7">
        <f t="shared" si="52"/>
        <v>0</v>
      </c>
    </row>
    <row r="261" spans="1:19">
      <c r="A261" s="150"/>
      <c r="B261" s="55"/>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7">
        <f t="shared" si="52"/>
        <v>0</v>
      </c>
    </row>
    <row r="262" spans="1:19">
      <c r="A262" s="150"/>
      <c r="B262" s="55"/>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7">
        <f t="shared" si="52"/>
        <v>0</v>
      </c>
    </row>
    <row r="263" spans="1:19">
      <c r="A263" s="150"/>
      <c r="B263" s="55"/>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7">
        <f t="shared" si="52"/>
        <v>0</v>
      </c>
    </row>
    <row r="264" spans="1:19">
      <c r="A264" s="150"/>
      <c r="B264" s="55"/>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7">
        <f t="shared" si="52"/>
        <v>0</v>
      </c>
    </row>
    <row r="265" spans="1:19">
      <c r="A265" s="150"/>
      <c r="B265" s="55"/>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7">
        <f t="shared" si="52"/>
        <v>0</v>
      </c>
    </row>
    <row r="266" spans="1:19">
      <c r="A266" s="150"/>
      <c r="B266" s="55"/>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7">
        <f t="shared" si="52"/>
        <v>0</v>
      </c>
    </row>
    <row r="267" spans="1:19">
      <c r="A267" s="150"/>
      <c r="B267" s="55"/>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7">
        <f t="shared" si="52"/>
        <v>0</v>
      </c>
    </row>
    <row r="268" spans="1:19">
      <c r="A268" s="150"/>
      <c r="B268" s="55"/>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7">
        <f t="shared" si="52"/>
        <v>0</v>
      </c>
    </row>
    <row r="269" spans="1:19">
      <c r="A269" s="150"/>
      <c r="B269" s="55"/>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7">
        <f t="shared" si="52"/>
        <v>0</v>
      </c>
    </row>
    <row r="270" spans="1:19">
      <c r="A270" s="150"/>
      <c r="B270" s="55"/>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7">
        <f t="shared" si="52"/>
        <v>0</v>
      </c>
    </row>
    <row r="271" spans="1:19">
      <c r="A271" s="150"/>
      <c r="B271" s="55"/>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7">
        <f t="shared" si="52"/>
        <v>0</v>
      </c>
    </row>
    <row r="272" spans="1:19">
      <c r="A272" s="150"/>
      <c r="B272" s="55"/>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7">
        <f t="shared" si="52"/>
        <v>0</v>
      </c>
    </row>
    <row r="273" spans="1:19">
      <c r="A273" s="150"/>
      <c r="B273" s="55"/>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7">
        <f t="shared" si="52"/>
        <v>0</v>
      </c>
    </row>
    <row r="274" spans="1:19">
      <c r="A274" s="150"/>
      <c r="B274" s="55"/>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7">
        <f t="shared" si="52"/>
        <v>0</v>
      </c>
    </row>
    <row r="275" spans="1:19">
      <c r="A275" s="150"/>
      <c r="B275" s="55"/>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7">
        <f t="shared" si="52"/>
        <v>0</v>
      </c>
    </row>
    <row r="276" spans="1:19">
      <c r="A276" s="150"/>
      <c r="B276" s="55"/>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7">
        <f t="shared" si="52"/>
        <v>0</v>
      </c>
    </row>
    <row r="277" spans="1:19">
      <c r="A277" s="150"/>
      <c r="B277" s="55"/>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7">
        <f t="shared" si="52"/>
        <v>0</v>
      </c>
    </row>
    <row r="278" spans="1:19">
      <c r="A278" s="150"/>
      <c r="B278" s="55"/>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7">
        <f t="shared" si="52"/>
        <v>0</v>
      </c>
    </row>
    <row r="279" spans="1:19">
      <c r="A279" s="150"/>
      <c r="B279" s="55"/>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7">
        <f t="shared" si="52"/>
        <v>0</v>
      </c>
    </row>
    <row r="280" spans="1:19">
      <c r="A280" s="150"/>
      <c r="B280" s="55"/>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7">
        <f t="shared" si="52"/>
        <v>0</v>
      </c>
    </row>
    <row r="281" spans="1:19">
      <c r="A281" s="150"/>
      <c r="B281" s="55"/>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7">
        <f t="shared" si="52"/>
        <v>0</v>
      </c>
    </row>
    <row r="282" spans="1:19">
      <c r="A282" s="150"/>
      <c r="B282" s="55"/>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7">
        <f t="shared" si="52"/>
        <v>0</v>
      </c>
    </row>
    <row r="283" spans="1:19">
      <c r="A283" s="150"/>
      <c r="B283" s="55"/>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7">
        <f t="shared" si="52"/>
        <v>0</v>
      </c>
    </row>
    <row r="284" spans="1:19">
      <c r="A284" s="150"/>
      <c r="B284" s="55"/>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7">
        <f t="shared" si="52"/>
        <v>0</v>
      </c>
    </row>
    <row r="285" spans="1:19">
      <c r="A285" s="150"/>
      <c r="B285" s="55"/>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7">
        <f t="shared" si="52"/>
        <v>0</v>
      </c>
    </row>
    <row r="286" spans="1:19">
      <c r="A286" s="150"/>
      <c r="B286" s="55"/>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7">
        <f t="shared" si="52"/>
        <v>0</v>
      </c>
    </row>
    <row r="287" spans="1:19">
      <c r="A287" s="150"/>
      <c r="B287" s="55"/>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7">
        <f t="shared" ref="S287:S320" si="62">ROUND(R287*B287/10000,0)</f>
        <v>0</v>
      </c>
    </row>
    <row r="288" spans="1:19">
      <c r="A288" s="150"/>
      <c r="B288" s="55"/>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7">
        <f t="shared" si="62"/>
        <v>0</v>
      </c>
    </row>
    <row r="289" spans="1:19">
      <c r="A289" s="150"/>
      <c r="B289" s="55"/>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7">
        <f t="shared" si="62"/>
        <v>0</v>
      </c>
    </row>
    <row r="290" spans="1:19">
      <c r="A290" s="150"/>
      <c r="B290" s="55"/>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7">
        <f t="shared" si="62"/>
        <v>0</v>
      </c>
    </row>
    <row r="291" spans="1:19">
      <c r="A291" s="150"/>
      <c r="B291" s="55"/>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7">
        <f t="shared" si="62"/>
        <v>0</v>
      </c>
    </row>
    <row r="292" spans="1:19">
      <c r="A292" s="150"/>
      <c r="B292" s="55"/>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7">
        <f t="shared" si="62"/>
        <v>0</v>
      </c>
    </row>
    <row r="293" spans="1:19">
      <c r="A293" s="150"/>
      <c r="B293" s="55"/>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7">
        <f t="shared" si="62"/>
        <v>0</v>
      </c>
    </row>
    <row r="294" spans="1:19">
      <c r="A294" s="150"/>
      <c r="B294" s="55"/>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7">
        <f t="shared" si="62"/>
        <v>0</v>
      </c>
    </row>
    <row r="295" spans="1:19">
      <c r="A295" s="150"/>
      <c r="B295" s="55"/>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7">
        <f t="shared" si="62"/>
        <v>0</v>
      </c>
    </row>
    <row r="296" spans="1:19">
      <c r="A296" s="150"/>
      <c r="B296" s="55"/>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7">
        <f t="shared" si="62"/>
        <v>0</v>
      </c>
    </row>
    <row r="297" spans="1:19">
      <c r="A297" s="150"/>
      <c r="B297" s="55"/>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7">
        <f t="shared" si="62"/>
        <v>0</v>
      </c>
    </row>
    <row r="298" spans="1:19">
      <c r="A298" s="150"/>
      <c r="B298" s="55"/>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7">
        <f t="shared" si="62"/>
        <v>0</v>
      </c>
    </row>
    <row r="299" spans="1:19">
      <c r="A299" s="150"/>
      <c r="B299" s="55"/>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7">
        <f t="shared" si="62"/>
        <v>0</v>
      </c>
    </row>
    <row r="300" spans="1:19">
      <c r="A300" s="150"/>
      <c r="B300" s="55"/>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7">
        <f t="shared" si="62"/>
        <v>0</v>
      </c>
    </row>
    <row r="301" spans="1:19">
      <c r="A301" s="150"/>
      <c r="B301" s="55"/>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7">
        <f t="shared" si="62"/>
        <v>0</v>
      </c>
    </row>
    <row r="302" spans="1:19">
      <c r="A302" s="150"/>
      <c r="B302" s="55"/>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7">
        <f t="shared" si="62"/>
        <v>0</v>
      </c>
    </row>
    <row r="303" spans="1:19">
      <c r="A303" s="150"/>
      <c r="B303" s="55"/>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7">
        <f t="shared" si="62"/>
        <v>0</v>
      </c>
    </row>
    <row r="304" spans="1:19">
      <c r="A304" s="150"/>
      <c r="B304" s="55"/>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7">
        <f t="shared" si="62"/>
        <v>0</v>
      </c>
    </row>
    <row r="305" spans="1:19">
      <c r="A305" s="150"/>
      <c r="B305" s="55"/>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7">
        <f t="shared" si="62"/>
        <v>0</v>
      </c>
    </row>
    <row r="306" spans="1:19">
      <c r="A306" s="150"/>
      <c r="B306" s="55"/>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7">
        <f t="shared" si="62"/>
        <v>0</v>
      </c>
    </row>
    <row r="307" spans="1:19">
      <c r="A307" s="150"/>
      <c r="B307" s="55"/>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7">
        <f t="shared" si="62"/>
        <v>0</v>
      </c>
    </row>
    <row r="308" spans="1:19">
      <c r="A308" s="150"/>
      <c r="B308" s="55"/>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7">
        <f t="shared" si="62"/>
        <v>0</v>
      </c>
    </row>
    <row r="309" spans="1:19">
      <c r="A309" s="150"/>
      <c r="B309" s="55"/>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7">
        <f t="shared" si="62"/>
        <v>0</v>
      </c>
    </row>
    <row r="310" spans="1:19">
      <c r="A310" s="150"/>
      <c r="B310" s="55"/>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7">
        <f t="shared" si="62"/>
        <v>0</v>
      </c>
    </row>
    <row r="311" spans="1:19">
      <c r="A311" s="150"/>
      <c r="B311" s="55"/>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7">
        <f t="shared" si="62"/>
        <v>0</v>
      </c>
    </row>
    <row r="312" spans="1:19">
      <c r="A312" s="150"/>
      <c r="B312" s="55"/>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7">
        <f t="shared" si="62"/>
        <v>0</v>
      </c>
    </row>
    <row r="313" spans="1:19">
      <c r="A313" s="150"/>
      <c r="B313" s="55"/>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7">
        <f t="shared" si="62"/>
        <v>0</v>
      </c>
    </row>
    <row r="314" spans="1:19">
      <c r="A314" s="150"/>
      <c r="B314" s="55"/>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7">
        <f t="shared" si="62"/>
        <v>0</v>
      </c>
    </row>
    <row r="315" spans="1:19">
      <c r="A315" s="150"/>
      <c r="B315" s="55"/>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7">
        <f t="shared" si="62"/>
        <v>0</v>
      </c>
    </row>
    <row r="316" spans="1:19">
      <c r="A316" s="150"/>
      <c r="B316" s="55"/>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7">
        <f t="shared" si="62"/>
        <v>0</v>
      </c>
    </row>
    <row r="317" spans="1:19">
      <c r="A317" s="150"/>
      <c r="B317" s="55"/>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7">
        <f t="shared" si="62"/>
        <v>0</v>
      </c>
    </row>
    <row r="318" spans="1:19">
      <c r="A318" s="150"/>
      <c r="B318" s="55"/>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7">
        <f t="shared" si="62"/>
        <v>0</v>
      </c>
    </row>
    <row r="319" spans="1:19">
      <c r="A319" s="150"/>
      <c r="B319" s="55"/>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7">
        <f t="shared" si="62"/>
        <v>0</v>
      </c>
    </row>
    <row r="320" spans="1:19">
      <c r="A320" s="150"/>
      <c r="B320" s="55"/>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7">
        <f t="shared" si="62"/>
        <v>0</v>
      </c>
    </row>
    <row r="321" spans="1:19">
      <c r="A321" s="150"/>
      <c r="B321" s="55"/>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7">
        <f t="shared" ref="S321:S384" si="63">ROUND(R321*B321/10000,0)</f>
        <v>0</v>
      </c>
    </row>
    <row r="322" spans="1:19">
      <c r="A322" s="150"/>
      <c r="B322" s="55"/>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7">
        <f t="shared" si="63"/>
        <v>0</v>
      </c>
    </row>
    <row r="323" spans="1:19">
      <c r="A323" s="150"/>
      <c r="B323" s="55"/>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7">
        <f t="shared" si="63"/>
        <v>0</v>
      </c>
    </row>
    <row r="324" spans="1:19">
      <c r="A324" s="150"/>
      <c r="B324" s="55"/>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7">
        <f t="shared" si="63"/>
        <v>0</v>
      </c>
    </row>
    <row r="325" spans="1:19">
      <c r="A325" s="150"/>
      <c r="B325" s="55"/>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7">
        <f t="shared" si="63"/>
        <v>0</v>
      </c>
    </row>
    <row r="326" spans="1:19">
      <c r="A326" s="150"/>
      <c r="B326" s="55"/>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7">
        <f t="shared" si="63"/>
        <v>0</v>
      </c>
    </row>
    <row r="327" spans="1:19">
      <c r="A327" s="150"/>
      <c r="B327" s="55"/>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7">
        <f t="shared" si="63"/>
        <v>0</v>
      </c>
    </row>
    <row r="328" spans="1:19">
      <c r="A328" s="150"/>
      <c r="B328" s="55"/>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7">
        <f t="shared" si="63"/>
        <v>0</v>
      </c>
    </row>
    <row r="329" spans="1:19">
      <c r="A329" s="150"/>
      <c r="B329" s="55"/>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7">
        <f t="shared" si="63"/>
        <v>0</v>
      </c>
    </row>
    <row r="330" spans="1:19">
      <c r="A330" s="150"/>
      <c r="B330" s="55"/>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7">
        <f t="shared" si="63"/>
        <v>0</v>
      </c>
    </row>
    <row r="331" spans="1:19">
      <c r="A331" s="150"/>
      <c r="B331" s="55"/>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7">
        <f t="shared" si="63"/>
        <v>0</v>
      </c>
    </row>
    <row r="332" spans="1:19">
      <c r="A332" s="150"/>
      <c r="B332" s="55"/>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7">
        <f t="shared" si="63"/>
        <v>0</v>
      </c>
    </row>
    <row r="333" spans="1:19">
      <c r="A333" s="150"/>
      <c r="B333" s="55"/>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7">
        <f t="shared" si="63"/>
        <v>0</v>
      </c>
    </row>
    <row r="334" spans="1:19">
      <c r="A334" s="150"/>
      <c r="B334" s="55"/>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7">
        <f t="shared" si="63"/>
        <v>0</v>
      </c>
    </row>
    <row r="335" spans="1:19">
      <c r="A335" s="150"/>
      <c r="B335" s="55"/>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7">
        <f t="shared" si="63"/>
        <v>0</v>
      </c>
    </row>
    <row r="336" spans="1:19">
      <c r="A336" s="150"/>
      <c r="B336" s="55"/>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7">
        <f t="shared" si="63"/>
        <v>0</v>
      </c>
    </row>
    <row r="337" spans="1:19">
      <c r="A337" s="150"/>
      <c r="B337" s="55"/>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7">
        <f t="shared" si="63"/>
        <v>0</v>
      </c>
    </row>
    <row r="338" spans="1:19">
      <c r="A338" s="150"/>
      <c r="B338" s="55"/>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7">
        <f t="shared" si="63"/>
        <v>0</v>
      </c>
    </row>
    <row r="339" spans="1:19">
      <c r="A339" s="150"/>
      <c r="B339" s="55"/>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7">
        <f t="shared" si="63"/>
        <v>0</v>
      </c>
    </row>
    <row r="340" spans="1:19">
      <c r="A340" s="150"/>
      <c r="B340" s="55"/>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7">
        <f t="shared" si="63"/>
        <v>0</v>
      </c>
    </row>
    <row r="341" spans="1:19">
      <c r="A341" s="150"/>
      <c r="B341" s="55"/>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7">
        <f t="shared" si="63"/>
        <v>0</v>
      </c>
    </row>
    <row r="342" spans="1:19">
      <c r="A342" s="150"/>
      <c r="B342" s="55"/>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7">
        <f t="shared" si="63"/>
        <v>0</v>
      </c>
    </row>
    <row r="343" spans="1:19">
      <c r="A343" s="150"/>
      <c r="B343" s="55"/>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7">
        <f t="shared" si="63"/>
        <v>0</v>
      </c>
    </row>
    <row r="344" spans="1:19">
      <c r="A344" s="150"/>
      <c r="B344" s="55"/>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7">
        <f t="shared" si="63"/>
        <v>0</v>
      </c>
    </row>
    <row r="345" spans="1:19">
      <c r="A345" s="150"/>
      <c r="B345" s="55"/>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7">
        <f t="shared" si="63"/>
        <v>0</v>
      </c>
    </row>
    <row r="346" spans="1:19">
      <c r="A346" s="150"/>
      <c r="B346" s="55"/>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7">
        <f t="shared" si="63"/>
        <v>0</v>
      </c>
    </row>
    <row r="347" spans="1:19">
      <c r="A347" s="150"/>
      <c r="B347" s="55"/>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7">
        <f t="shared" si="63"/>
        <v>0</v>
      </c>
    </row>
    <row r="348" spans="1:19">
      <c r="A348" s="150"/>
      <c r="B348" s="55"/>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7">
        <f t="shared" si="63"/>
        <v>0</v>
      </c>
    </row>
    <row r="349" spans="1:19">
      <c r="A349" s="150"/>
      <c r="B349" s="55"/>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7">
        <f t="shared" si="63"/>
        <v>0</v>
      </c>
    </row>
    <row r="350" spans="1:19">
      <c r="A350" s="150"/>
      <c r="B350" s="55"/>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7">
        <f t="shared" si="63"/>
        <v>0</v>
      </c>
    </row>
    <row r="351" spans="1:19">
      <c r="A351" s="150"/>
      <c r="B351" s="55"/>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7">
        <f t="shared" si="63"/>
        <v>0</v>
      </c>
    </row>
    <row r="352" spans="1:19">
      <c r="A352" s="150"/>
      <c r="B352" s="55"/>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7">
        <f t="shared" si="63"/>
        <v>0</v>
      </c>
    </row>
    <row r="353" spans="1:19">
      <c r="A353" s="150"/>
      <c r="B353" s="55"/>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7">
        <f t="shared" si="63"/>
        <v>0</v>
      </c>
    </row>
    <row r="354" spans="1:19">
      <c r="A354" s="150"/>
      <c r="B354" s="55"/>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7">
        <f t="shared" si="63"/>
        <v>0</v>
      </c>
    </row>
    <row r="355" spans="1:19">
      <c r="A355" s="150"/>
      <c r="B355" s="55"/>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7">
        <f t="shared" si="63"/>
        <v>0</v>
      </c>
    </row>
    <row r="356" spans="1:19">
      <c r="A356" s="150"/>
      <c r="B356" s="55"/>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7">
        <f t="shared" si="63"/>
        <v>0</v>
      </c>
    </row>
    <row r="357" spans="1:19">
      <c r="A357" s="150"/>
      <c r="B357" s="55"/>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7">
        <f t="shared" si="63"/>
        <v>0</v>
      </c>
    </row>
    <row r="358" spans="1:19">
      <c r="A358" s="150"/>
      <c r="B358" s="55"/>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7">
        <f t="shared" si="63"/>
        <v>0</v>
      </c>
    </row>
    <row r="359" spans="1:19">
      <c r="A359" s="150"/>
      <c r="B359" s="55"/>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7">
        <f t="shared" si="63"/>
        <v>0</v>
      </c>
    </row>
    <row r="360" spans="1:19">
      <c r="A360" s="150"/>
      <c r="B360" s="55"/>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7">
        <f t="shared" si="63"/>
        <v>0</v>
      </c>
    </row>
    <row r="361" spans="1:19">
      <c r="A361" s="150"/>
      <c r="B361" s="55"/>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7">
        <f t="shared" si="63"/>
        <v>0</v>
      </c>
    </row>
    <row r="362" spans="1:19">
      <c r="A362" s="150"/>
      <c r="B362" s="55"/>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7">
        <f t="shared" si="63"/>
        <v>0</v>
      </c>
    </row>
    <row r="363" spans="1:19">
      <c r="A363" s="150"/>
      <c r="B363" s="55"/>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7">
        <f t="shared" si="63"/>
        <v>0</v>
      </c>
    </row>
    <row r="364" spans="1:19">
      <c r="A364" s="150"/>
      <c r="B364" s="55"/>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7">
        <f t="shared" si="63"/>
        <v>0</v>
      </c>
    </row>
    <row r="365" spans="1:19">
      <c r="A365" s="150"/>
      <c r="B365" s="55"/>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7">
        <f t="shared" si="63"/>
        <v>0</v>
      </c>
    </row>
    <row r="366" spans="1:19">
      <c r="A366" s="150"/>
      <c r="B366" s="55"/>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7">
        <f t="shared" si="63"/>
        <v>0</v>
      </c>
    </row>
    <row r="367" spans="1:19">
      <c r="A367" s="150"/>
      <c r="B367" s="55"/>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7">
        <f t="shared" si="63"/>
        <v>0</v>
      </c>
    </row>
    <row r="368" spans="1:19">
      <c r="A368" s="150"/>
      <c r="B368" s="55"/>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7">
        <f t="shared" si="63"/>
        <v>0</v>
      </c>
    </row>
    <row r="369" spans="1:19">
      <c r="A369" s="150"/>
      <c r="B369" s="55"/>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7">
        <f t="shared" si="63"/>
        <v>0</v>
      </c>
    </row>
    <row r="370" spans="1:19">
      <c r="A370" s="150"/>
      <c r="B370" s="55"/>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7">
        <f t="shared" si="63"/>
        <v>0</v>
      </c>
    </row>
    <row r="371" spans="1:19">
      <c r="A371" s="150"/>
      <c r="B371" s="55"/>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7">
        <f t="shared" si="63"/>
        <v>0</v>
      </c>
    </row>
    <row r="372" spans="1:19">
      <c r="A372" s="150"/>
      <c r="B372" s="55"/>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7">
        <f t="shared" si="63"/>
        <v>0</v>
      </c>
    </row>
    <row r="373" spans="1:19">
      <c r="A373" s="150"/>
      <c r="B373" s="55"/>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7">
        <f t="shared" si="63"/>
        <v>0</v>
      </c>
    </row>
    <row r="374" spans="1:19">
      <c r="A374" s="150"/>
      <c r="B374" s="55"/>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7">
        <f t="shared" si="63"/>
        <v>0</v>
      </c>
    </row>
    <row r="375" spans="1:19">
      <c r="A375" s="150"/>
      <c r="B375" s="55"/>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7">
        <f t="shared" si="63"/>
        <v>0</v>
      </c>
    </row>
    <row r="376" spans="1:19">
      <c r="A376" s="150"/>
      <c r="B376" s="55"/>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7">
        <f t="shared" si="63"/>
        <v>0</v>
      </c>
    </row>
    <row r="377" spans="1:19">
      <c r="A377" s="150"/>
      <c r="B377" s="55"/>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7">
        <f t="shared" si="63"/>
        <v>0</v>
      </c>
    </row>
    <row r="378" spans="1:19">
      <c r="A378" s="150"/>
      <c r="B378" s="55"/>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7">
        <f t="shared" si="63"/>
        <v>0</v>
      </c>
    </row>
    <row r="379" spans="1:19">
      <c r="A379" s="150"/>
      <c r="B379" s="55"/>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7">
        <f t="shared" si="63"/>
        <v>0</v>
      </c>
    </row>
    <row r="380" spans="1:19">
      <c r="A380" s="150"/>
      <c r="B380" s="55"/>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7">
        <f t="shared" si="63"/>
        <v>0</v>
      </c>
    </row>
    <row r="381" spans="1:19">
      <c r="A381" s="150"/>
      <c r="B381" s="55"/>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7">
        <f t="shared" si="63"/>
        <v>0</v>
      </c>
    </row>
    <row r="382" spans="1:19">
      <c r="A382" s="150"/>
      <c r="B382" s="55"/>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7">
        <f t="shared" si="63"/>
        <v>0</v>
      </c>
    </row>
    <row r="383" spans="1:19">
      <c r="A383" s="150"/>
      <c r="B383" s="55"/>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7">
        <f t="shared" si="63"/>
        <v>0</v>
      </c>
    </row>
    <row r="384" spans="1:19">
      <c r="A384" s="150"/>
      <c r="B384" s="55"/>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7">
        <f t="shared" si="63"/>
        <v>0</v>
      </c>
    </row>
    <row r="385" spans="1:19">
      <c r="A385" s="150"/>
      <c r="B385" s="55"/>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7">
        <f t="shared" ref="S385:S422" si="73">ROUND(R385*B385/10000,0)</f>
        <v>0</v>
      </c>
    </row>
    <row r="386" spans="1:19">
      <c r="A386" s="150"/>
      <c r="B386" s="55"/>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7">
        <f t="shared" si="73"/>
        <v>0</v>
      </c>
    </row>
    <row r="387" spans="1:19">
      <c r="A387" s="150"/>
      <c r="B387" s="55"/>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7">
        <f t="shared" si="73"/>
        <v>0</v>
      </c>
    </row>
    <row r="388" spans="1:19">
      <c r="A388" s="150"/>
      <c r="B388" s="55"/>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7">
        <f t="shared" si="73"/>
        <v>0</v>
      </c>
    </row>
    <row r="389" spans="1:19">
      <c r="A389" s="150"/>
      <c r="B389" s="55"/>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7">
        <f t="shared" si="73"/>
        <v>0</v>
      </c>
    </row>
    <row r="390" spans="1:19">
      <c r="A390" s="150"/>
      <c r="B390" s="55"/>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7">
        <f t="shared" si="73"/>
        <v>0</v>
      </c>
    </row>
    <row r="391" spans="1:19">
      <c r="A391" s="150"/>
      <c r="B391" s="55"/>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7">
        <f t="shared" si="73"/>
        <v>0</v>
      </c>
    </row>
    <row r="392" spans="1:19">
      <c r="A392" s="150"/>
      <c r="B392" s="55"/>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7">
        <f t="shared" si="73"/>
        <v>0</v>
      </c>
    </row>
    <row r="393" spans="1:19">
      <c r="A393" s="150"/>
      <c r="B393" s="55"/>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7">
        <f t="shared" si="73"/>
        <v>0</v>
      </c>
    </row>
    <row r="394" spans="1:19">
      <c r="A394" s="150"/>
      <c r="B394" s="55"/>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7">
        <f t="shared" si="73"/>
        <v>0</v>
      </c>
    </row>
    <row r="395" spans="1:19">
      <c r="A395" s="150"/>
      <c r="B395" s="55"/>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7">
        <f t="shared" si="73"/>
        <v>0</v>
      </c>
    </row>
    <row r="396" spans="1:19">
      <c r="A396" s="150"/>
      <c r="B396" s="55"/>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7">
        <f t="shared" si="73"/>
        <v>0</v>
      </c>
    </row>
    <row r="397" spans="1:19">
      <c r="A397" s="150"/>
      <c r="B397" s="55"/>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7">
        <f t="shared" si="73"/>
        <v>0</v>
      </c>
    </row>
    <row r="398" spans="1:19">
      <c r="A398" s="150"/>
      <c r="B398" s="55"/>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7">
        <f t="shared" si="73"/>
        <v>0</v>
      </c>
    </row>
    <row r="399" spans="1:19">
      <c r="A399" s="150"/>
      <c r="B399" s="55"/>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7">
        <f t="shared" si="73"/>
        <v>0</v>
      </c>
    </row>
    <row r="400" spans="1:19">
      <c r="A400" s="150"/>
      <c r="B400" s="55"/>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7">
        <f t="shared" si="73"/>
        <v>0</v>
      </c>
    </row>
    <row r="401" spans="1:19">
      <c r="A401" s="150"/>
      <c r="B401" s="55"/>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7">
        <f t="shared" si="73"/>
        <v>0</v>
      </c>
    </row>
    <row r="402" spans="1:19">
      <c r="A402" s="150"/>
      <c r="B402" s="55"/>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7">
        <f t="shared" si="73"/>
        <v>0</v>
      </c>
    </row>
    <row r="403" spans="1:19">
      <c r="A403" s="150"/>
      <c r="B403" s="55"/>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7">
        <f t="shared" si="73"/>
        <v>0</v>
      </c>
    </row>
    <row r="404" spans="1:19">
      <c r="A404" s="150"/>
      <c r="B404" s="55"/>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7">
        <f t="shared" si="73"/>
        <v>0</v>
      </c>
    </row>
    <row r="405" spans="1:19">
      <c r="A405" s="150"/>
      <c r="B405" s="55"/>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7">
        <f t="shared" si="73"/>
        <v>0</v>
      </c>
    </row>
    <row r="406" spans="1:19">
      <c r="A406" s="150"/>
      <c r="B406" s="55"/>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7">
        <f t="shared" si="73"/>
        <v>0</v>
      </c>
    </row>
    <row r="407" spans="1:19">
      <c r="A407" s="150"/>
      <c r="B407" s="55"/>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7">
        <f t="shared" si="73"/>
        <v>0</v>
      </c>
    </row>
    <row r="408" spans="1:19">
      <c r="A408" s="150"/>
      <c r="B408" s="55"/>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7">
        <f t="shared" si="73"/>
        <v>0</v>
      </c>
    </row>
    <row r="409" spans="1:19">
      <c r="A409" s="150"/>
      <c r="B409" s="55"/>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7">
        <f t="shared" si="73"/>
        <v>0</v>
      </c>
    </row>
    <row r="410" spans="1:19">
      <c r="A410" s="150"/>
      <c r="B410" s="55"/>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7">
        <f t="shared" si="73"/>
        <v>0</v>
      </c>
    </row>
    <row r="411" spans="1:19">
      <c r="A411" s="150"/>
      <c r="B411" s="55"/>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7">
        <f t="shared" si="73"/>
        <v>0</v>
      </c>
    </row>
    <row r="412" spans="1:19">
      <c r="A412" s="150"/>
      <c r="B412" s="55"/>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7">
        <f t="shared" si="73"/>
        <v>0</v>
      </c>
    </row>
    <row r="413" spans="1:19">
      <c r="A413" s="150"/>
      <c r="B413" s="55"/>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7">
        <f t="shared" si="73"/>
        <v>0</v>
      </c>
    </row>
    <row r="414" spans="1:19">
      <c r="A414" s="150"/>
      <c r="B414" s="55"/>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7">
        <f t="shared" si="73"/>
        <v>0</v>
      </c>
    </row>
    <row r="415" spans="1:19">
      <c r="A415" s="150"/>
      <c r="B415" s="55"/>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7">
        <f t="shared" si="73"/>
        <v>0</v>
      </c>
    </row>
    <row r="416" spans="1:19">
      <c r="A416" s="150"/>
      <c r="B416" s="55"/>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7">
        <f t="shared" si="73"/>
        <v>0</v>
      </c>
    </row>
    <row r="417" spans="1:19">
      <c r="A417" s="150"/>
      <c r="B417" s="55"/>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7">
        <f t="shared" si="73"/>
        <v>0</v>
      </c>
    </row>
    <row r="418" spans="1:19">
      <c r="A418" s="150"/>
      <c r="B418" s="55"/>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7">
        <f t="shared" si="73"/>
        <v>0</v>
      </c>
    </row>
    <row r="419" spans="1:19">
      <c r="A419" s="150"/>
      <c r="B419" s="55"/>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7">
        <f t="shared" si="73"/>
        <v>0</v>
      </c>
    </row>
    <row r="420" spans="1:19">
      <c r="A420" s="150"/>
      <c r="B420" s="55"/>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7">
        <f t="shared" si="73"/>
        <v>0</v>
      </c>
    </row>
    <row r="421" spans="1:19">
      <c r="A421" s="150"/>
      <c r="B421" s="55"/>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7">
        <f t="shared" si="73"/>
        <v>0</v>
      </c>
    </row>
    <row r="422" spans="1:19">
      <c r="A422" s="150"/>
      <c r="B422" s="55"/>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7">
        <f t="shared" si="73"/>
        <v>0</v>
      </c>
    </row>
    <row r="423" spans="1:19">
      <c r="A423" s="150"/>
      <c r="B423" s="55"/>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7">
        <f t="shared" ref="S423:S467" si="83">ROUND(R423*B423/10000,0)</f>
        <v>0</v>
      </c>
    </row>
    <row r="424" spans="1:19">
      <c r="A424" s="150"/>
      <c r="B424" s="55"/>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7">
        <f t="shared" si="83"/>
        <v>0</v>
      </c>
    </row>
    <row r="425" spans="1:19">
      <c r="A425" s="150"/>
      <c r="B425" s="55"/>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7">
        <f t="shared" si="83"/>
        <v>0</v>
      </c>
    </row>
    <row r="426" spans="1:19">
      <c r="A426" s="150"/>
      <c r="B426" s="55"/>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7">
        <f t="shared" si="83"/>
        <v>0</v>
      </c>
    </row>
    <row r="427" spans="1:19">
      <c r="A427" s="150"/>
      <c r="B427" s="55"/>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7">
        <f t="shared" si="83"/>
        <v>0</v>
      </c>
    </row>
    <row r="428" spans="1:19">
      <c r="A428" s="150"/>
      <c r="B428" s="55"/>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7">
        <f t="shared" si="83"/>
        <v>0</v>
      </c>
    </row>
    <row r="429" spans="1:19">
      <c r="A429" s="150"/>
      <c r="B429" s="55"/>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7">
        <f t="shared" si="83"/>
        <v>0</v>
      </c>
    </row>
    <row r="430" spans="1:19">
      <c r="A430" s="150"/>
      <c r="B430" s="55"/>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7">
        <f t="shared" si="83"/>
        <v>0</v>
      </c>
    </row>
    <row r="431" spans="1:19">
      <c r="A431" s="150"/>
      <c r="B431" s="55"/>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7">
        <f t="shared" si="83"/>
        <v>0</v>
      </c>
    </row>
    <row r="432" spans="1:19">
      <c r="A432" s="150"/>
      <c r="B432" s="55"/>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7">
        <f t="shared" si="83"/>
        <v>0</v>
      </c>
    </row>
    <row r="433" spans="1:19">
      <c r="A433" s="150"/>
      <c r="B433" s="55"/>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7">
        <f t="shared" si="83"/>
        <v>0</v>
      </c>
    </row>
    <row r="434" spans="1:19">
      <c r="A434" s="150"/>
      <c r="B434" s="55"/>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7">
        <f t="shared" si="83"/>
        <v>0</v>
      </c>
    </row>
    <row r="435" spans="1:19">
      <c r="A435" s="150"/>
      <c r="B435" s="55"/>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7">
        <f t="shared" si="83"/>
        <v>0</v>
      </c>
    </row>
    <row r="436" spans="1:19">
      <c r="A436" s="150"/>
      <c r="B436" s="55"/>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7">
        <f t="shared" si="83"/>
        <v>0</v>
      </c>
    </row>
    <row r="437" spans="1:19">
      <c r="A437" s="150"/>
      <c r="B437" s="55"/>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7">
        <f t="shared" si="83"/>
        <v>0</v>
      </c>
    </row>
    <row r="438" spans="1:19">
      <c r="A438" s="150"/>
      <c r="B438" s="55"/>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7">
        <f t="shared" si="83"/>
        <v>0</v>
      </c>
    </row>
    <row r="439" spans="1:19">
      <c r="A439" s="150"/>
      <c r="B439" s="55"/>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7">
        <f t="shared" si="83"/>
        <v>0</v>
      </c>
    </row>
    <row r="440" spans="1:19">
      <c r="A440" s="150"/>
      <c r="B440" s="55"/>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7">
        <f t="shared" si="83"/>
        <v>0</v>
      </c>
    </row>
    <row r="441" spans="1:19">
      <c r="A441" s="150"/>
      <c r="B441" s="55"/>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7">
        <f t="shared" si="83"/>
        <v>0</v>
      </c>
    </row>
    <row r="442" spans="1:19">
      <c r="A442" s="150"/>
      <c r="B442" s="55"/>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7">
        <f t="shared" si="83"/>
        <v>0</v>
      </c>
    </row>
    <row r="443" spans="1:19">
      <c r="A443" s="150"/>
      <c r="B443" s="55"/>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7">
        <f t="shared" si="83"/>
        <v>0</v>
      </c>
    </row>
    <row r="444" spans="1:19">
      <c r="A444" s="150"/>
      <c r="B444" s="55"/>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7">
        <f t="shared" si="83"/>
        <v>0</v>
      </c>
    </row>
    <row r="445" spans="1:19">
      <c r="A445" s="150"/>
      <c r="B445" s="55"/>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7">
        <f t="shared" si="83"/>
        <v>0</v>
      </c>
    </row>
    <row r="446" spans="1:19">
      <c r="A446" s="150"/>
      <c r="B446" s="55"/>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7">
        <f t="shared" si="83"/>
        <v>0</v>
      </c>
    </row>
    <row r="447" spans="1:19">
      <c r="A447" s="150"/>
      <c r="B447" s="55"/>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7">
        <f t="shared" si="83"/>
        <v>0</v>
      </c>
    </row>
    <row r="448" spans="1:19">
      <c r="A448" s="150"/>
      <c r="B448" s="55"/>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7">
        <f t="shared" si="83"/>
        <v>0</v>
      </c>
    </row>
    <row r="449" spans="1:19">
      <c r="A449" s="150"/>
      <c r="B449" s="55"/>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7">
        <f t="shared" si="83"/>
        <v>0</v>
      </c>
    </row>
    <row r="450" spans="1:19">
      <c r="A450" s="150"/>
      <c r="B450" s="55"/>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7">
        <f t="shared" si="83"/>
        <v>0</v>
      </c>
    </row>
    <row r="451" spans="1:19">
      <c r="A451" s="150"/>
      <c r="B451" s="55"/>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7">
        <f t="shared" si="83"/>
        <v>0</v>
      </c>
    </row>
    <row r="452" spans="1:19">
      <c r="A452" s="150"/>
      <c r="B452" s="55"/>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7">
        <f t="shared" si="83"/>
        <v>0</v>
      </c>
    </row>
    <row r="453" spans="1:19">
      <c r="A453" s="150"/>
      <c r="B453" s="55"/>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7">
        <f t="shared" si="83"/>
        <v>0</v>
      </c>
    </row>
    <row r="454" spans="1:19">
      <c r="A454" s="150"/>
      <c r="B454" s="55"/>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7">
        <f t="shared" si="83"/>
        <v>0</v>
      </c>
    </row>
    <row r="455" spans="1:19">
      <c r="A455" s="150"/>
      <c r="B455" s="55"/>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7">
        <f t="shared" si="83"/>
        <v>0</v>
      </c>
    </row>
    <row r="456" spans="1:19">
      <c r="A456" s="150"/>
      <c r="B456" s="55"/>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7">
        <f t="shared" si="83"/>
        <v>0</v>
      </c>
    </row>
    <row r="457" spans="1:19">
      <c r="A457" s="150"/>
      <c r="B457" s="55"/>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7">
        <f t="shared" si="83"/>
        <v>0</v>
      </c>
    </row>
    <row r="458" spans="1:19">
      <c r="A458" s="150"/>
      <c r="B458" s="55"/>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7">
        <f t="shared" si="83"/>
        <v>0</v>
      </c>
    </row>
    <row r="459" spans="1:19">
      <c r="A459" s="150"/>
      <c r="B459" s="55"/>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7">
        <f t="shared" si="83"/>
        <v>0</v>
      </c>
    </row>
    <row r="460" spans="1:19">
      <c r="A460" s="150"/>
      <c r="B460" s="55"/>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7">
        <f t="shared" si="83"/>
        <v>0</v>
      </c>
    </row>
    <row r="461" spans="1:19">
      <c r="A461" s="150"/>
      <c r="B461" s="55"/>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7">
        <f t="shared" si="83"/>
        <v>0</v>
      </c>
    </row>
    <row r="462" spans="1:19">
      <c r="A462" s="150"/>
      <c r="B462" s="55"/>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7">
        <f t="shared" si="83"/>
        <v>0</v>
      </c>
    </row>
    <row r="463" spans="1:19">
      <c r="A463" s="150"/>
      <c r="B463" s="55"/>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7">
        <f t="shared" si="83"/>
        <v>0</v>
      </c>
    </row>
    <row r="464" spans="1:19">
      <c r="A464" s="150"/>
      <c r="B464" s="55"/>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7">
        <f t="shared" si="83"/>
        <v>0</v>
      </c>
    </row>
    <row r="465" spans="1:19">
      <c r="A465" s="150"/>
      <c r="B465" s="55"/>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7">
        <f t="shared" si="83"/>
        <v>0</v>
      </c>
    </row>
    <row r="466" spans="1:19">
      <c r="A466" s="150"/>
      <c r="B466" s="55"/>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7">
        <f t="shared" si="83"/>
        <v>0</v>
      </c>
    </row>
    <row r="467" spans="1:19">
      <c r="A467" s="150"/>
      <c r="B467" s="55"/>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7">
        <f t="shared" si="83"/>
        <v>0</v>
      </c>
    </row>
    <row r="468" spans="1:19">
      <c r="A468" s="150"/>
      <c r="B468" s="55"/>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7">
        <f t="shared" ref="S468:S497" si="84">ROUND(R468*B468/10000,0)</f>
        <v>0</v>
      </c>
    </row>
    <row r="469" spans="1:19">
      <c r="A469" s="150"/>
      <c r="B469" s="55"/>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7">
        <f t="shared" si="84"/>
        <v>0</v>
      </c>
    </row>
    <row r="470" spans="1:19">
      <c r="A470" s="150"/>
      <c r="B470" s="55"/>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7">
        <f t="shared" si="84"/>
        <v>0</v>
      </c>
    </row>
    <row r="471" spans="1:19">
      <c r="A471" s="150"/>
      <c r="B471" s="55"/>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7">
        <f t="shared" si="84"/>
        <v>0</v>
      </c>
    </row>
    <row r="472" spans="1:19">
      <c r="A472" s="150"/>
      <c r="B472" s="55"/>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7">
        <f t="shared" si="84"/>
        <v>0</v>
      </c>
    </row>
    <row r="473" spans="1:19">
      <c r="A473" s="150"/>
      <c r="B473" s="55"/>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7">
        <f t="shared" si="84"/>
        <v>0</v>
      </c>
    </row>
    <row r="474" spans="1:19">
      <c r="A474" s="150"/>
      <c r="B474" s="55"/>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7">
        <f t="shared" si="84"/>
        <v>0</v>
      </c>
    </row>
    <row r="475" spans="1:19">
      <c r="A475" s="150"/>
      <c r="B475" s="55"/>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7">
        <f t="shared" si="84"/>
        <v>0</v>
      </c>
    </row>
    <row r="476" spans="1:19">
      <c r="A476" s="150"/>
      <c r="B476" s="55"/>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7">
        <f t="shared" si="84"/>
        <v>0</v>
      </c>
    </row>
    <row r="477" spans="1:19">
      <c r="A477" s="150"/>
      <c r="B477" s="55"/>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7">
        <f t="shared" si="84"/>
        <v>0</v>
      </c>
    </row>
    <row r="478" spans="1:19">
      <c r="A478" s="150"/>
      <c r="B478" s="55"/>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7">
        <f t="shared" si="84"/>
        <v>0</v>
      </c>
    </row>
    <row r="479" spans="1:19">
      <c r="A479" s="150"/>
      <c r="B479" s="55"/>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7">
        <f t="shared" si="84"/>
        <v>0</v>
      </c>
    </row>
    <row r="480" spans="1:19">
      <c r="A480" s="150"/>
      <c r="B480" s="55"/>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7">
        <f t="shared" si="84"/>
        <v>0</v>
      </c>
    </row>
    <row r="481" spans="1:19">
      <c r="A481" s="150"/>
      <c r="B481" s="55"/>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7">
        <f t="shared" si="84"/>
        <v>0</v>
      </c>
    </row>
    <row r="482" spans="1:19">
      <c r="A482" s="150"/>
      <c r="B482" s="55"/>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7">
        <f t="shared" si="84"/>
        <v>0</v>
      </c>
    </row>
    <row r="483" spans="1:19">
      <c r="A483" s="150"/>
      <c r="B483" s="55"/>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7">
        <f t="shared" si="84"/>
        <v>0</v>
      </c>
    </row>
    <row r="484" spans="1:19">
      <c r="A484" s="150"/>
      <c r="B484" s="55"/>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7">
        <f t="shared" si="84"/>
        <v>0</v>
      </c>
    </row>
    <row r="485" spans="1:19">
      <c r="A485" s="150"/>
      <c r="B485" s="55"/>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7">
        <f t="shared" si="84"/>
        <v>0</v>
      </c>
    </row>
    <row r="486" spans="1:19">
      <c r="A486" s="150"/>
      <c r="B486" s="55"/>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7">
        <f t="shared" si="84"/>
        <v>0</v>
      </c>
    </row>
    <row r="487" spans="1:19">
      <c r="A487" s="150"/>
      <c r="B487" s="55"/>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7">
        <f t="shared" si="84"/>
        <v>0</v>
      </c>
    </row>
    <row r="488" spans="1:19">
      <c r="A488" s="150"/>
      <c r="B488" s="55"/>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7">
        <f t="shared" si="84"/>
        <v>0</v>
      </c>
    </row>
    <row r="489" spans="1:19">
      <c r="A489" s="150"/>
      <c r="B489" s="55"/>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7">
        <f t="shared" si="84"/>
        <v>0</v>
      </c>
    </row>
    <row r="490" spans="1:19">
      <c r="A490" s="150"/>
      <c r="B490" s="55"/>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7">
        <f t="shared" si="84"/>
        <v>0</v>
      </c>
    </row>
    <row r="491" spans="1:19">
      <c r="A491" s="150"/>
      <c r="B491" s="55"/>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7">
        <f t="shared" si="84"/>
        <v>0</v>
      </c>
    </row>
    <row r="492" spans="1:19">
      <c r="A492" s="150"/>
      <c r="B492" s="55"/>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7">
        <f t="shared" si="84"/>
        <v>0</v>
      </c>
    </row>
    <row r="493" spans="1:19">
      <c r="A493" s="150"/>
      <c r="B493" s="55"/>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7">
        <f t="shared" si="84"/>
        <v>0</v>
      </c>
    </row>
    <row r="494" spans="1:19">
      <c r="A494" s="150"/>
      <c r="B494" s="55"/>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7">
        <f t="shared" si="84"/>
        <v>0</v>
      </c>
    </row>
    <row r="495" spans="1:19">
      <c r="A495" s="150"/>
      <c r="B495" s="55"/>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7">
        <f t="shared" si="84"/>
        <v>0</v>
      </c>
    </row>
    <row r="496" spans="1:19">
      <c r="A496" s="150"/>
      <c r="B496" s="55"/>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7">
        <f t="shared" si="84"/>
        <v>0</v>
      </c>
    </row>
    <row r="497" spans="1:19">
      <c r="A497" s="150"/>
      <c r="B497" s="55"/>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7">
        <f t="shared" si="84"/>
        <v>0</v>
      </c>
    </row>
    <row r="498" spans="1:19">
      <c r="A498" s="150"/>
      <c r="B498" s="55"/>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7">
        <f t="shared" ref="S498:S524" si="94">ROUND(R498*B498/10000,0)</f>
        <v>0</v>
      </c>
    </row>
    <row r="499" spans="1:19">
      <c r="A499" s="150"/>
      <c r="B499" s="55"/>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7">
        <f t="shared" si="94"/>
        <v>0</v>
      </c>
    </row>
    <row r="500" spans="1:19">
      <c r="A500" s="150"/>
      <c r="B500" s="55"/>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7">
        <f t="shared" si="94"/>
        <v>0</v>
      </c>
    </row>
    <row r="501" spans="1:19">
      <c r="A501" s="150"/>
      <c r="B501" s="55"/>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7">
        <f t="shared" si="94"/>
        <v>0</v>
      </c>
    </row>
    <row r="502" spans="1:19">
      <c r="A502" s="150"/>
      <c r="B502" s="55"/>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7">
        <f t="shared" si="94"/>
        <v>0</v>
      </c>
    </row>
    <row r="503" spans="1:19">
      <c r="A503" s="150"/>
      <c r="B503" s="55"/>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7">
        <f t="shared" si="94"/>
        <v>0</v>
      </c>
    </row>
    <row r="504" spans="1:19">
      <c r="A504" s="150"/>
      <c r="B504" s="55"/>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7">
        <f t="shared" si="94"/>
        <v>0</v>
      </c>
    </row>
    <row r="505" spans="1:19">
      <c r="A505" s="150"/>
      <c r="B505" s="55"/>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7">
        <f t="shared" si="94"/>
        <v>0</v>
      </c>
    </row>
    <row r="506" spans="1:19">
      <c r="A506" s="150"/>
      <c r="B506" s="55"/>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7">
        <f t="shared" si="94"/>
        <v>0</v>
      </c>
    </row>
    <row r="507" spans="1:19">
      <c r="A507" s="150"/>
      <c r="B507" s="55"/>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7">
        <f t="shared" si="94"/>
        <v>0</v>
      </c>
    </row>
    <row r="508" spans="1:19">
      <c r="A508" s="150"/>
      <c r="B508" s="55"/>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7">
        <f t="shared" si="94"/>
        <v>0</v>
      </c>
    </row>
    <row r="509" spans="1:19">
      <c r="A509" s="150"/>
      <c r="B509" s="55"/>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7">
        <f t="shared" si="94"/>
        <v>0</v>
      </c>
    </row>
    <row r="510" spans="1:19">
      <c r="A510" s="150"/>
      <c r="B510" s="55"/>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7">
        <f t="shared" si="94"/>
        <v>0</v>
      </c>
    </row>
    <row r="511" spans="1:19">
      <c r="A511" s="150"/>
      <c r="B511" s="55"/>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7">
        <f t="shared" si="94"/>
        <v>0</v>
      </c>
    </row>
    <row r="512" spans="1:19">
      <c r="A512" s="150"/>
      <c r="B512" s="55"/>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7">
        <f t="shared" si="94"/>
        <v>0</v>
      </c>
    </row>
    <row r="513" spans="1:19">
      <c r="A513" s="150"/>
      <c r="B513" s="55"/>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7">
        <f t="shared" si="94"/>
        <v>0</v>
      </c>
    </row>
    <row r="514" spans="1:19">
      <c r="A514" s="150"/>
      <c r="B514" s="55"/>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7">
        <f t="shared" si="94"/>
        <v>0</v>
      </c>
    </row>
    <row r="515" spans="1:19">
      <c r="A515" s="150"/>
      <c r="B515" s="55"/>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7">
        <f t="shared" si="94"/>
        <v>0</v>
      </c>
    </row>
    <row r="516" spans="1:19">
      <c r="A516" s="150"/>
      <c r="B516" s="55"/>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7">
        <f t="shared" si="94"/>
        <v>0</v>
      </c>
    </row>
    <row r="517" spans="1:19">
      <c r="A517" s="150"/>
      <c r="B517" s="55"/>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7">
        <f t="shared" si="94"/>
        <v>0</v>
      </c>
    </row>
    <row r="518" spans="1:19">
      <c r="A518" s="150"/>
      <c r="B518" s="55"/>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7">
        <f t="shared" si="94"/>
        <v>0</v>
      </c>
    </row>
    <row r="519" spans="1:19">
      <c r="A519" s="150"/>
      <c r="B519" s="55"/>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7">
        <f t="shared" si="94"/>
        <v>0</v>
      </c>
    </row>
    <row r="520" spans="1:19">
      <c r="A520" s="150"/>
      <c r="B520" s="55"/>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7">
        <f t="shared" si="94"/>
        <v>0</v>
      </c>
    </row>
    <row r="521" spans="1:19">
      <c r="A521" s="150"/>
      <c r="B521" s="55"/>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7">
        <f t="shared" si="94"/>
        <v>0</v>
      </c>
    </row>
    <row r="522" spans="1:19">
      <c r="A522" s="150"/>
      <c r="B522" s="55"/>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7">
        <f t="shared" si="94"/>
        <v>0</v>
      </c>
    </row>
    <row r="523" spans="1:19">
      <c r="A523" s="150"/>
      <c r="B523" s="55"/>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7">
        <f t="shared" si="94"/>
        <v>0</v>
      </c>
    </row>
    <row r="524" spans="1:19">
      <c r="A524" s="150"/>
      <c r="B524" s="55"/>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f ca="1">C52</f>
        <v>45373</v>
      </c>
      <c r="C2" s="2" t="s">
        <v>133</v>
      </c>
      <c r="D2" s="200"/>
      <c r="E2" s="200"/>
      <c r="F2" s="200"/>
      <c r="G2" s="200"/>
    </row>
    <row r="3" spans="1:7" s="201" customFormat="1" ht="18" customHeight="1" thickBot="1">
      <c r="A3" s="204" t="s">
        <v>85</v>
      </c>
      <c r="B3" s="205">
        <f ca="1">ROUND(B2*10000/'数据-汇总表'!E3,0)</f>
        <v>5250</v>
      </c>
      <c r="C3" s="2" t="s">
        <v>134</v>
      </c>
      <c r="D3" s="200"/>
      <c r="E3" s="200"/>
      <c r="F3" s="200"/>
      <c r="G3" s="200"/>
    </row>
    <row r="4" spans="1:7" s="209" customFormat="1" ht="15.75">
      <c r="A4" s="206" t="s">
        <v>86</v>
      </c>
      <c r="B4" s="207"/>
      <c r="C4" s="207"/>
      <c r="D4" s="207"/>
      <c r="E4" s="207"/>
      <c r="F4" s="207"/>
      <c r="G4" s="208"/>
    </row>
    <row r="5" spans="1:7" s="215" customFormat="1" ht="13.5" customHeight="1">
      <c r="A5" s="256" t="s">
        <v>1022</v>
      </c>
      <c r="B5" s="211" t="s">
        <v>87</v>
      </c>
      <c r="C5" s="212">
        <f>C6+C7+C8</f>
        <v>20610</v>
      </c>
      <c r="D5" s="212" t="s">
        <v>88</v>
      </c>
      <c r="E5" s="213" t="s">
        <v>89</v>
      </c>
      <c r="F5" s="213" t="s">
        <v>90</v>
      </c>
      <c r="G5" s="214"/>
    </row>
    <row r="6" spans="1:7" s="215" customFormat="1" ht="13.5" customHeight="1">
      <c r="A6" s="880" t="s">
        <v>791</v>
      </c>
      <c r="B6" s="216" t="s">
        <v>91</v>
      </c>
      <c r="C6" s="217">
        <v>20000</v>
      </c>
      <c r="D6" s="218"/>
      <c r="E6" s="219"/>
      <c r="F6" s="219"/>
      <c r="G6" s="220"/>
    </row>
    <row r="7" spans="1:7" s="215" customFormat="1" ht="13.5" customHeight="1">
      <c r="A7" s="880" t="s">
        <v>792</v>
      </c>
      <c r="B7" s="216" t="s">
        <v>57</v>
      </c>
      <c r="C7" s="221">
        <f>ROUND(C6*F7,0)</f>
        <v>610</v>
      </c>
      <c r="D7" s="221"/>
      <c r="E7" s="219"/>
      <c r="F7" s="222">
        <f>'数据-取费表'!B48+'数据-取费表'!B49</f>
        <v>3.0499999999999999E-2</v>
      </c>
      <c r="G7" s="220"/>
    </row>
    <row r="8" spans="1:7" s="224" customFormat="1">
      <c r="A8" s="880" t="s">
        <v>793</v>
      </c>
      <c r="B8" s="216" t="s">
        <v>92</v>
      </c>
      <c r="C8" s="221" t="str">
        <f>IF(G8="已包含在土地购买价格中","0",'数据-取费表'!B29)</f>
        <v>0</v>
      </c>
      <c r="D8" s="223"/>
      <c r="E8" s="221"/>
      <c r="F8" s="222"/>
      <c r="G8" s="1" t="s">
        <v>1116</v>
      </c>
    </row>
    <row r="9" spans="1:7" s="215" customFormat="1" ht="13.5" customHeight="1">
      <c r="A9" s="881" t="s">
        <v>800</v>
      </c>
      <c r="B9" s="225" t="s">
        <v>93</v>
      </c>
      <c r="C9" s="226">
        <f>ROUND(D9*E9/10000,0)</f>
        <v>0</v>
      </c>
      <c r="D9" s="948">
        <f>'数据-汇总表'!E5</f>
        <v>49719.61</v>
      </c>
      <c r="E9" s="226">
        <f>'数据-取费表'!B27</f>
        <v>0</v>
      </c>
      <c r="F9" s="222"/>
      <c r="G9" s="227"/>
    </row>
    <row r="10" spans="1:7" s="215" customFormat="1" ht="13.5" customHeight="1">
      <c r="A10" s="881" t="s">
        <v>801</v>
      </c>
      <c r="B10" s="225" t="s">
        <v>94</v>
      </c>
      <c r="C10" s="226">
        <f>ROUND(D10*E10/10000,0)</f>
        <v>0</v>
      </c>
      <c r="D10" s="948">
        <f>'数据-汇总表'!E6</f>
        <v>36697.490000000005</v>
      </c>
      <c r="E10" s="226">
        <f>'数据-取费表'!B28</f>
        <v>0</v>
      </c>
      <c r="F10" s="222"/>
      <c r="G10" s="227"/>
    </row>
    <row r="11" spans="1:7" s="215" customFormat="1" ht="13.5" hidden="1" customHeight="1">
      <c r="A11" s="228" t="s">
        <v>7</v>
      </c>
      <c r="B11" s="216" t="s">
        <v>95</v>
      </c>
      <c r="C11" s="212"/>
      <c r="D11" s="950"/>
      <c r="E11" s="219"/>
      <c r="F11" s="219"/>
      <c r="G11" s="220"/>
    </row>
    <row r="12" spans="1:7" s="215" customFormat="1" ht="13.5" hidden="1" customHeight="1">
      <c r="A12" s="228" t="s">
        <v>8</v>
      </c>
      <c r="B12" s="216" t="s">
        <v>96</v>
      </c>
      <c r="C12" s="212">
        <v>0</v>
      </c>
      <c r="D12" s="950"/>
      <c r="E12" s="229"/>
      <c r="F12" s="222">
        <v>3.0499999999999999E-2</v>
      </c>
      <c r="G12" s="220"/>
    </row>
    <row r="13" spans="1:7" s="215" customFormat="1" ht="13.5" hidden="1" customHeight="1">
      <c r="A13" s="228" t="s">
        <v>9</v>
      </c>
      <c r="B13" s="216" t="s">
        <v>97</v>
      </c>
      <c r="C13" s="212"/>
      <c r="D13" s="950"/>
      <c r="E13" s="219"/>
      <c r="F13" s="219"/>
      <c r="G13" s="220"/>
    </row>
    <row r="14" spans="1:7" s="215" customFormat="1" ht="13.5" hidden="1" customHeight="1">
      <c r="A14" s="228" t="s">
        <v>10</v>
      </c>
      <c r="B14" s="216" t="s">
        <v>92</v>
      </c>
      <c r="C14" s="212"/>
      <c r="D14" s="950"/>
      <c r="E14" s="219"/>
      <c r="F14" s="219"/>
      <c r="G14" s="220" t="s">
        <v>98</v>
      </c>
    </row>
    <row r="15" spans="1:7" s="215" customFormat="1" ht="13.5" hidden="1" customHeight="1">
      <c r="A15" s="228" t="s">
        <v>11</v>
      </c>
      <c r="B15" s="216" t="s">
        <v>99</v>
      </c>
      <c r="C15" s="221"/>
      <c r="D15" s="950"/>
      <c r="E15" s="219"/>
      <c r="F15" s="219"/>
      <c r="G15" s="220" t="s">
        <v>100</v>
      </c>
    </row>
    <row r="16" spans="1:7" s="215" customFormat="1" ht="13.5" hidden="1" customHeight="1">
      <c r="A16" s="228" t="s">
        <v>12</v>
      </c>
      <c r="B16" s="216" t="s">
        <v>92</v>
      </c>
      <c r="C16" s="221"/>
      <c r="D16" s="950"/>
      <c r="E16" s="219"/>
      <c r="F16" s="219"/>
      <c r="G16" s="220"/>
    </row>
    <row r="17" spans="1:7" s="215" customFormat="1" ht="13.5" hidden="1" customHeight="1">
      <c r="A17" s="228" t="s">
        <v>13</v>
      </c>
      <c r="B17" s="216" t="s">
        <v>101</v>
      </c>
      <c r="C17" s="230"/>
      <c r="D17" s="951"/>
      <c r="E17" s="230"/>
      <c r="F17" s="230"/>
      <c r="G17" s="220" t="s">
        <v>100</v>
      </c>
    </row>
    <row r="18" spans="1:7" s="215" customFormat="1" ht="13.5" hidden="1" customHeight="1">
      <c r="A18" s="228" t="s">
        <v>14</v>
      </c>
      <c r="B18" s="216" t="s">
        <v>102</v>
      </c>
      <c r="C18" s="221">
        <v>0</v>
      </c>
      <c r="D18" s="950"/>
      <c r="E18" s="219"/>
      <c r="F18" s="222">
        <v>3.0499999999999999E-2</v>
      </c>
      <c r="G18" s="220" t="s">
        <v>103</v>
      </c>
    </row>
    <row r="19" spans="1:7" s="224" customFormat="1" ht="13.5" customHeight="1">
      <c r="A19" s="879" t="s">
        <v>1023</v>
      </c>
      <c r="B19" s="211" t="s">
        <v>111</v>
      </c>
      <c r="C19" s="212">
        <f>IF(G19="已包含在土地取得成本中","0",ROUND(D19*E19/10000,0))</f>
        <v>1728</v>
      </c>
      <c r="D19" s="952">
        <f>'数据-汇总表'!E3</f>
        <v>86417.1</v>
      </c>
      <c r="E19" s="212">
        <f>'数据-取费表'!B31</f>
        <v>200</v>
      </c>
      <c r="F19" s="232"/>
      <c r="G19" s="1" t="s">
        <v>1042</v>
      </c>
    </row>
    <row r="20" spans="1:7" s="215" customFormat="1" ht="13.5" customHeight="1">
      <c r="A20" s="879" t="s">
        <v>1025</v>
      </c>
      <c r="B20" s="211" t="s">
        <v>104</v>
      </c>
      <c r="C20" s="233">
        <f>ROUND((C5+C19)*F20,0)</f>
        <v>670</v>
      </c>
      <c r="D20" s="233"/>
      <c r="E20" s="233"/>
      <c r="F20" s="234">
        <f>'数据-取费表'!B37</f>
        <v>0.03</v>
      </c>
      <c r="G20" s="1193" t="s">
        <v>1036</v>
      </c>
    </row>
    <row r="21" spans="1:7" s="215" customFormat="1" ht="13.5" customHeight="1">
      <c r="A21" s="879" t="s">
        <v>1027</v>
      </c>
      <c r="B21" s="211" t="s">
        <v>105</v>
      </c>
      <c r="C21" s="236">
        <f>F21</f>
        <v>0.03</v>
      </c>
      <c r="D21" s="237" t="s">
        <v>126</v>
      </c>
      <c r="E21" s="233"/>
      <c r="F21" s="234">
        <f>'数据-取费表'!B38</f>
        <v>0.03</v>
      </c>
      <c r="G21" s="235" t="s">
        <v>106</v>
      </c>
    </row>
    <row r="22" spans="1:7" s="215" customFormat="1" ht="13.5" customHeight="1">
      <c r="A22" s="879" t="s">
        <v>786</v>
      </c>
      <c r="B22" s="211" t="s">
        <v>107</v>
      </c>
      <c r="C22" s="1258">
        <f ca="1">ROUND(SUM(C23:C25),0)</f>
        <v>587</v>
      </c>
      <c r="D22" s="236">
        <f ca="1">C26</f>
        <v>4.0000000000000002E-4</v>
      </c>
      <c r="E22" s="237" t="s">
        <v>126</v>
      </c>
      <c r="F22" s="238">
        <f ca="1">'数据-取费表'!B40</f>
        <v>4.3499999999999997E-2</v>
      </c>
      <c r="G22" s="1193" t="str">
        <f>IF('数据-取费表'!B22&lt;=1,"单利计息","复利计息")</f>
        <v>复利计息</v>
      </c>
    </row>
    <row r="23" spans="1:7" s="215" customFormat="1" ht="13.5" customHeight="1">
      <c r="A23" s="882" t="s">
        <v>794</v>
      </c>
      <c r="B23" s="216" t="s">
        <v>1029</v>
      </c>
      <c r="C23" s="1259">
        <f ca="1">ROUND(IF('数据-取费表'!B22&lt;=1,C5*F22*'数据-取费表'!B23,C5*(POWER((1+F22),'数据-取费表'!B23)-1)),0)</f>
        <v>533</v>
      </c>
      <c r="D23" s="239"/>
      <c r="E23" s="239"/>
      <c r="F23" s="240"/>
      <c r="G23" s="241" t="s">
        <v>108</v>
      </c>
    </row>
    <row r="24" spans="1:7" s="215" customFormat="1" ht="13.5" customHeight="1">
      <c r="A24" s="882" t="s">
        <v>792</v>
      </c>
      <c r="B24" s="216" t="s">
        <v>1024</v>
      </c>
      <c r="C24" s="1259">
        <f ca="1">ROUND(IF('数据-取费表'!B22&lt;=1,C19*F22*('数据-取费表'!B19/2+'数据-取费表'!B21),C19*(POWER((1+F22),('数据-取费表'!B19/2+'数据-取费表'!B21))-1)),0)</f>
        <v>45</v>
      </c>
      <c r="D24" s="239"/>
      <c r="E24" s="239"/>
      <c r="F24" s="240"/>
      <c r="G24" s="241" t="s">
        <v>109</v>
      </c>
    </row>
    <row r="25" spans="1:7" s="215" customFormat="1" ht="24">
      <c r="A25" s="882" t="s">
        <v>793</v>
      </c>
      <c r="B25" s="216" t="s">
        <v>1026</v>
      </c>
      <c r="C25" s="1259">
        <f ca="1">ROUND(IF('数据-取费表'!B22&lt;=1,C20*F22*'数据-取费表'!B23/2,C20*(POWER((1+F22),'数据-取费表'!B23/2)-1)),0)</f>
        <v>9</v>
      </c>
      <c r="D25" s="239"/>
      <c r="E25" s="242"/>
      <c r="F25" s="240"/>
      <c r="G25" s="243" t="s">
        <v>110</v>
      </c>
    </row>
    <row r="26" spans="1:7" s="215" customFormat="1">
      <c r="A26" s="882" t="s">
        <v>795</v>
      </c>
      <c r="B26" s="216" t="s">
        <v>1028</v>
      </c>
      <c r="C26" s="239">
        <f ca="1">ROUND(IF('数据-取费表'!B22&lt;=1,F21*F22*'数据-取费表'!B23/2,F21*(POWER((1+F22),'数据-取费表'!B23/2)-1)),4)</f>
        <v>4.0000000000000002E-4</v>
      </c>
      <c r="D26" s="239"/>
      <c r="E26" s="242"/>
      <c r="F26" s="240"/>
      <c r="G26" s="244"/>
    </row>
    <row r="27" spans="1:7" s="215" customFormat="1" ht="24.75">
      <c r="A27" s="879" t="s">
        <v>787</v>
      </c>
      <c r="B27" s="245" t="s">
        <v>112</v>
      </c>
      <c r="C27" s="246">
        <f>C28</f>
        <v>483</v>
      </c>
      <c r="D27" s="236">
        <f>C29</f>
        <v>5.9999999999999995E-4</v>
      </c>
      <c r="E27" s="237" t="s">
        <v>126</v>
      </c>
      <c r="F27" s="247">
        <f>'数据-取费表'!Q16</f>
        <v>7.0000000000000007E-2</v>
      </c>
      <c r="G27" s="248" t="s">
        <v>1037</v>
      </c>
    </row>
    <row r="28" spans="1:7" s="215" customFormat="1" ht="13.5" customHeight="1">
      <c r="A28" s="882" t="s">
        <v>794</v>
      </c>
      <c r="B28" s="249" t="s">
        <v>1030</v>
      </c>
      <c r="C28" s="250">
        <f>ROUND((C5+C19+C20)*F27*'数据-取费表'!B21/'数据-取费表'!B20,0)</f>
        <v>483</v>
      </c>
      <c r="D28" s="236"/>
      <c r="E28" s="237"/>
      <c r="F28" s="247"/>
      <c r="G28" s="248"/>
    </row>
    <row r="29" spans="1:7" s="215" customFormat="1" ht="13.5" customHeight="1">
      <c r="A29" s="882" t="s">
        <v>792</v>
      </c>
      <c r="B29" s="249" t="s">
        <v>1031</v>
      </c>
      <c r="C29" s="239">
        <f>ROUND(C21*F27*'数据-取费表'!B21/'数据-取费表'!B20,4)</f>
        <v>5.9999999999999995E-4</v>
      </c>
      <c r="D29" s="236"/>
      <c r="E29" s="237"/>
      <c r="F29" s="247"/>
      <c r="G29" s="248"/>
    </row>
    <row r="30" spans="1:7" s="215" customFormat="1" ht="13.5" customHeight="1">
      <c r="A30" s="879" t="s">
        <v>788</v>
      </c>
      <c r="B30" s="211" t="s">
        <v>58</v>
      </c>
      <c r="C30" s="236">
        <f>F30</f>
        <v>5.5000000000000007E-2</v>
      </c>
      <c r="D30" s="237" t="s">
        <v>127</v>
      </c>
      <c r="E30" s="242"/>
      <c r="F30" s="238">
        <f>'数据-取费表'!B41</f>
        <v>5.5000000000000007E-2</v>
      </c>
      <c r="G30" s="235" t="s">
        <v>113</v>
      </c>
    </row>
    <row r="31" spans="1:7" ht="16.5" customHeight="1">
      <c r="A31" s="210">
        <v>1</v>
      </c>
      <c r="B31" s="211" t="s">
        <v>128</v>
      </c>
      <c r="C31" s="212">
        <f ca="1">ROUND((C5+C19+C20+C22+C27)/(1-C21-D22-D27-C30/(1+'数据-取费表'!B42)),0)</f>
        <v>26268</v>
      </c>
      <c r="D31" s="231"/>
      <c r="E31" s="212"/>
      <c r="F31" s="251"/>
      <c r="G31" s="235" t="s">
        <v>1038</v>
      </c>
    </row>
    <row r="32" spans="1:7" s="209" customFormat="1" ht="15.75">
      <c r="A32" s="253" t="s">
        <v>114</v>
      </c>
      <c r="B32" s="254"/>
      <c r="C32" s="254"/>
      <c r="D32" s="254"/>
      <c r="E32" s="254"/>
      <c r="F32" s="254"/>
      <c r="G32" s="255"/>
    </row>
    <row r="33" spans="1:7" s="215" customFormat="1" ht="13.5" customHeight="1">
      <c r="A33" s="256" t="s">
        <v>782</v>
      </c>
      <c r="B33" s="211" t="s">
        <v>115</v>
      </c>
      <c r="C33" s="257">
        <f>SUM(C34:C38)</f>
        <v>15675</v>
      </c>
      <c r="D33" s="233"/>
      <c r="E33" s="213"/>
      <c r="F33" s="242"/>
      <c r="G33" s="235"/>
    </row>
    <row r="34" spans="1:7" s="259" customFormat="1" ht="13.5" customHeight="1">
      <c r="A34" s="882" t="s">
        <v>794</v>
      </c>
      <c r="B34" s="216" t="s">
        <v>59</v>
      </c>
      <c r="C34" s="221">
        <f>IF(F34=100%,'数据-取费表'!M16-SUMIF('数据-取费表'!C:C,"公共配套",'数据-取费表'!M:M),'数据-取费表'!O16-SUMIF('数据-取费表'!C:C,"公共配套",'数据-取费表'!O:O))</f>
        <v>13826</v>
      </c>
      <c r="D34" s="218"/>
      <c r="E34" s="221"/>
      <c r="F34" s="258">
        <f>IF('数据-取费表'!B24=0,1,'数据-取费表'!N16)</f>
        <v>0.32</v>
      </c>
      <c r="G34" s="220" t="s">
        <v>116</v>
      </c>
    </row>
    <row r="35" spans="1:7" ht="13.5" customHeight="1">
      <c r="A35" s="882" t="s">
        <v>796</v>
      </c>
      <c r="B35" s="216" t="s">
        <v>60</v>
      </c>
      <c r="C35" s="221">
        <f>ROUND(C34*F35,0)</f>
        <v>691</v>
      </c>
      <c r="D35" s="221"/>
      <c r="E35" s="221"/>
      <c r="F35" s="260">
        <f>'数据-取费表'!B33</f>
        <v>0.05</v>
      </c>
      <c r="G35" s="220" t="s">
        <v>117</v>
      </c>
    </row>
    <row r="36" spans="1:7" ht="24">
      <c r="A36" s="882" t="s">
        <v>797</v>
      </c>
      <c r="B36" s="216" t="s">
        <v>61</v>
      </c>
      <c r="C36" s="221">
        <f>ROUND(IF(SUMIF('数据-取费表'!C:C,"住宅",IF(F34=100%,'数据-取费表'!M:M,'数据-取费表'!O:O))=0,0,IF(F36=0,SUMIF('数据-取费表'!C:C,"公共配套",IF(F34=100%,'数据-取费表'!M:M,'数据-取费表'!O:O)),SUMIF('数据-取费表'!C:C,"住宅",IF(F34=100%,'数据-取费表'!M:M,'数据-取费表'!O:O))*F36)),0)</f>
        <v>398</v>
      </c>
      <c r="D36" s="221"/>
      <c r="E36" s="221"/>
      <c r="F36" s="260">
        <f>'数据-取费表'!B34</f>
        <v>0.05</v>
      </c>
      <c r="G36" s="261" t="s">
        <v>62</v>
      </c>
    </row>
    <row r="37" spans="1:7" s="259" customFormat="1" ht="13.5" customHeight="1">
      <c r="A37" s="882" t="s">
        <v>798</v>
      </c>
      <c r="B37" s="216" t="s">
        <v>118</v>
      </c>
      <c r="C37" s="250">
        <f>ROUND(E37*D37*F34/10000,0)</f>
        <v>553</v>
      </c>
      <c r="D37" s="218">
        <f>'数据-汇总表'!E3</f>
        <v>86417.1</v>
      </c>
      <c r="E37" s="250">
        <f>'数据-取费表'!B35</f>
        <v>200</v>
      </c>
      <c r="F37" s="260"/>
      <c r="G37" s="262" t="s">
        <v>119</v>
      </c>
    </row>
    <row r="38" spans="1:7" ht="13.5" customHeight="1">
      <c r="A38" s="882" t="s">
        <v>799</v>
      </c>
      <c r="B38" s="216" t="s">
        <v>63</v>
      </c>
      <c r="C38" s="221">
        <f>ROUND(C34*F38,0)</f>
        <v>207</v>
      </c>
      <c r="D38" s="221"/>
      <c r="E38" s="221"/>
      <c r="F38" s="260">
        <f>'数据-取费表'!B36</f>
        <v>1.4999999999999999E-2</v>
      </c>
      <c r="G38" s="220" t="s">
        <v>117</v>
      </c>
    </row>
    <row r="39" spans="1:7" s="215" customFormat="1" ht="13.5" customHeight="1">
      <c r="A39" s="879" t="s">
        <v>783</v>
      </c>
      <c r="B39" s="211" t="s">
        <v>104</v>
      </c>
      <c r="C39" s="233">
        <f>ROUND(C33*F20,0)</f>
        <v>470</v>
      </c>
      <c r="D39" s="233"/>
      <c r="E39" s="233"/>
      <c r="F39" s="234"/>
      <c r="G39" s="1193" t="s">
        <v>1039</v>
      </c>
    </row>
    <row r="40" spans="1:7" s="215" customFormat="1" ht="13.5" customHeight="1">
      <c r="A40" s="879" t="s">
        <v>784</v>
      </c>
      <c r="B40" s="211" t="s">
        <v>105</v>
      </c>
      <c r="C40" s="263">
        <f>F21</f>
        <v>0.03</v>
      </c>
      <c r="D40" s="237" t="s">
        <v>129</v>
      </c>
      <c r="E40" s="233"/>
      <c r="F40" s="234"/>
      <c r="G40" s="235" t="s">
        <v>120</v>
      </c>
    </row>
    <row r="41" spans="1:7" s="215" customFormat="1" ht="13.5" customHeight="1">
      <c r="A41" s="879" t="s">
        <v>785</v>
      </c>
      <c r="B41" s="211" t="s">
        <v>107</v>
      </c>
      <c r="C41" s="233">
        <f ca="1">ROUND(SUM(C42:C43),0)</f>
        <v>208</v>
      </c>
      <c r="D41" s="236">
        <f ca="1">C44</f>
        <v>4.0000000000000002E-4</v>
      </c>
      <c r="E41" s="237" t="s">
        <v>129</v>
      </c>
      <c r="F41" s="238"/>
      <c r="G41" s="1193" t="str">
        <f>IF('数据-取费表'!B22&lt;=1,"单利计息","复利计息")</f>
        <v>复利计息</v>
      </c>
    </row>
    <row r="42" spans="1:7" ht="13.5" customHeight="1">
      <c r="A42" s="882" t="s">
        <v>794</v>
      </c>
      <c r="B42" s="216" t="s">
        <v>1029</v>
      </c>
      <c r="C42" s="239">
        <f ca="1">ROUND(IF('数据-取费表'!B22&lt;=1,C33*F22*'数据-取费表'!B21/2,C33*(POWER((1+F22),'数据-取费表'!B21/2)-1)),0)</f>
        <v>202</v>
      </c>
      <c r="D42" s="239"/>
      <c r="E42" s="239"/>
      <c r="F42" s="240"/>
      <c r="G42" s="3550" t="s">
        <v>121</v>
      </c>
    </row>
    <row r="43" spans="1:7" ht="13.5" customHeight="1">
      <c r="A43" s="882" t="s">
        <v>792</v>
      </c>
      <c r="B43" s="216" t="s">
        <v>1032</v>
      </c>
      <c r="C43" s="239">
        <f ca="1">ROUND(IF('数据-取费表'!B22&lt;=1,C39*F22*'数据-取费表'!B21/2,C39*(POWER((1+F22),'数据-取费表'!B21/2)-1)),0)</f>
        <v>6</v>
      </c>
      <c r="D43" s="239"/>
      <c r="E43" s="239"/>
      <c r="F43" s="240"/>
      <c r="G43" s="3551"/>
    </row>
    <row r="44" spans="1:7" ht="13.5" customHeight="1">
      <c r="A44" s="882" t="s">
        <v>793</v>
      </c>
      <c r="B44" s="216" t="s">
        <v>1034</v>
      </c>
      <c r="C44" s="239">
        <f ca="1">ROUND(IF('数据-取费表'!B22&lt;=1,C40*F22*'数据-取费表'!B21/2,C40*(POWER((1+F22),'数据-取费表'!B21/2)-1)),4)</f>
        <v>4.0000000000000002E-4</v>
      </c>
      <c r="D44" s="239"/>
      <c r="E44" s="239"/>
      <c r="F44" s="240"/>
      <c r="G44" s="3552"/>
    </row>
    <row r="45" spans="1:7" s="215" customFormat="1" ht="13.5" customHeight="1">
      <c r="A45" s="879" t="s">
        <v>786</v>
      </c>
      <c r="B45" s="245" t="s">
        <v>112</v>
      </c>
      <c r="C45" s="246">
        <f>C46</f>
        <v>1130</v>
      </c>
      <c r="D45" s="236">
        <f>C47</f>
        <v>2.0999999999999999E-3</v>
      </c>
      <c r="E45" s="237" t="s">
        <v>129</v>
      </c>
      <c r="F45" s="247"/>
      <c r="G45" s="248" t="s">
        <v>1040</v>
      </c>
    </row>
    <row r="46" spans="1:7" s="215" customFormat="1" ht="13.5" customHeight="1">
      <c r="A46" s="882" t="s">
        <v>794</v>
      </c>
      <c r="B46" s="249" t="s">
        <v>1033</v>
      </c>
      <c r="C46" s="250">
        <f>ROUND((C33+C39)*F27,0)</f>
        <v>1130</v>
      </c>
      <c r="D46" s="264"/>
      <c r="E46" s="237"/>
      <c r="F46" s="247"/>
      <c r="G46" s="248"/>
    </row>
    <row r="47" spans="1:7" s="215" customFormat="1" ht="13.5" customHeight="1">
      <c r="A47" s="882" t="s">
        <v>792</v>
      </c>
      <c r="B47" s="249" t="s">
        <v>1035</v>
      </c>
      <c r="C47" s="239">
        <f>ROUND(C40*F27,4)</f>
        <v>2.0999999999999999E-3</v>
      </c>
      <c r="D47" s="264"/>
      <c r="E47" s="237"/>
      <c r="F47" s="247"/>
      <c r="G47" s="248"/>
    </row>
    <row r="48" spans="1:7" s="215" customFormat="1" ht="13.5" customHeight="1">
      <c r="A48" s="879" t="s">
        <v>787</v>
      </c>
      <c r="B48" s="211" t="s">
        <v>122</v>
      </c>
      <c r="C48" s="263">
        <f>F30</f>
        <v>5.5000000000000007E-2</v>
      </c>
      <c r="D48" s="237" t="s">
        <v>130</v>
      </c>
      <c r="E48" s="233"/>
      <c r="F48" s="238"/>
      <c r="G48" s="235" t="s">
        <v>123</v>
      </c>
    </row>
    <row r="49" spans="1:7" ht="16.5" customHeight="1">
      <c r="A49" s="879" t="s">
        <v>788</v>
      </c>
      <c r="B49" s="211" t="s">
        <v>131</v>
      </c>
      <c r="C49" s="233">
        <f ca="1">ROUND((C33+C39+C41+C45)/(1-C40-D41-D45-C48/(1+'数据-取费表'!B42)),0)</f>
        <v>19105</v>
      </c>
      <c r="D49" s="233"/>
      <c r="E49" s="233"/>
      <c r="F49" s="265"/>
      <c r="G49" s="235" t="s">
        <v>1041</v>
      </c>
    </row>
    <row r="50" spans="1:7" s="259" customFormat="1" ht="24">
      <c r="A50" s="879" t="s">
        <v>789</v>
      </c>
      <c r="B50" s="211" t="s">
        <v>124</v>
      </c>
      <c r="C50" s="233"/>
      <c r="D50" s="233"/>
      <c r="E50" s="233"/>
      <c r="F50" s="265">
        <f>IF('数据-取费表'!B24=0,'数据-取费表'!N16,1)</f>
        <v>1</v>
      </c>
      <c r="G50" s="248" t="s">
        <v>125</v>
      </c>
    </row>
    <row r="51" spans="1:7" ht="16.5" customHeight="1">
      <c r="A51" s="879" t="s">
        <v>790</v>
      </c>
      <c r="B51" s="211" t="s">
        <v>132</v>
      </c>
      <c r="C51" s="233">
        <f ca="1">ROUND(C49*F50,0)</f>
        <v>19105</v>
      </c>
      <c r="D51" s="233"/>
      <c r="E51" s="233"/>
      <c r="F51" s="265"/>
      <c r="G51" s="235" t="s">
        <v>64</v>
      </c>
    </row>
    <row r="52" spans="1:7" s="209" customFormat="1" ht="16.5" thickBot="1">
      <c r="A52" s="266" t="s">
        <v>65</v>
      </c>
      <c r="B52" s="267"/>
      <c r="C52" s="268">
        <f ca="1">C31+C51</f>
        <v>45373</v>
      </c>
      <c r="D52" s="267"/>
      <c r="E52" s="267"/>
      <c r="F52" s="267"/>
      <c r="G52" s="269"/>
    </row>
    <row r="55" spans="1:7" ht="15">
      <c r="B55" s="271" t="s">
        <v>66</v>
      </c>
      <c r="C55" s="272"/>
    </row>
    <row r="56" spans="1:7">
      <c r="B56" s="274" t="s">
        <v>67</v>
      </c>
      <c r="C56" s="275">
        <f ca="1">ROUND(C51/C52,3)</f>
        <v>0.42099999999999999</v>
      </c>
    </row>
    <row r="57" spans="1:7">
      <c r="B57" s="274" t="s">
        <v>68</v>
      </c>
      <c r="C57" s="276">
        <f ca="1">1-C56</f>
        <v>0.57899999999999996</v>
      </c>
    </row>
  </sheetData>
  <mergeCells count="1">
    <mergeCell ref="G42:G44"/>
  </mergeCells>
  <phoneticPr fontId="19"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706" t="s">
        <v>156</v>
      </c>
      <c r="B1" s="3706"/>
      <c r="C1" s="3706"/>
      <c r="D1" s="3706"/>
      <c r="E1" s="3706"/>
      <c r="F1" s="3706"/>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707" t="s">
        <v>169</v>
      </c>
      <c r="B2" s="3707"/>
      <c r="C2" s="3707"/>
      <c r="D2" s="3707"/>
      <c r="E2" s="3707"/>
      <c r="F2" s="3707"/>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708"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709"/>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317" t="s">
        <v>1627</v>
      </c>
      <c r="B1" s="3317"/>
      <c r="C1" s="3317"/>
      <c r="D1" s="3317"/>
    </row>
    <row r="2" spans="1:4" ht="18">
      <c r="A2" s="3318" t="s">
        <v>1611</v>
      </c>
      <c r="B2" s="3318"/>
      <c r="C2" s="3318"/>
      <c r="D2" s="3318"/>
    </row>
    <row r="3" spans="1:4" ht="18.75">
      <c r="A3" s="1687" t="s">
        <v>1612</v>
      </c>
      <c r="B3" s="1687" t="s">
        <v>1613</v>
      </c>
      <c r="C3" s="1687" t="s">
        <v>1614</v>
      </c>
      <c r="D3" s="1687" t="s">
        <v>1615</v>
      </c>
    </row>
    <row r="4" spans="1:4" ht="56.25" customHeight="1">
      <c r="A4" s="1688" t="str">
        <f>项目基本情况!B4</f>
        <v>吴薇</v>
      </c>
      <c r="B4" s="1689">
        <f ca="1">项目基本情况!C4</f>
        <v>1419970001</v>
      </c>
      <c r="C4" s="1690"/>
      <c r="D4" s="1691" t="s">
        <v>1616</v>
      </c>
    </row>
    <row r="5" spans="1:4" ht="56.25" customHeight="1">
      <c r="A5" s="1688" t="str">
        <f>项目基本情况!D4</f>
        <v>郑燚</v>
      </c>
      <c r="B5" s="1689">
        <f ca="1">项目基本情况!E4</f>
        <v>1120070131</v>
      </c>
      <c r="C5" s="1692"/>
      <c r="D5" s="1691" t="s">
        <v>1616</v>
      </c>
    </row>
    <row r="6" spans="1:4" ht="18">
      <c r="A6" s="3318" t="s">
        <v>1617</v>
      </c>
      <c r="B6" s="3318"/>
      <c r="C6" s="3318"/>
      <c r="D6" s="3318"/>
    </row>
    <row r="7" spans="1:4" ht="18.75">
      <c r="A7" s="1687" t="s">
        <v>1612</v>
      </c>
      <c r="B7" s="1689" t="s">
        <v>1618</v>
      </c>
      <c r="C7" s="1687" t="s">
        <v>1614</v>
      </c>
      <c r="D7" s="1687" t="s">
        <v>1615</v>
      </c>
    </row>
    <row r="8" spans="1:4" ht="56.25" customHeight="1">
      <c r="A8" s="1693" t="s">
        <v>837</v>
      </c>
      <c r="B8" s="1693" t="s">
        <v>1</v>
      </c>
      <c r="C8" s="1690"/>
      <c r="D8" s="1691" t="s">
        <v>1616</v>
      </c>
    </row>
    <row r="9" spans="1:4">
      <c r="A9" s="679"/>
      <c r="B9" s="679"/>
      <c r="C9" s="679"/>
      <c r="D9" s="679"/>
    </row>
    <row r="10" spans="1:4" ht="18.75">
      <c r="A10" s="1694" t="s">
        <v>1619</v>
      </c>
      <c r="B10" s="679"/>
      <c r="C10" s="679"/>
      <c r="D10" s="679"/>
    </row>
    <row r="11" spans="1:4" ht="30" customHeight="1">
      <c r="A11" s="3319" t="s">
        <v>1620</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20" t="str">
        <f>IF(项目基本情况!B8="抵押","4.本次评估估价师所知悉的法定优先受偿款情况说明如下：","——")</f>
        <v>4.本次评估估价师所知悉的法定优先受偿款情况说明如下：</v>
      </c>
      <c r="B14" s="3321"/>
      <c r="C14" s="3321"/>
      <c r="D14" s="3321"/>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3" t="s">
        <v>1621</v>
      </c>
      <c r="B16" s="3323"/>
      <c r="C16" s="3323"/>
      <c r="D16" s="3323"/>
    </row>
    <row r="17" spans="1:4" ht="144" customHeight="1">
      <c r="A17" s="3323" t="s">
        <v>1622</v>
      </c>
      <c r="B17" s="3323"/>
      <c r="C17" s="3323"/>
      <c r="D17" s="3323"/>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0"/>
      <c r="C20" s="3320"/>
      <c r="D20" s="3320"/>
    </row>
    <row r="21" spans="1:4" ht="57.75" customHeight="1">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4"/>
      <c r="C21" s="3324"/>
      <c r="D21" s="3324"/>
    </row>
    <row r="22" spans="1:4" ht="18.75" customHeight="1">
      <c r="A22" s="3325" t="s">
        <v>1623</v>
      </c>
      <c r="B22" s="3325"/>
      <c r="C22" s="3325"/>
      <c r="D22" s="3325"/>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322">
        <v>42551</v>
      </c>
      <c r="D31" s="33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706" t="s">
        <v>839</v>
      </c>
      <c r="B1" s="3706"/>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8"/>
  <sheetViews>
    <sheetView workbookViewId="0">
      <selection activeCell="H3" sqref="H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44568</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0">
        <v>43941</v>
      </c>
      <c r="D13" s="3041">
        <v>3.85</v>
      </c>
      <c r="E13" s="3041">
        <v>3.85</v>
      </c>
      <c r="F13" s="3041">
        <v>3.85</v>
      </c>
      <c r="G13" s="3041">
        <v>3.85</v>
      </c>
      <c r="H13" s="3041">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6"/>
      <c r="C14" s="3037">
        <v>43881</v>
      </c>
      <c r="D14" s="3036">
        <v>4.05</v>
      </c>
      <c r="E14" s="3036">
        <v>4.05</v>
      </c>
      <c r="F14" s="3036">
        <v>4.05</v>
      </c>
      <c r="G14" s="3036">
        <v>4.05</v>
      </c>
      <c r="H14" s="3036">
        <v>4.75</v>
      </c>
      <c r="I14" s="3036"/>
      <c r="J14" s="303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6"/>
      <c r="C15" s="3037">
        <v>43789</v>
      </c>
      <c r="D15" s="3036">
        <v>4.1500000000000004</v>
      </c>
      <c r="E15" s="3036">
        <v>4.1500000000000004</v>
      </c>
      <c r="F15" s="3036">
        <v>4.1500000000000004</v>
      </c>
      <c r="G15" s="3036">
        <v>4.1500000000000004</v>
      </c>
      <c r="H15" s="3036">
        <v>4.8</v>
      </c>
      <c r="I15" s="3036"/>
      <c r="J15" s="303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6"/>
      <c r="C16" s="3037">
        <v>43728</v>
      </c>
      <c r="D16" s="3036">
        <v>4.2</v>
      </c>
      <c r="E16" s="3036">
        <v>4.2</v>
      </c>
      <c r="F16" s="3036">
        <v>4.2</v>
      </c>
      <c r="G16" s="3036">
        <v>4.2</v>
      </c>
      <c r="H16" s="3036">
        <v>4.8499999999999996</v>
      </c>
      <c r="I16" s="3036"/>
      <c r="J16" s="303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5" t="s">
        <v>3051</v>
      </c>
      <c r="C17" s="3038">
        <v>43697</v>
      </c>
      <c r="D17" s="3039">
        <v>4.25</v>
      </c>
      <c r="E17" s="3039">
        <v>4.25</v>
      </c>
      <c r="F17" s="3039">
        <v>4.25</v>
      </c>
      <c r="G17" s="3039">
        <v>4.25</v>
      </c>
      <c r="H17" s="3039">
        <v>4.8499999999999996</v>
      </c>
      <c r="I17" s="3039"/>
      <c r="J17" s="303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39"/>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1"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331" t="s">
        <v>1634</v>
      </c>
      <c r="B15" s="3326" t="s">
        <v>136</v>
      </c>
      <c r="C15" s="3327"/>
    </row>
    <row r="16" spans="1:7" ht="13.5">
      <c r="A16" s="3332"/>
      <c r="B16" s="3326" t="s">
        <v>69</v>
      </c>
      <c r="C16" s="3327"/>
    </row>
    <row r="17" spans="1:3" ht="13.5">
      <c r="A17" s="3332"/>
      <c r="B17" s="3329" t="s">
        <v>1635</v>
      </c>
      <c r="C17" s="1710" t="s">
        <v>1634</v>
      </c>
    </row>
    <row r="18" spans="1:3" ht="13.5">
      <c r="A18" s="3332"/>
      <c r="B18" s="3329"/>
      <c r="C18" s="1710" t="s">
        <v>1636</v>
      </c>
    </row>
    <row r="19" spans="1:3" ht="13.5">
      <c r="A19" s="3332"/>
      <c r="B19" s="3329"/>
      <c r="C19" s="1710" t="s">
        <v>1637</v>
      </c>
    </row>
    <row r="20" spans="1:3" ht="13.5">
      <c r="A20" s="3333"/>
      <c r="B20" s="3328" t="s">
        <v>1638</v>
      </c>
      <c r="C20" s="3327"/>
    </row>
    <row r="21" spans="1:3" ht="13.5">
      <c r="A21" s="1711" t="s">
        <v>1639</v>
      </c>
      <c r="B21" s="1712"/>
      <c r="C21" s="1713"/>
    </row>
    <row r="22" spans="1:3" ht="13.5">
      <c r="A22" s="3330" t="s">
        <v>1640</v>
      </c>
      <c r="B22" s="3328" t="s">
        <v>1641</v>
      </c>
      <c r="C22" s="3327"/>
    </row>
    <row r="23" spans="1:3" ht="13.5">
      <c r="A23" s="3330"/>
      <c r="B23" s="3328" t="s">
        <v>1642</v>
      </c>
      <c r="C23" s="3327"/>
    </row>
    <row r="24" spans="1:3" ht="13.5">
      <c r="A24" s="3330"/>
      <c r="B24" s="3328" t="s">
        <v>1643</v>
      </c>
      <c r="C24" s="3327"/>
    </row>
    <row r="25" spans="1:3" ht="13.5">
      <c r="A25" s="3330"/>
      <c r="B25" s="3329" t="s">
        <v>1644</v>
      </c>
      <c r="C25" s="1710" t="s">
        <v>1645</v>
      </c>
    </row>
    <row r="26" spans="1:3" ht="13.5">
      <c r="A26" s="3330"/>
      <c r="B26" s="3329"/>
      <c r="C26" s="1710" t="s">
        <v>1646</v>
      </c>
    </row>
    <row r="27" spans="1:3" ht="13.5">
      <c r="A27" s="3330"/>
      <c r="B27" s="3329"/>
      <c r="C27" s="1710" t="s">
        <v>1647</v>
      </c>
    </row>
    <row r="28" spans="1:3" ht="13.5">
      <c r="A28" s="3330"/>
      <c r="B28" s="3329"/>
      <c r="C28" s="1710" t="s">
        <v>1648</v>
      </c>
    </row>
    <row r="29" spans="1:3" ht="13.5">
      <c r="A29" s="3330"/>
      <c r="B29" s="3329"/>
      <c r="C29" s="1710" t="s">
        <v>1649</v>
      </c>
    </row>
    <row r="30" spans="1:3" ht="13.5">
      <c r="A30" s="3330"/>
      <c r="B30" s="3329"/>
      <c r="C30" s="1710" t="s">
        <v>1650</v>
      </c>
    </row>
    <row r="31" spans="1:3" ht="13.5">
      <c r="A31" s="3330"/>
      <c r="B31" s="3329"/>
      <c r="C31" s="1710" t="s">
        <v>1651</v>
      </c>
    </row>
    <row r="32" spans="1:3" ht="13.5">
      <c r="A32" s="3330"/>
      <c r="B32" s="3329"/>
      <c r="C32" s="1710" t="s">
        <v>1652</v>
      </c>
    </row>
    <row r="33" spans="1:3" ht="13.5">
      <c r="A33" s="3330"/>
      <c r="B33" s="332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2878</v>
      </c>
      <c r="B2" s="2554">
        <f ca="1">TODAY()</f>
        <v>44572</v>
      </c>
      <c r="C2" s="2555" t="s">
        <v>2879</v>
      </c>
      <c r="D2" s="2555"/>
      <c r="E2" s="2555"/>
      <c r="F2" s="2551"/>
      <c r="G2" s="2551"/>
      <c r="H2" s="2551"/>
    </row>
    <row r="3" spans="1:8" ht="24" customHeight="1">
      <c r="A3" s="2556" t="s">
        <v>2880</v>
      </c>
      <c r="B3" s="2557" t="s">
        <v>2881</v>
      </c>
      <c r="C3" s="2557" t="s">
        <v>2882</v>
      </c>
      <c r="D3" s="2558" t="s">
        <v>2883</v>
      </c>
      <c r="E3" s="2559" t="s">
        <v>2884</v>
      </c>
      <c r="F3" s="1465" t="s">
        <v>2885</v>
      </c>
      <c r="G3" s="2557" t="s">
        <v>2882</v>
      </c>
      <c r="H3" s="2558" t="s">
        <v>2886</v>
      </c>
    </row>
    <row r="4" spans="1:8" ht="24" customHeight="1">
      <c r="A4" s="1465" t="s">
        <v>2887</v>
      </c>
      <c r="B4" s="1465">
        <f ca="1">IF(C4&lt;B2,"已过期",1119970066)</f>
        <v>1119970066</v>
      </c>
      <c r="C4" s="2560">
        <v>44876</v>
      </c>
      <c r="D4" s="2561" t="str">
        <f ca="1">A4&amp;"（注册号："&amp;B4&amp;"）"</f>
        <v>梁津（注册号：1119970066）</v>
      </c>
      <c r="E4" s="2562" t="s">
        <v>2887</v>
      </c>
      <c r="F4" s="1465">
        <f ca="1">IF(G4&lt;B2,"已过期",96010014)</f>
        <v>96010014</v>
      </c>
      <c r="G4" s="2563">
        <v>47118</v>
      </c>
      <c r="H4" s="2564" t="str">
        <f ca="1">E4&amp;"（注册号："&amp;F4&amp;"）"</f>
        <v>梁津（注册号：96010014）</v>
      </c>
    </row>
    <row r="5" spans="1:8" ht="24" customHeight="1">
      <c r="A5" s="1465" t="s">
        <v>2888</v>
      </c>
      <c r="B5" s="1465">
        <f ca="1">IF(C5&lt;B2,"已过期",1119970111)</f>
        <v>1119970111</v>
      </c>
      <c r="C5" s="2560">
        <v>44876</v>
      </c>
      <c r="D5" s="2561" t="str">
        <f t="shared" ref="D5:D15" ca="1" si="0">A5&amp;"（注册号："&amp;B5&amp;"）"</f>
        <v>叶凌（注册号：1119970111）</v>
      </c>
      <c r="E5" s="2562" t="s">
        <v>2888</v>
      </c>
      <c r="F5" s="1465">
        <f ca="1">IF(G5&lt;B2,"已过期",94010078)</f>
        <v>94010078</v>
      </c>
      <c r="G5" s="2563">
        <v>46387</v>
      </c>
      <c r="H5" s="2564" t="str">
        <f t="shared" ref="H5:H16" ca="1" si="1">E5&amp;"（注册号："&amp;F5&amp;"）"</f>
        <v>叶凌（注册号：94010078）</v>
      </c>
    </row>
    <row r="6" spans="1:8" ht="24" customHeight="1">
      <c r="A6" s="1465" t="s">
        <v>2889</v>
      </c>
      <c r="B6" s="1465" t="str">
        <f ca="1">IF(C6&lt;B2,"已过期",1120050019)</f>
        <v>已过期</v>
      </c>
      <c r="C6" s="2560">
        <v>44395</v>
      </c>
      <c r="D6" s="2561" t="str">
        <f t="shared" ca="1" si="0"/>
        <v>王鹏（注册号：已过期）</v>
      </c>
      <c r="E6" s="2562" t="s">
        <v>2889</v>
      </c>
      <c r="F6" s="1465">
        <f ca="1">IF(G6&lt;B2,"已过期",2002110030)</f>
        <v>2002110030</v>
      </c>
      <c r="G6" s="2563">
        <v>46387</v>
      </c>
      <c r="H6" s="2564" t="str">
        <f t="shared" ca="1" si="1"/>
        <v>王鹏（注册号：2002110030）</v>
      </c>
    </row>
    <row r="7" spans="1:8" ht="24" customHeight="1">
      <c r="A7" s="1465" t="s">
        <v>2890</v>
      </c>
      <c r="B7" s="1465">
        <f ca="1">IF(C7&lt;B2,"已过期",1120000080)</f>
        <v>1120000080</v>
      </c>
      <c r="C7" s="2560">
        <v>44876</v>
      </c>
      <c r="D7" s="2561" t="str">
        <f t="shared" ca="1" si="0"/>
        <v>欧红伟（注册号：1120000080）</v>
      </c>
      <c r="E7" s="2562" t="s">
        <v>2890</v>
      </c>
      <c r="F7" s="1465">
        <f ca="1">IF(G7&lt;B2,"已过期",2000110082)</f>
        <v>2000110082</v>
      </c>
      <c r="G7" s="2563">
        <v>46387</v>
      </c>
      <c r="H7" s="2564" t="str">
        <f t="shared" ca="1" si="1"/>
        <v>欧红伟（注册号：2000110082）</v>
      </c>
    </row>
    <row r="8" spans="1:8" ht="24" customHeight="1">
      <c r="A8" s="1465" t="s">
        <v>2891</v>
      </c>
      <c r="B8" s="1465">
        <f ca="1">IF(C8&lt;B2,"已过期",1419970001)</f>
        <v>1419970001</v>
      </c>
      <c r="C8" s="2560">
        <v>44899</v>
      </c>
      <c r="D8" s="2561" t="str">
        <f t="shared" ca="1" si="0"/>
        <v>吴薇（注册号：1419970001）</v>
      </c>
      <c r="E8" s="2562" t="s">
        <v>2891</v>
      </c>
      <c r="F8" s="1465">
        <f ca="1">IF(G8&lt;B2,"已过期",2002110125)</f>
        <v>2002110125</v>
      </c>
      <c r="G8" s="2563">
        <v>47118</v>
      </c>
      <c r="H8" s="2564" t="str">
        <f t="shared" ca="1" si="1"/>
        <v>吴薇（注册号：2002110125）</v>
      </c>
    </row>
    <row r="9" spans="1:8" ht="24" customHeight="1">
      <c r="A9" s="1465" t="s">
        <v>2892</v>
      </c>
      <c r="B9" s="1465" t="str">
        <f ca="1">IF(C9&lt;B2,"已过期",1120060040)</f>
        <v>已过期</v>
      </c>
      <c r="C9" s="2565">
        <v>44554</v>
      </c>
      <c r="D9" s="2561" t="str">
        <f t="shared" ca="1" si="0"/>
        <v>陈颖（注册号：已过期）</v>
      </c>
      <c r="E9" s="2562" t="s">
        <v>2892</v>
      </c>
      <c r="F9" s="1465">
        <f ca="1">IF(G9&lt;B2,"已过期",2004110096)</f>
        <v>2004110096</v>
      </c>
      <c r="G9" s="2563">
        <v>47118</v>
      </c>
      <c r="H9" s="2564" t="str">
        <f t="shared" ca="1" si="1"/>
        <v>陈颖（注册号：2004110096）</v>
      </c>
    </row>
    <row r="10" spans="1:8" ht="24" customHeight="1">
      <c r="A10" s="1465" t="s">
        <v>2893</v>
      </c>
      <c r="B10" s="1465">
        <f ca="1">IF(C10&lt;B2,"已过期",1120100036)</f>
        <v>1120100036</v>
      </c>
      <c r="C10" s="2565">
        <v>44675</v>
      </c>
      <c r="D10" s="2561" t="str">
        <f t="shared" ca="1" si="0"/>
        <v>崔锴（注册号：1120100036）</v>
      </c>
      <c r="E10" s="2562" t="s">
        <v>2893</v>
      </c>
      <c r="F10" s="1465">
        <f ca="1">IF(G10&lt;B2,"已过期",2010110070)</f>
        <v>2010110070</v>
      </c>
      <c r="G10" s="2563">
        <v>47907</v>
      </c>
      <c r="H10" s="2564" t="str">
        <f t="shared" ca="1" si="1"/>
        <v>崔锴（注册号：2010110070）</v>
      </c>
    </row>
    <row r="11" spans="1:8" ht="24" customHeight="1">
      <c r="A11" s="1465" t="s">
        <v>2894</v>
      </c>
      <c r="B11" s="1465">
        <f ca="1">IF(C11&lt;B2,"已过期",1120070131)</f>
        <v>1120070131</v>
      </c>
      <c r="C11" s="2560">
        <v>44849</v>
      </c>
      <c r="D11" s="2561" t="str">
        <f t="shared" ca="1" si="0"/>
        <v>郑燚（注册号：1120070131）</v>
      </c>
      <c r="E11" s="2562" t="s">
        <v>2894</v>
      </c>
      <c r="F11" s="1465">
        <f ca="1">IF(G11&lt;B2,"已过期",2014110011)</f>
        <v>2014110011</v>
      </c>
      <c r="G11" s="2563">
        <v>49302</v>
      </c>
      <c r="H11" s="2564" t="str">
        <f t="shared" ca="1" si="1"/>
        <v>郑燚（注册号：2014110011）</v>
      </c>
    </row>
    <row r="12" spans="1:8" ht="24" customHeight="1">
      <c r="A12" s="1465" t="s">
        <v>2895</v>
      </c>
      <c r="B12" s="1465">
        <f ca="1">IF(C12&lt;B2,"已过期",1120040230)</f>
        <v>1120040230</v>
      </c>
      <c r="C12" s="2565">
        <v>44864</v>
      </c>
      <c r="D12" s="2561" t="str">
        <f t="shared" ca="1" si="0"/>
        <v>苏海（注册号：1120040230）</v>
      </c>
      <c r="E12" s="2562" t="s">
        <v>2895</v>
      </c>
      <c r="F12" s="1465">
        <f ca="1">IF(G12&lt;B2,"已过期",98030020)</f>
        <v>98030020</v>
      </c>
      <c r="G12" s="2563">
        <v>47118</v>
      </c>
      <c r="H12" s="2564" t="str">
        <f t="shared" ca="1" si="1"/>
        <v>苏海（注册号：98030020）</v>
      </c>
    </row>
    <row r="13" spans="1:8" ht="24" customHeight="1">
      <c r="A13" s="1465" t="s">
        <v>2896</v>
      </c>
      <c r="B13" s="1465" t="str">
        <f ca="1">IF(C13&lt;B2,"已过期",1120020033)</f>
        <v>已过期</v>
      </c>
      <c r="C13" s="2560">
        <v>44339</v>
      </c>
      <c r="D13" s="2561" t="str">
        <f t="shared" ca="1" si="0"/>
        <v>刘敬东（注册号：已过期）</v>
      </c>
      <c r="E13" s="2562" t="s">
        <v>2896</v>
      </c>
      <c r="F13" s="1465">
        <f ca="1">IF(G13&lt;B2,"已过期",2000110137)</f>
        <v>2000110137</v>
      </c>
      <c r="G13" s="2563">
        <v>46387</v>
      </c>
      <c r="H13" s="2564" t="str">
        <f t="shared" ca="1" si="1"/>
        <v>刘敬东（注册号：2000110137）</v>
      </c>
    </row>
    <row r="14" spans="1:8" ht="24" customHeight="1">
      <c r="A14" s="1465" t="s">
        <v>2897</v>
      </c>
      <c r="B14" s="1465">
        <f ca="1">IF(C14&lt;B2,"已过期",1119980106)</f>
        <v>1119980106</v>
      </c>
      <c r="C14" s="2565">
        <v>44969</v>
      </c>
      <c r="D14" s="2561" t="str">
        <f t="shared" ca="1" si="0"/>
        <v>刘俊财（注册号：1119980106）</v>
      </c>
      <c r="E14" s="2562" t="s">
        <v>2897</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2898</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334" t="s">
        <v>2899</v>
      </c>
      <c r="B17" s="3334"/>
      <c r="C17" s="3334"/>
      <c r="D17" s="3334"/>
      <c r="E17" s="3334"/>
      <c r="F17" s="3334"/>
      <c r="G17" s="3334"/>
      <c r="H17" s="3334"/>
    </row>
    <row r="18" spans="1:8" ht="24" customHeight="1">
      <c r="A18" s="3335" t="s">
        <v>2900</v>
      </c>
      <c r="B18" s="3335"/>
      <c r="C18" s="3335"/>
      <c r="D18" s="2558"/>
      <c r="E18" s="3336" t="s">
        <v>2901</v>
      </c>
      <c r="F18" s="3335"/>
      <c r="G18" s="3335"/>
    </row>
    <row r="19" spans="1:8" s="2569" customFormat="1" ht="24" customHeight="1">
      <c r="A19" s="2568" t="s">
        <v>2902</v>
      </c>
      <c r="B19" s="2557" t="s">
        <v>2903</v>
      </c>
      <c r="C19" s="2557" t="s">
        <v>2882</v>
      </c>
      <c r="D19" s="2558"/>
      <c r="E19" s="2562" t="s">
        <v>2902</v>
      </c>
      <c r="F19" s="2557" t="s">
        <v>2903</v>
      </c>
      <c r="G19" s="2557" t="s">
        <v>2882</v>
      </c>
    </row>
    <row r="20" spans="1:8" s="2569" customFormat="1" ht="24" customHeight="1">
      <c r="A20" s="2570" t="s">
        <v>2904</v>
      </c>
      <c r="B20" s="2570" t="s">
        <v>2905</v>
      </c>
      <c r="C20" s="2563">
        <v>44820</v>
      </c>
      <c r="D20" s="2571"/>
      <c r="E20" s="2572" t="s">
        <v>2906</v>
      </c>
      <c r="F20" s="2570" t="s">
        <v>2907</v>
      </c>
      <c r="G20" s="2573">
        <v>44377</v>
      </c>
    </row>
    <row r="21" spans="1:8" s="2569" customFormat="1" ht="24" customHeight="1">
      <c r="A21" s="2570"/>
      <c r="B21" s="2570"/>
      <c r="C21" s="2574"/>
      <c r="D21" s="2575"/>
      <c r="E21" s="2572" t="s">
        <v>2908</v>
      </c>
      <c r="F21" s="2576" t="s">
        <v>2909</v>
      </c>
      <c r="G21" s="2577">
        <v>44012</v>
      </c>
    </row>
    <row r="22" spans="1:8" ht="24" customHeight="1">
      <c r="C22" s="2578"/>
      <c r="D22" s="2578"/>
      <c r="E22" s="2579"/>
      <c r="F22" s="2580"/>
      <c r="G22" s="2581"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171</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面积统计及工程进度</vt:lpstr>
      <vt:lpstr>数据-取费表</vt:lpstr>
      <vt:lpstr>清单</vt:lpstr>
      <vt:lpstr>规证及工程进度</vt:lpstr>
      <vt:lpstr>洋房清单最终</vt:lpstr>
      <vt:lpstr>1-83号楼面积</vt:lpstr>
      <vt:lpstr>84-91号楼</vt:lpstr>
      <vt:lpstr>洋房清单</vt:lpstr>
      <vt:lpstr>报告用</vt:lpstr>
      <vt:lpstr>估价对象房地状况</vt:lpstr>
      <vt:lpstr>系统读取表</vt:lpstr>
      <vt:lpstr>结果表</vt:lpstr>
      <vt:lpstr>成本法</vt:lpstr>
      <vt:lpstr>成本法 (元)</vt:lpstr>
      <vt:lpstr>收益法 (元)</vt:lpstr>
      <vt:lpstr>收益法（汇总）</vt:lpstr>
      <vt:lpstr>酒店收入计算</vt:lpstr>
      <vt:lpstr>土地比较法-住宅、综合</vt:lpstr>
      <vt:lpstr>土地案例</vt:lpstr>
      <vt:lpstr>假设开发法</vt:lpstr>
      <vt:lpstr>比较法-住宅</vt:lpstr>
      <vt:lpstr>住宅案例</vt:lpstr>
      <vt:lpstr>比较法-商业</vt:lpstr>
      <vt:lpstr>比较法-办公</vt:lpstr>
      <vt:lpstr>比较法-工业</vt:lpstr>
      <vt:lpstr>结果表 (地下仓储)</vt:lpstr>
      <vt:lpstr>成本法 (地下仓储)</vt:lpstr>
      <vt:lpstr>比较法-仓储</vt:lpstr>
      <vt:lpstr>结果表 (车位)</vt:lpstr>
      <vt:lpstr>成本法 (车位)</vt:lpstr>
      <vt:lpstr>比较法-车位</vt:lpstr>
      <vt:lpstr>车库案例</vt:lpstr>
      <vt:lpstr>收益法</vt:lpstr>
      <vt:lpstr>比较法-住宅 (精装洋房)</vt:lpstr>
      <vt:lpstr>收益法（地下仓储）</vt:lpstr>
      <vt:lpstr>收益法（商业）</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 (精装洋房)'!Print_Area</vt:lpstr>
      <vt:lpstr>成本法!Print_Area</vt:lpstr>
      <vt:lpstr>'成本法 (车位)'!Print_Area</vt:lpstr>
      <vt:lpstr>'成本法 (地下仓储)'!Print_Area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 (车位)'!Print_Area</vt:lpstr>
      <vt:lpstr>'结果表 (地下仓储)'!Print_Area</vt:lpstr>
      <vt:lpstr>收益法!Print_Area</vt:lpstr>
      <vt:lpstr>'收益法 (元)'!Print_Area</vt:lpstr>
      <vt:lpstr>'收益法（地下仓储）'!Print_Area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(精装洋房)'!住宅朝向</vt:lpstr>
      <vt:lpstr>住宅朝向</vt:lpstr>
      <vt:lpstr>'比较法-住宅 (精装洋房)'!住宅房型</vt:lpstr>
      <vt:lpstr>住宅房型</vt:lpstr>
      <vt:lpstr>'比较法-住宅 (精装洋房)'!住宅公共部分装修</vt:lpstr>
      <vt:lpstr>住宅公共部分装修</vt:lpstr>
      <vt:lpstr>'比较法-住宅 (精装洋房)'!住宅基础设施水平</vt:lpstr>
      <vt:lpstr>住宅基础设施水平</vt:lpstr>
      <vt:lpstr>'比较法-住宅 (精装洋房)'!住宅建筑结构</vt:lpstr>
      <vt:lpstr>住宅建筑结构</vt:lpstr>
      <vt:lpstr>'比较法-住宅 (精装洋房)'!住宅建筑类型</vt:lpstr>
      <vt:lpstr>住宅建筑类型</vt:lpstr>
      <vt:lpstr>'比较法-住宅 (精装洋房)'!住宅建筑品质</vt:lpstr>
      <vt:lpstr>住宅建筑品质</vt:lpstr>
      <vt:lpstr>'比较法-住宅 (精装洋房)'!住宅交易情况</vt:lpstr>
      <vt:lpstr>住宅交易情况</vt:lpstr>
      <vt:lpstr>'比较法-住宅 (精装洋房)'!住宅楼层</vt:lpstr>
      <vt:lpstr>住宅楼层</vt:lpstr>
      <vt:lpstr>'比较法-住宅 (精装洋房)'!住宅内部装修</vt:lpstr>
      <vt:lpstr>住宅内部装修</vt:lpstr>
      <vt:lpstr>'比较法-住宅 (精装洋房)'!住宅物业管理</vt:lpstr>
      <vt:lpstr>住宅物业管理</vt:lpstr>
      <vt:lpstr>'比较法-住宅 (精装洋房)'!住宅用途</vt:lpstr>
      <vt:lpstr>住宅用途</vt:lpstr>
      <vt:lpstr>'比较法-住宅 (精装洋房)'!住宅主力户型面积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2022-01-11T03:24:10Z</dcterms:modified>
</cp:coreProperties>
</file>