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80" windowWidth="11565" windowHeight="9465" tabRatio="875" firstSheet="12"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33" i="6" l="1"/>
  <c r="S28" i="1"/>
  <c r="F68" i="39"/>
  <c r="B2" i="39"/>
  <c r="C19" i="9"/>
  <c r="F6" i="15"/>
  <c r="F8" i="15"/>
  <c r="F7" i="15"/>
  <c r="F9" i="15"/>
  <c r="C6" i="15"/>
  <c r="N4" i="65"/>
  <c r="C4" i="65"/>
  <c r="B39" i="1"/>
  <c r="F11" i="15"/>
  <c r="C10" i="15"/>
  <c r="C5" i="15"/>
  <c r="C32" i="15"/>
  <c r="C33" i="15"/>
  <c r="B3" i="3"/>
  <c r="AY6" i="3"/>
  <c r="D3" i="6"/>
  <c r="D19" i="6"/>
  <c r="H19" i="6"/>
  <c r="R19" i="6"/>
  <c r="R6" i="1"/>
  <c r="F35" i="15"/>
  <c r="C34" i="15"/>
  <c r="C31" i="15"/>
  <c r="M14" i="1"/>
  <c r="T6" i="1"/>
  <c r="M6"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14" i="1"/>
  <c r="P14" i="1"/>
  <c r="O6" i="1"/>
  <c r="P6" i="1"/>
  <c r="P16" i="1"/>
  <c r="C13" i="12"/>
  <c r="C14" i="12"/>
  <c r="C15" i="12"/>
  <c r="D16" i="12"/>
  <c r="C16" i="12"/>
  <c r="C17" i="12"/>
  <c r="C18" i="12"/>
  <c r="D19" i="12"/>
  <c r="C19" i="12"/>
  <c r="D21" i="12"/>
  <c r="C21" i="12"/>
  <c r="D22" i="12"/>
  <c r="C22" i="12"/>
  <c r="C20" i="12"/>
  <c r="C23" i="12"/>
  <c r="C24" i="12"/>
  <c r="F26" i="12"/>
  <c r="C28" i="12"/>
  <c r="C26" i="12"/>
  <c r="C29" i="12"/>
  <c r="C31" i="12"/>
  <c r="C30" i="12"/>
  <c r="Q16" i="1"/>
  <c r="F33" i="12"/>
  <c r="C35" i="12"/>
  <c r="C33" i="12"/>
  <c r="C27" i="12"/>
  <c r="D26" i="12"/>
  <c r="C32" i="12"/>
  <c r="D30" i="12"/>
  <c r="C34" i="12"/>
  <c r="D33" i="12"/>
  <c r="C36" i="12"/>
  <c r="B2" i="12"/>
  <c r="D19" i="9"/>
  <c r="C17" i="9"/>
  <c r="D17" i="9"/>
  <c r="C18" i="9"/>
  <c r="D18" i="9"/>
  <c r="G19" i="9"/>
  <c r="C32" i="9"/>
  <c r="C42" i="9"/>
  <c r="D14" i="66"/>
  <c r="K38" i="9"/>
  <c r="C14" i="66"/>
  <c r="I40" i="39"/>
  <c r="G40" i="39"/>
  <c r="E40" i="39"/>
  <c r="C12" i="39"/>
  <c r="I9" i="39"/>
  <c r="G9" i="39"/>
  <c r="E9" i="39"/>
  <c r="I7" i="39"/>
  <c r="G7" i="39"/>
  <c r="E7" i="39"/>
  <c r="B3" i="15"/>
  <c r="C8" i="12"/>
  <c r="U26" i="1"/>
  <c r="U24" i="1"/>
  <c r="U23" i="1"/>
  <c r="U22" i="1"/>
  <c r="U21" i="1"/>
  <c r="T21" i="1"/>
  <c r="T22" i="1"/>
  <c r="T23" i="1"/>
  <c r="T24" i="1"/>
  <c r="T25" i="1"/>
  <c r="T20" i="1"/>
  <c r="S26" i="1"/>
  <c r="S22" i="1"/>
  <c r="S21" i="1"/>
  <c r="S20" i="1"/>
  <c r="S25" i="1"/>
  <c r="S24" i="1"/>
  <c r="S23" i="1"/>
  <c r="K13" i="3"/>
  <c r="G19" i="6"/>
  <c r="F19" i="6"/>
  <c r="I13" i="3"/>
  <c r="AL13" i="3"/>
  <c r="A3" i="3"/>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F28" i="15"/>
  <c r="M18" i="15"/>
  <c r="A18" i="64"/>
  <c r="B74" i="63"/>
  <c r="C53" i="10"/>
  <c r="A25" i="64"/>
  <c r="A18" i="51"/>
  <c r="B14" i="63"/>
  <c r="BA16" i="3"/>
  <c r="BA17" i="3"/>
  <c r="AZ17" i="3"/>
  <c r="F3" i="35"/>
  <c r="K1" i="43"/>
  <c r="K1" i="12"/>
  <c r="G1" i="44"/>
  <c r="I4" i="6"/>
  <c r="G3" i="46"/>
  <c r="AZ15" i="3"/>
  <c r="G5"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7" i="1"/>
  <c r="W18" i="36"/>
  <c r="AC18" i="36"/>
  <c r="AG6" i="1"/>
  <c r="D12" i="11"/>
  <c r="C12" i="11"/>
  <c r="L20" i="6"/>
  <c r="AZ5" i="3"/>
  <c r="E3" i="6"/>
  <c r="D16" i="43"/>
  <c r="C16" i="43"/>
  <c r="L19" i="6"/>
  <c r="L27" i="6"/>
  <c r="B21" i="55"/>
  <c r="B72" i="63"/>
  <c r="B20" i="55"/>
  <c r="B70" i="63"/>
  <c r="S7" i="1"/>
  <c r="E28" i="6"/>
  <c r="K19" i="6"/>
  <c r="S6" i="1"/>
  <c r="S8" i="1"/>
  <c r="S9" i="1"/>
  <c r="E6" i="6"/>
  <c r="L38" i="9"/>
  <c r="B14" i="66"/>
  <c r="B1" i="66"/>
  <c r="C45" i="9"/>
  <c r="H14" i="66"/>
  <c r="B7" i="66"/>
  <c r="C7" i="66"/>
  <c r="R9" i="1"/>
  <c r="R7" i="1"/>
  <c r="R8" i="1"/>
  <c r="M19" i="6"/>
  <c r="I19" i="6"/>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39"/>
  <c r="C20" i="9"/>
  <c r="E14" i="67"/>
  <c r="E8" i="67"/>
  <c r="M11" i="44"/>
  <c r="J36" i="15"/>
  <c r="M8" i="44"/>
  <c r="B4" i="39"/>
  <c r="C21" i="9"/>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O7" i="1"/>
  <c r="P7"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5" i="46"/>
  <c r="B73" i="39"/>
  <c r="P24" i="46"/>
  <c r="B68" i="40"/>
  <c r="E22" i="52"/>
  <c r="B22" i="52"/>
  <c r="B10" i="52"/>
  <c r="B11" i="52"/>
  <c r="B4" i="52"/>
  <c r="E9" i="52"/>
  <c r="G21" i="9"/>
  <c r="C36" i="44"/>
  <c r="C8" i="44"/>
  <c r="C34" i="44"/>
  <c r="F63" i="15"/>
  <c r="F67" i="15"/>
  <c r="J60" i="44"/>
  <c r="J54"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20" i="6"/>
  <c r="D8" i="6"/>
  <c r="H23" i="6"/>
  <c r="E45" i="9"/>
  <c r="F45" i="9"/>
  <c r="F44" i="9"/>
  <c r="E68" i="39"/>
  <c r="B2" i="66"/>
  <c r="D24" i="6"/>
  <c r="D26" i="6"/>
  <c r="H26" i="6"/>
  <c r="R26" i="6"/>
  <c r="D22" i="6"/>
  <c r="D11" i="6"/>
  <c r="D12" i="6"/>
  <c r="H20"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0" i="6"/>
  <c r="R21" i="6"/>
  <c r="A6" i="51"/>
  <c r="B7" i="63"/>
  <c r="A6" i="64"/>
  <c r="A20" i="64"/>
  <c r="A20" i="51"/>
  <c r="B15" i="63"/>
  <c r="N5" i="54"/>
  <c r="B43" i="63"/>
  <c r="T13" i="1"/>
  <c r="M16" i="1"/>
  <c r="T9" i="1"/>
  <c r="T11" i="1"/>
  <c r="T12"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N68" i="9"/>
  <c r="D63"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111" i="9"/>
  <c r="C104" i="9"/>
  <c r="D71" i="9"/>
  <c r="D66" i="9"/>
  <c r="N72" i="9"/>
  <c r="C82" i="9"/>
  <c r="C81" i="9"/>
  <c r="C85" i="9"/>
  <c r="C86" i="9"/>
  <c r="D72" i="9"/>
  <c r="D70" i="9"/>
  <c r="C103" i="9"/>
  <c r="D77" i="9"/>
  <c r="N75"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113" i="9"/>
  <c r="C114" i="9"/>
  <c r="C115" i="9"/>
  <c r="D76" i="9"/>
  <c r="D74" i="9"/>
  <c r="N74" i="9"/>
  <c r="O77" i="9"/>
  <c r="C5" i="66"/>
  <c r="D5" i="66"/>
  <c r="C97" i="9"/>
  <c r="E7" i="67"/>
  <c r="F7" i="67"/>
  <c r="J65" i="40"/>
  <c r="I67" i="40"/>
  <c r="J70" i="39"/>
  <c r="I72" i="39"/>
  <c r="E4" i="67"/>
  <c r="E3" i="67"/>
  <c r="B2" i="46"/>
  <c r="D4" i="46"/>
  <c r="C18" i="43"/>
  <c r="C19" i="43"/>
  <c r="C25" i="43"/>
  <c r="C24" i="43"/>
  <c r="C28" i="44"/>
  <c r="C31" i="44"/>
  <c r="J19" i="15"/>
  <c r="K48" i="35"/>
  <c r="L48" i="35"/>
  <c r="M48" i="35"/>
  <c r="N48" i="35"/>
  <c r="O48" i="35"/>
  <c r="J7" i="35"/>
  <c r="K52" i="37"/>
  <c r="B3" i="46"/>
  <c r="E114" i="9"/>
  <c r="E115" i="9"/>
  <c r="O78" i="9"/>
  <c r="Q77" i="9"/>
  <c r="O79" i="9"/>
  <c r="C98" i="9"/>
  <c r="C99" i="9"/>
  <c r="E98" i="9"/>
  <c r="E99" i="9"/>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3" i="44"/>
  <c r="B5" i="44"/>
  <c r="B4" i="44"/>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<sst xmlns="http://schemas.openxmlformats.org/spreadsheetml/2006/main" count="7301" uniqueCount="3227">
  <si>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</si>
  <si>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</si>
  <si>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</si>
  <si>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</si>
  <si>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</si>
  <si>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</si>
  <si>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</si>
  <si>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</si>
  <si>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</si>
  <si>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</si>
  <si>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</si>
  <si>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</si>
  <si>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</si>
  <si>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</si>
  <si>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</si>
  <si>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</si>
  <si>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</si>
  <si>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</si>
  <si>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</si>
  <si>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</si>
  <si>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</si>
  <si>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</si>
  <si>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</si>
  <si>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</si>
  <si>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</si>
  <si>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</si>
  <si>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</si>
  <si>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</si>
  <si>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</si>
  <si>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</si>
  <si>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</si>
  <si>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</si>
  <si>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</si>
  <si>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</si>
  <si>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</si>
  <si>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</si>
  <si>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</si>
  <si>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</si>
  <si>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</si>
  <si>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</si>
  <si>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</si>
  <si>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</si>
  <si>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</si>
  <si>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</si>
  <si>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</si>
  <si>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</si>
  <si>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</si>
  <si>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</si>
  <si>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</si>
  <si>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</si>
  <si>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</si>
  <si>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</si>
  <si>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</si>
  <si>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</si>
  <si>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</si>
  <si>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</si>
  <si>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</si>
  <si>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</si>
  <si>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</si>
  <si>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</si>
  <si>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</si>
  <si>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</si>
  <si>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</si>
  <si>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</si>
  <si>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</si>
  <si>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</si>
  <si>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</si>
  <si>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</si>
  <si>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</si>
  <si>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</si>
  <si>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</si>
  <si>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</si>
  <si>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</si>
  <si>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</si>
  <si>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</si>
  <si>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</si>
  <si>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</si>
  <si>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</si>
  <si>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</si>
  <si>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</si>
  <si>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</si>
  <si>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</si>
  <si>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</si>
  <si>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</si>
  <si>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</si>
  <si>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</si>
  <si>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</si>
  <si>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</si>
  <si>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</si>
  <si>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</si>
  <si>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</si>
  <si>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</si>
  <si>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</si>
  <si>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</si>
  <si>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</si>
  <si>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</si>
  <si>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</si>
  <si>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</si>
  <si>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</si>
  <si>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</si>
  <si>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</si>
  <si>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</si>
  <si>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</si>
  <si>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</si>
  <si>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</si>
  <si>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</si>
  <si>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</si>
  <si>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</si>
  <si>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</si>
  <si>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</si>
  <si>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</si>
  <si>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</si>
  <si>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</si>
  <si>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</si>
  <si>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</si>
  <si>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</si>
  <si>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</si>
  <si>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</si>
  <si>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</si>
  <si>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</si>
  <si>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</si>
  <si>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</si>
  <si>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</si>
  <si>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</si>
  <si>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</si>
  <si>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</si>
  <si>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</si>
  <si>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</si>
  <si>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</si>
  <si>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</si>
  <si>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</si>
  <si>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</si>
  <si>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</si>
  <si>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</si>
  <si>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</si>
  <si>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</si>
  <si>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</si>
  <si>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</si>
  <si>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</si>
  <si>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</si>
  <si>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</si>
  <si>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</si>
  <si>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</si>
  <si>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</si>
  <si>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</si>
  <si>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</si>
  <si>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</si>
  <si>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</si>
  <si>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</si>
  <si>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</si>
  <si>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</si>
  <si>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</si>
  <si>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</si>
  <si>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</si>
  <si>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</si>
  <si>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</si>
  <si>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</si>
  <si>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</si>
  <si>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</si>
  <si>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</si>
  <si>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</si>
  <si>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</si>
  <si>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</si>
  <si>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</si>
  <si>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</si>
  <si>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</si>
  <si>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</si>
  <si>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</si>
  <si>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</si>
  <si>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</si>
  <si>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</si>
  <si>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</si>
  <si>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</si>
  <si>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</si>
  <si>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</si>
  <si>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</si>
  <si>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</si>
  <si>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</si>
  <si>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</si>
  <si>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</si>
  <si>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</si>
  <si>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</si>
  <si>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</si>
  <si>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</si>
  <si>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</si>
  <si>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</si>
  <si>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</si>
  <si>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</si>
  <si>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</si>
  <si>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</si>
  <si>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</si>
  <si>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</si>
  <si>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</si>
  <si>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</si>
  <si>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</si>
  <si>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</si>
  <si>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</si>
  <si>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</si>
  <si>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</si>
  <si>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</si>
  <si>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</si>
  <si>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</si>
  <si>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</si>
  <si>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</si>
  <si>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</si>
  <si>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</si>
  <si>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</si>
  <si>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</si>
  <si>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</si>
  <si>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</si>
  <si>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</si>
  <si>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</si>
  <si>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</si>
  <si>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</si>
  <si>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</si>
  <si>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</si>
  <si>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</si>
  <si>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</si>
  <si>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</si>
  <si>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</si>
  <si>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</si>
  <si>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</si>
  <si>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</si>
  <si>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</si>
  <si>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</si>
  <si>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</si>
  <si>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</si>
  <si>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</si>
  <si>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</si>
  <si>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</si>
  <si>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</si>
  <si>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</si>
  <si>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</si>
  <si>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</si>
  <si>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</si>
  <si>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</si>
  <si>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</si>
  <si>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</si>
  <si>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</si>
  <si>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</si>
  <si>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</si>
  <si>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</si>
  <si>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</si>
  <si>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</si>
  <si>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</si>
  <si>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</si>
  <si>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</si>
  <si>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</si>
  <si>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</si>
  <si>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</si>
  <si>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</si>
  <si>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</si>
  <si>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</si>
  <si>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</si>
  <si>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</si>
  <si>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</si>
  <si>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</si>
  <si>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</si>
  <si>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</si>
  <si>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</si>
  <si>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</si>
  <si>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</si>
  <si>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</si>
  <si>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</si>
  <si>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</si>
  <si>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</si>
  <si>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</si>
  <si>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</si>
  <si>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</si>
  <si>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</si>
  <si>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</si>
  <si>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</si>
  <si>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</si>
  <si>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</si>
  <si>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</si>
  <si>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</si>
  <si>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</si>
  <si>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</si>
  <si>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</si>
  <si>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</si>
  <si>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</si>
  <si>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</si>
  <si>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</si>
  <si>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</si>
  <si>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</si>
  <si>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</si>
  <si>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</si>
  <si>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</si>
  <si>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</si>
  <si>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</si>
  <si>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</si>
  <si>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</si>
  <si>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</si>
  <si>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</si>
  <si>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</si>
  <si>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</si>
  <si>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</si>
  <si>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</si>
  <si>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</si>
  <si>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</si>
  <si>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</si>
  <si>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</si>
  <si>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</si>
  <si>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</si>
  <si>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</si>
  <si>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</si>
  <si>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</si>
  <si>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</si>
  <si>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</si>
  <si>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</si>
  <si>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</si>
  <si>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</si>
  <si>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</si>
  <si>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</si>
  <si>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</si>
  <si>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</si>
  <si>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</si>
  <si>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</si>
  <si>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</si>
  <si>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</si>
  <si>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</si>
  <si>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</si>
  <si>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</si>
  <si>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</si>
  <si>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</si>
  <si>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</si>
  <si>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</si>
  <si>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</si>
  <si>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</si>
  <si>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</si>
  <si>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</si>
  <si>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</si>
  <si>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</si>
  <si>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</si>
  <si>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</si>
  <si>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</si>
  <si>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</si>
  <si>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</si>
  <si>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</si>
  <si>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</si>
  <si>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</si>
  <si>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</si>
  <si>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</si>
  <si>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</si>
  <si>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</si>
  <si>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</si>
  <si>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</si>
  <si>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</si>
  <si>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</si>
  <si>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</si>
  <si>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</si>
  <si>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</si>
  <si>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</si>
  <si>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</si>
  <si>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</si>
  <si>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</si>
  <si>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</si>
  <si>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</si>
  <si>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</si>
  <si>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</si>
  <si>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</si>
  <si>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</si>
  <si>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</si>
  <si>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</si>
  <si>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</si>
  <si>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</si>
  <si>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</si>
  <si>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</si>
  <si>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</si>
  <si>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</si>
  <si>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</si>
  <si>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</si>
  <si>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</si>
  <si>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</si>
  <si>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</si>
  <si>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</si>
  <si>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</si>
  <si>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</si>
  <si>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</si>
  <si>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</si>
  <si>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</si>
  <si>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</si>
  <si>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</si>
  <si>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</si>
  <si>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</si>
  <si>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</si>
  <si>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</si>
  <si>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</si>
  <si>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</si>
  <si>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</si>
  <si>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</si>
  <si>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</si>
  <si>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</si>
  <si>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</si>
  <si>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</si>
  <si>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</si>
  <si>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</si>
  <si>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</si>
  <si>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</si>
  <si>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</si>
  <si>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</si>
  <si>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</si>
  <si>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</si>
  <si>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</si>
  <si>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</si>
  <si>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</si>
  <si>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</si>
  <si>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</si>
  <si>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</si>
  <si>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</si>
  <si>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</si>
  <si>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</si>
  <si>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</si>
  <si>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</si>
  <si>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</si>
  <si>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</si>
  <si>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</si>
  <si>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</si>
  <si>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</si>
  <si>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</si>
  <si>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</si>
  <si>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</si>
  <si>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</si>
  <si>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</si>
  <si>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</si>
  <si>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</si>
  <si>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</si>
  <si>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</si>
  <si>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</si>
  <si>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</si>
  <si>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</si>
  <si>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</si>
  <si>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</si>
  <si>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</si>
  <si>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</si>
  <si>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</si>
  <si>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</si>
  <si>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</si>
  <si>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</si>
  <si>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</si>
  <si>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</si>
  <si>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</si>
  <si>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</si>
  <si>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</si>
  <si>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</si>
  <si>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</si>
  <si>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</si>
  <si>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</si>
  <si>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</si>
  <si>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</si>
  <si>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</si>
  <si>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</si>
  <si>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</si>
  <si>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</si>
  <si>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</si>
  <si>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</si>
  <si>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</si>
  <si>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</si>
  <si>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</si>
  <si>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</si>
  <si>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</si>
  <si>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</si>
  <si>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</si>
  <si>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</si>
  <si>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</si>
  <si>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</si>
  <si>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</si>
  <si>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</si>
  <si>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</si>
  <si>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</si>
  <si>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</si>
  <si>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</si>
  <si>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</si>
  <si>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</si>
  <si>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</si>
  <si>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</si>
  <si>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</si>
  <si>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</si>
  <si>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</si>
  <si>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</si>
  <si>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</si>
  <si>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</si>
  <si>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</si>
  <si>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</si>
  <si>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</si>
  <si>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</si>
  <si>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</si>
  <si>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</si>
  <si>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</si>
  <si>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</si>
  <si>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</si>
  <si>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</si>
  <si>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</si>
  <si>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</si>
  <si>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</si>
  <si>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</si>
  <si>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</si>
  <si>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</si>
  <si>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</si>
  <si>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</si>
  <si>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</si>
  <si>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</si>
  <si>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</si>
  <si>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</si>
  <si>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</si>
  <si>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</si>
  <si>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</si>
  <si>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</si>
  <si>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</si>
  <si>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</si>
  <si>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</si>
  <si>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</si>
  <si>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</si>
  <si>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</si>
  <si>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</si>
  <si>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</si>
  <si>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</si>
  <si>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</si>
  <si>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</si>
  <si>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</si>
  <si>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</si>
  <si>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</si>
  <si>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</si>
  <si>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</si>
  <si>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</si>
  <si>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</si>
  <si>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</si>
  <si>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</si>
  <si>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</si>
  <si>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</si>
  <si>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</si>
  <si>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</si>
  <si>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</si>
  <si>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</si>
  <si>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</si>
  <si>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</si>
  <si>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</si>
  <si>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</si>
  <si>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</si>
  <si>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</si>
  <si>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</si>
  <si>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</si>
  <si>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</si>
  <si>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</si>
  <si>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</si>
  <si>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</si>
  <si>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</si>
  <si>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</si>
  <si>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</si>
  <si>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</si>
  <si>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</si>
  <si>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</si>
  <si>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</si>
  <si>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</si>
  <si>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</si>
  <si>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</si>
  <si>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</si>
  <si>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</si>
  <si>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</si>
  <si>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</si>
  <si>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</si>
  <si>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</si>
  <si>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</si>
  <si>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</si>
  <si>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</si>
  <si>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</si>
  <si>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</si>
  <si>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</si>
  <si>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</si>
  <si>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</si>
  <si>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</si>
  <si>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</si>
  <si>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</si>
  <si>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</si>
  <si>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</si>
  <si>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</si>
  <si>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</si>
  <si>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</si>
  <si>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</si>
  <si>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</si>
  <si>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</si>
  <si>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</si>
  <si>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</si>
  <si>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</si>
  <si>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</si>
  <si>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</si>
  <si>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</si>
  <si>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</si>
  <si>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</si>
  <si>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</si>
  <si>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</si>
  <si>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</si>
  <si>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</si>
  <si>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</si>
  <si>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</si>
  <si>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</si>
  <si>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</si>
  <si>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</si>
  <si>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</si>
  <si>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</si>
  <si>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</si>
  <si>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</si>
  <si>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</si>
  <si>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</si>
  <si>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</si>
  <si>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</si>
  <si>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</si>
  <si>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</si>
  <si>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</si>
  <si>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</si>
  <si>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</si>
  <si>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</si>
  <si>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</si>
  <si>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</si>
  <si>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</si>
  <si>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</si>
  <si>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</si>
  <si>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</si>
  <si>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</si>
  <si>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</si>
  <si>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</si>
  <si>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</si>
  <si>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</si>
  <si>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</si>
  <si>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</si>
  <si>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</si>
  <si>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</si>
  <si>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</si>
  <si>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</si>
  <si>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</si>
  <si>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</si>
  <si>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</si>
  <si>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</si>
  <si>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</si>
  <si>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</si>
  <si>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</si>
  <si>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</si>
  <si>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</si>
  <si>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</si>
  <si>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</si>
  <si>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</si>
  <si>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</si>
  <si>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</si>
  <si>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</si>
  <si>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</si>
  <si>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</si>
  <si>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</si>
  <si>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</si>
  <si>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</si>
  <si>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</si>
  <si>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</si>
  <si>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</si>
  <si>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</si>
  <si>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</si>
  <si>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</si>
  <si>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</si>
  <si>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</si>
  <si>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</si>
  <si>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</si>
  <si>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</si>
  <si>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</si>
  <si>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</si>
  <si>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</si>
  <si>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</si>
  <si>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</si>
  <si>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</si>
  <si>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</si>
  <si>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</si>
  <si>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</si>
  <si>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</si>
  <si>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</si>
  <si>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</si>
  <si>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</si>
  <si>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</si>
  <si>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</si>
  <si>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</si>
  <si>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</si>
  <si>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</si>
  <si>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</si>
  <si>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</si>
  <si>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</si>
  <si>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</si>
  <si>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</si>
  <si>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</si>
  <si>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</si>
  <si>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</si>
  <si>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</si>
  <si>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</si>
  <si>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</si>
  <si>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</si>
  <si>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</si>
  <si>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</si>
  <si>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</si>
  <si>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</si>
  <si>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</si>
  <si>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</si>
  <si>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</si>
  <si>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</si>
  <si>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</si>
  <si>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</si>
  <si>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</si>
  <si>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</si>
  <si>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</si>
  <si>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</si>
  <si>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</si>
  <si>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</si>
  <si>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</si>
  <si>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</si>
  <si>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</si>
  <si>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</si>
  <si>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</si>
  <si>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</si>
  <si>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</si>
  <si>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</si>
  <si>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</si>
  <si>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</si>
  <si>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</si>
  <si>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</si>
  <si>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</si>
  <si>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</si>
  <si>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</si>
  <si>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</si>
  <si>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</si>
  <si>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</si>
  <si>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</si>
  <si>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</si>
  <si>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</si>
  <si>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</si>
  <si>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</si>
  <si>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</si>
  <si>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</si>
  <si>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</si>
  <si>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</si>
  <si>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</si>
  <si>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</si>
  <si>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</si>
  <si>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</si>
  <si>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</si>
  <si>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</si>
  <si>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</si>
  <si>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</si>
  <si>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</si>
  <si>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</si>
  <si>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</si>
  <si>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</si>
  <si>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</si>
  <si>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</si>
  <si>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</si>
  <si>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</si>
  <si>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</si>
  <si>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</si>
  <si>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</si>
  <si>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</si>
  <si>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</si>
  <si>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</si>
  <si>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</si>
  <si>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</si>
  <si>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</si>
  <si>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</si>
  <si>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</si>
  <si>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</si>
  <si>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</si>
  <si>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</si>
  <si>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</si>
  <si>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</si>
  <si>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</si>
  <si>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</si>
  <si>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</si>
  <si>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</si>
  <si>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</si>
  <si>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</si>
  <si>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</si>
  <si>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</si>
  <si>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</si>
  <si>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</si>
  <si>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</si>
  <si>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</si>
  <si>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</si>
  <si>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</si>
  <si>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</si>
  <si>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</si>
  <si>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</si>
  <si>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</si>
  <si>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</si>
  <si>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</si>
  <si>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</si>
  <si>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</si>
  <si>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</si>
  <si>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</si>
  <si>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</si>
  <si>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</si>
  <si>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</si>
  <si>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</si>
  <si>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</si>
  <si>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</si>
  <si>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</si>
  <si>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</si>
  <si>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</si>
  <si>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</si>
  <si>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</si>
  <si>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</si>
  <si>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</si>
  <si>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</si>
  <si>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</si>
  <si>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</si>
  <si>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</si>
  <si>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</si>
  <si>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</si>
  <si>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</si>
  <si>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</si>
  <si>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</si>
  <si>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</si>
  <si>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</si>
  <si>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</si>
  <si>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</si>
  <si>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</si>
  <si>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</si>
  <si>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</si>
  <si>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</si>
  <si>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</si>
  <si>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</si>
  <si>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</si>
  <si>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</si>
  <si>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</si>
  <si>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</si>
  <si>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</si>
  <si>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</si>
  <si>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</si>
  <si>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</si>
  <si>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</si>
  <si>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</si>
  <si>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</si>
  <si>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</si>
  <si>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</si>
  <si>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</si>
  <si>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</si>
  <si>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</si>
  <si>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</si>
  <si>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</si>
  <si>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</si>
  <si>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</si>
  <si>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</si>
  <si>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</si>
  <si>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</si>
  <si>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</si>
  <si>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</si>
  <si>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</si>
  <si>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</si>
  <si>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</si>
  <si>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</si>
  <si>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</si>
  <si>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</si>
  <si>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</si>
  <si>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</si>
  <si>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</si>
  <si>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</si>
  <si>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</si>
  <si>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</si>
  <si>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</si>
  <si>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</si>
  <si>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</si>
  <si>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</si>
  <si>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</si>
  <si>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</si>
  <si>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</si>
  <si>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</si>
  <si>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</si>
  <si>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</si>
  <si>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</si>
  <si>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</si>
  <si>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</si>
  <si>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</si>
  <si>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</si>
  <si>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</si>
  <si>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</si>
  <si>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</si>
  <si>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</si>
  <si>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</si>
  <si>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</si>
  <si>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</si>
  <si>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</si>
  <si>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</si>
  <si>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</si>
  <si>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</si>
  <si>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</si>
  <si>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</si>
  <si>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</si>
  <si>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</si>
  <si>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</si>
  <si>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</si>
  <si>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</si>
  <si>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</si>
  <si>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</si>
  <si>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</si>
  <si>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</si>
  <si>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</si>
  <si>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</si>
  <si>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</si>
  <si>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</si>
  <si>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</si>
  <si>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</si>
  <si>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</si>
  <si>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</si>
  <si>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</si>
  <si>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</si>
  <si>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</si>
  <si>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</si>
  <si>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</si>
  <si>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</si>
  <si>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</si>
  <si>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</si>
  <si>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</si>
  <si>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</si>
  <si>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</si>
  <si>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</si>
  <si>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</si>
  <si>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</si>
  <si>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</si>
  <si>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</si>
  <si>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</si>
  <si>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</si>
  <si>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</si>
  <si>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</si>
  <si>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</si>
  <si>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</si>
  <si>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</si>
  <si>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</si>
  <si>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</si>
  <si>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</si>
  <si>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</si>
  <si>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</si>
  <si>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</si>
  <si>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</si>
  <si>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</si>
  <si>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</si>
  <si>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</si>
  <si>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</si>
  <si>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</si>
  <si>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</si>
  <si>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</si>
  <si>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</si>
  <si>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</si>
  <si>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</si>
  <si>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</si>
  <si>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</si>
  <si>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</si>
  <si>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</si>
  <si>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</si>
  <si>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</si>
  <si>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</si>
  <si>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</si>
  <si>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</si>
  <si>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</si>
  <si>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</si>
  <si>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</si>
  <si>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</si>
  <si>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</si>
  <si>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</si>
  <si>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</si>
  <si>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</si>
  <si>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</si>
  <si>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</si>
  <si>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</si>
  <si>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</si>
  <si>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</si>
  <si>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</si>
  <si>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</si>
  <si>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</si>
  <si>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</si>
  <si>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</si>
  <si>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</si>
  <si>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</si>
  <si>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</si>
  <si>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</si>
  <si>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</si>
  <si>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</si>
  <si>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</si>
  <si>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</si>
  <si>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</si>
  <si>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</si>
  <si>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</si>
  <si>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</si>
  <si>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</si>
  <si>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</si>
  <si>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</si>
  <si>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</si>
  <si>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</si>
  <si>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</si>
  <si>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</si>
  <si>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</si>
  <si>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</si>
  <si>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</si>
  <si>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</si>
  <si>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</si>
  <si>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</si>
  <si>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</si>
  <si>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</si>
  <si>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</si>
  <si>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</si>
  <si>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</si>
  <si>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</si>
  <si>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</si>
  <si>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</si>
  <si>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</si>
  <si>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</si>
  <si>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</si>
  <si>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</si>
  <si>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</si>
  <si>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</si>
  <si>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</si>
  <si>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</si>
  <si>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</si>
  <si>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</si>
  <si>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</si>
  <si>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</si>
  <si>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</si>
  <si>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</si>
  <si>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</si>
  <si>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</si>
  <si>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</si>
  <si>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</si>
  <si>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</si>
  <si>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</si>
  <si>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</si>
  <si>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</si>
  <si>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</si>
  <si>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</si>
  <si>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</si>
  <si>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</si>
  <si>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</si>
  <si>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</si>
  <si>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</si>
  <si>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</si>
  <si>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</si>
  <si>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</si>
  <si>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</si>
  <si>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</si>
  <si>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</si>
  <si>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</si>
  <si>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</si>
  <si>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</si>
  <si>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</si>
  <si>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</si>
  <si>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</si>
  <si>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</si>
  <si>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</si>
  <si>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</si>
  <si>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</si>
  <si>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</si>
  <si>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</si>
  <si>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</si>
  <si>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</si>
  <si>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</si>
  <si>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</si>
  <si>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</si>
  <si>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</si>
  <si>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</si>
  <si>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</si>
  <si>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</si>
  <si>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</si>
  <si>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</si>
  <si>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</si>
  <si>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</si>
  <si>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</si>
  <si>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</si>
  <si>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</si>
  <si>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</si>
  <si>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</si>
  <si>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</si>
  <si>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</si>
  <si>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</si>
  <si>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</si>
  <si>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</si>
  <si>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</si>
  <si>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</si>
  <si>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</si>
  <si>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</si>
  <si>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</si>
  <si>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</si>
  <si>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</si>
  <si>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</si>
  <si>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</si>
  <si>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</si>
  <si>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</si>
  <si>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</si>
  <si>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</si>
  <si>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</si>
  <si>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</si>
  <si>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</si>
  <si>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</si>
  <si>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</si>
  <si>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</si>
  <si>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</si>
  <si>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</si>
  <si>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</si>
  <si>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</si>
  <si>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</si>
  <si>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</si>
  <si>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</si>
  <si>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</si>
  <si>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</si>
  <si>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</si>
  <si>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</si>
  <si>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</si>
  <si>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</si>
  <si>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</si>
  <si>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</si>
  <si>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</si>
  <si>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</si>
  <si>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</si>
  <si>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</si>
  <si>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</si>
  <si>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</si>
  <si>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</si>
  <si>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</si>
  <si>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</si>
  <si>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</si>
  <si>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</si>
  <si>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</si>
  <si>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</si>
  <si>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</si>
  <si>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</si>
  <si>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</si>
  <si>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</si>
  <si>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</si>
  <si>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</si>
  <si>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</si>
  <si>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</si>
  <si>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</si>
  <si>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</si>
  <si>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</si>
  <si>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</si>
  <si>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</si>
  <si>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</si>
  <si>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</si>
  <si>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</si>
  <si>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</si>
  <si>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</si>
  <si>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</si>
  <si>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</si>
  <si>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</si>
  <si>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</si>
  <si>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</si>
  <si>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</si>
  <si>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</si>
  <si>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</si>
  <si>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</si>
  <si>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</si>
  <si>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</si>
  <si>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</si>
  <si>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</si>
  <si>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</si>
  <si>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</si>
  <si>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</si>
  <si>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</si>
  <si>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</si>
  <si>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</si>
  <si>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</si>
  <si>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</si>
  <si>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</si>
  <si>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</si>
  <si>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</si>
  <si>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</si>
  <si>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</si>
  <si>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</si>
  <si>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</si>
  <si>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</si>
  <si>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</si>
  <si>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</si>
  <si>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</si>
  <si>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</si>
  <si>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</si>
  <si>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</si>
  <si>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</si>
  <si>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</si>
  <si>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</si>
  <si>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</si>
  <si>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</si>
  <si>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</si>
  <si>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</si>
  <si>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</si>
  <si>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</si>
  <si>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</si>
  <si>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</si>
  <si>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</si>
  <si>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</si>
  <si>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</si>
  <si>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</si>
  <si>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</si>
  <si>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</si>
  <si>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</si>
  <si>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</si>
  <si>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</si>
  <si>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</si>
  <si>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</si>
  <si>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</si>
  <si>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</si>
  <si>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</si>
  <si>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</si>
  <si>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</si>
  <si>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</si>
  <si>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</si>
  <si>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</si>
  <si>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</si>
  <si>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</si>
  <si>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</si>
  <si>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</si>
  <si>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</si>
  <si>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</si>
  <si>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</si>
  <si>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</si>
  <si>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</si>
  <si>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</si>
  <si>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</si>
  <si>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</si>
  <si>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</si>
  <si>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</si>
  <si>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</si>
  <si>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</si>
  <si>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</si>
  <si>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</si>
  <si>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</si>
  <si>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</si>
  <si>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</si>
  <si>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</si>
  <si>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</si>
  <si>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</si>
  <si>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</si>
  <si>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</si>
  <si>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</si>
  <si>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</si>
  <si>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</si>
  <si>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</si>
  <si>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</si>
  <si>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</si>
  <si>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</si>
  <si>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</si>
  <si>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</si>
  <si>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</si>
  <si>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</si>
  <si>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</si>
  <si>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</si>
  <si>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</si>
  <si>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</si>
  <si>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</si>
  <si>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</si>
  <si>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</si>
  <si>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</si>
  <si>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</si>
  <si>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</si>
  <si>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</si>
  <si>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</si>
  <si>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</si>
  <si>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</si>
  <si>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</si>
  <si>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</si>
  <si>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</si>
  <si>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</si>
  <si>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</si>
  <si>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</si>
  <si>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</si>
  <si>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</si>
  <si>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</si>
  <si>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</si>
  <si>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</si>
  <si>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</si>
  <si>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</si>
  <si>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</si>
  <si>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</si>
  <si>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</si>
  <si>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</si>
  <si>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</si>
  <si>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</si>
  <si>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</si>
  <si>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</si>
  <si>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</si>
  <si>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</si>
  <si>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</si>
  <si>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</si>
  <si>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</si>
  <si>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</si>
  <si>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</si>
  <si>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</si>
  <si>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</si>
  <si>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</si>
  <si>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</si>
  <si>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</si>
  <si>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</si>
  <si>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</si>
  <si>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</si>
  <si>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</si>
  <si>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</si>
  <si>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</si>
  <si>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</si>
  <si>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</si>
  <si>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</si>
  <si>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</si>
  <si>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</si>
  <si>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</si>
  <si>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</si>
  <si>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</si>
  <si>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</si>
  <si>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</si>
  <si>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</si>
  <si>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</si>
  <si>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</si>
  <si>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</si>
  <si>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</si>
  <si>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</si>
  <si>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</si>
  <si>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</si>
  <si>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</si>
  <si>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</si>
  <si>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</si>
  <si>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</si>
  <si>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</si>
  <si>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</si>
  <si>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</si>
  <si>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</si>
  <si>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</si>
  <si>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</si>
  <si>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</si>
  <si>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</si>
  <si>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</si>
  <si>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</si>
  <si>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</si>
  <si>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</si>
  <si>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</si>
  <si>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</si>
  <si>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</si>
  <si>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</si>
  <si>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</si>
  <si>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</si>
  <si>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</si>
  <si>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</si>
  <si>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</si>
  <si>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</si>
  <si>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</si>
  <si>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</si>
  <si>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</si>
  <si>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</si>
  <si>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</si>
  <si>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</si>
  <si>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</si>
  <si>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</si>
  <si>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</si>
  <si>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</si>
  <si>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</si>
  <si>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</si>
  <si>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</si>
  <si>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</si>
  <si>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</si>
  <si>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</si>
  <si>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</si>
  <si>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</si>
  <si>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</si>
  <si>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</si>
  <si>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</si>
  <si>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</si>
  <si>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</si>
  <si>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</si>
  <si>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</si>
  <si>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</si>
  <si>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</si>
  <si>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</si>
  <si>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</si>
  <si>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</si>
  <si>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</si>
  <si>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</si>
  <si>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</si>
  <si>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</si>
  <si>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</si>
  <si>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</si>
  <si>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</si>
  <si>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</si>
  <si>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</si>
  <si>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</si>
  <si>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</si>
  <si>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</si>
  <si>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</si>
  <si>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</si>
  <si>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</si>
  <si>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</si>
  <si>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</si>
  <si>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</si>
  <si>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</si>
  <si>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</si>
  <si>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</si>
  <si>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</si>
  <si>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</si>
  <si>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</si>
  <si>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</si>
  <si>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</si>
  <si>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</si>
  <si>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</si>
  <si>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</si>
  <si>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</si>
  <si>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</si>
  <si>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</si>
  <si>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</si>
  <si>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</si>
  <si>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</si>
  <si>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</si>
  <si>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</si>
  <si>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</si>
  <si>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</si>
  <si>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</si>
  <si>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</si>
  <si>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</si>
  <si>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</si>
  <si>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</si>
  <si>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</si>
  <si>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</si>
  <si>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</si>
  <si>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</si>
  <si>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</si>
  <si>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</si>
  <si>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</si>
  <si>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</si>
  <si>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</si>
  <si>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</si>
  <si>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</si>
  <si>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</si>
  <si>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</si>
  <si>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</si>
  <si>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</si>
  <si>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</si>
  <si>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</si>
  <si>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</si>
  <si>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</si>
  <si>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</si>
  <si>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</si>
  <si>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</si>
  <si>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</si>
  <si>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</si>
  <si>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</si>
  <si>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</si>
  <si>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</si>
  <si>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</si>
  <si>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</si>
  <si>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</si>
  <si>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</si>
  <si>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</si>
  <si>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</si>
  <si>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</si>
  <si>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</si>
  <si>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</si>
  <si>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</si>
  <si>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</si>
  <si>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</si>
  <si>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</si>
  <si>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</si>
  <si>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</si>
  <si>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</si>
  <si>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</si>
  <si>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</si>
  <si>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</si>
  <si>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</si>
  <si>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</si>
  <si>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</si>
  <si>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</si>
  <si>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</si>
  <si>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</si>
  <si>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</si>
  <si>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</si>
  <si>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</si>
  <si>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</si>
  <si>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</si>
  <si>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</si>
  <si>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</si>
  <si>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</si>
  <si>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</si>
  <si>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</si>
  <si>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</si>
  <si>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</si>
  <si>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</si>
  <si>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</si>
  <si>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</si>
  <si>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</si>
  <si>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</si>
  <si>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</si>
  <si>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</si>
  <si>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</si>
  <si>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</si>
  <si>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</si>
  <si>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</si>
  <si>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</si>
  <si>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</si>
  <si>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</si>
  <si>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</si>
  <si>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</si>
  <si>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</si>
  <si>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</si>
  <si>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</si>
  <si>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</si>
  <si>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</si>
  <si>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</si>
  <si>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</si>
  <si>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</si>
  <si>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</si>
  <si>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</si>
  <si>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</si>
  <si>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</si>
  <si>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</si>
  <si>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</si>
  <si>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</si>
  <si>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</si>
  <si>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</si>
  <si>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</si>
  <si>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</si>
  <si>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</si>
  <si>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</si>
  <si>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</si>
  <si>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</si>
  <si>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</si>
  <si>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</si>
  <si>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</si>
  <si>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</si>
  <si>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</si>
  <si>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</si>
  <si>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</si>
  <si>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</si>
  <si>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</si>
  <si>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</si>
  <si>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</si>
  <si>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</si>
  <si>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</si>
  <si>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</si>
  <si>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</si>
  <si>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</si>
  <si>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</si>
  <si>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</si>
  <si>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</si>
  <si>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</si>
  <si>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</si>
  <si>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</si>
  <si>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</si>
  <si>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</si>
  <si>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</si>
  <si>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</si>
  <si>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</si>
  <si>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</si>
  <si>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</si>
  <si>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</si>
  <si>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</si>
  <si>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</si>
  <si>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</si>
  <si>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</si>
  <si>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</si>
  <si>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</si>
  <si>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</si>
  <si>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</si>
  <si>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</si>
  <si>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</si>
  <si>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</si>
  <si>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</si>
  <si>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</si>
  <si>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</si>
  <si>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</si>
  <si>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</si>
  <si>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</si>
  <si>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</si>
  <si>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</si>
  <si>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</si>
  <si>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</si>
  <si>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</si>
  <si>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</si>
  <si>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</si>
  <si>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</si>
  <si>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</si>
  <si>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</si>
  <si>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</si>
  <si>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</si>
  <si>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</si>
  <si>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</si>
  <si>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</si>
  <si>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</si>
  <si>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</si>
  <si>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</si>
  <si>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</si>
  <si>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</si>
  <si>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</si>
  <si>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</si>
  <si>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</si>
  <si>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</si>
  <si>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</si>
  <si>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</si>
  <si>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</si>
  <si>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</si>
  <si>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</si>
  <si>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</si>
  <si>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</si>
  <si>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</si>
  <si>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</si>
  <si>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</si>
  <si>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</si>
  <si>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</si>
  <si>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</si>
  <si>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</si>
  <si>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</si>
  <si>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</si>
  <si>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</si>
  <si>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</si>
  <si>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</si>
  <si>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</si>
  <si>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</si>
  <si>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</si>
  <si>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</si>
  <si>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</si>
  <si>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</si>
  <si>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</si>
  <si>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</si>
  <si>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</si>
  <si>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</si>
  <si>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</si>
  <si>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</si>
  <si>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</si>
  <si>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</si>
  <si>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</si>
  <si>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</si>
  <si>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</si>
  <si>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</si>
  <si>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</si>
  <si>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</si>
  <si>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</si>
  <si>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</si>
  <si>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</si>
  <si>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</si>
  <si>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</si>
  <si>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</si>
  <si>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</si>
  <si>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</si>
  <si>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</si>
  <si>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</si>
  <si>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</si>
  <si>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</si>
  <si>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</si>
  <si>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</si>
  <si>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</si>
  <si>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</si>
  <si>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</si>
  <si>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</si>
  <si>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</si>
  <si>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</si>
  <si>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</si>
  <si>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</si>
  <si>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</si>
  <si>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</si>
  <si>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</si>
  <si>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</si>
  <si>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</si>
  <si>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</si>
  <si>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</si>
  <si>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</si>
  <si>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</si>
  <si>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</si>
  <si>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</si>
  <si>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</si>
  <si>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</si>
  <si>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</si>
  <si>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</si>
  <si>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</si>
  <si>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</si>
  <si>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</si>
  <si>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</si>
  <si>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</si>
  <si>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</si>
  <si>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</si>
  <si>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</si>
  <si>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</si>
  <si>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</si>
  <si>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</si>
  <si>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</si>
  <si>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</si>
  <si>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</si>
  <si>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</si>
  <si>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</si>
  <si>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</si>
  <si>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</si>
  <si>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</si>
  <si>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</si>
  <si>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</si>
  <si>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</si>
  <si>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</si>
  <si>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</si>
  <si>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</si>
  <si>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</si>
  <si>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</si>
  <si>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</si>
  <si>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</si>
  <si>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</si>
  <si>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</si>
  <si>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</si>
  <si>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</si>
  <si>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</si>
  <si>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</si>
  <si>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</si>
  <si>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</si>
  <si>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</si>
  <si>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</si>
  <si>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</si>
  <si>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</si>
  <si>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</si>
  <si>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</si>
  <si>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</si>
  <si>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</si>
  <si>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</si>
  <si>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</si>
  <si>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</si>
  <si>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</si>
  <si>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</si>
  <si>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</si>
  <si>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</si>
  <si>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</si>
  <si>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</si>
  <si>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</si>
  <si>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</si>
  <si>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</si>
  <si>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</si>
  <si>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</si>
  <si>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</si>
  <si>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</si>
  <si>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</si>
  <si>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</si>
  <si>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</si>
  <si>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</si>
  <si>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</si>
  <si>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</si>
  <si>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</si>
  <si>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</si>
  <si>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</si>
  <si>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</si>
  <si>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</si>
  <si>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</si>
  <si>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</si>
  <si>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</si>
  <si>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</si>
  <si>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</si>
  <si>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</si>
  <si>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</si>
  <si>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</si>
  <si>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</si>
  <si>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</si>
  <si>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</si>
  <si>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</si>
  <si>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</si>
  <si>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</si>
  <si>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</si>
  <si>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</si>
  <si>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</si>
  <si>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</si>
  <si>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</si>
  <si>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</si>
  <si>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</si>
  <si>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</si>
  <si>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</si>
  <si>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</si>
  <si>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</si>
  <si>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</si>
  <si>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</si>
  <si>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</si>
  <si>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</si>
  <si>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</si>
  <si>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</si>
  <si>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</si>
  <si>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</si>
  <si>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</si>
  <si>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</si>
  <si>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</si>
  <si>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</si>
  <si>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</si>
  <si>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</si>
  <si>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</si>
  <si>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</si>
  <si>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</si>
  <si>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</si>
  <si>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</si>
  <si>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</si>
  <si>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</si>
  <si>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</si>
  <si>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</si>
  <si>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</si>
  <si>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</si>
  <si>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</si>
  <si>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</si>
  <si>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</si>
  <si>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</si>
  <si>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</si>
  <si>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</si>
  <si>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</si>
  <si>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</si>
  <si>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</si>
  <si>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</si>
  <si>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</si>
  <si>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</si>
  <si>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</si>
  <si>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</si>
  <si>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</si>
  <si>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</si>
  <si>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</si>
  <si>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</si>
  <si>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</si>
  <si>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</si>
  <si>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</si>
  <si>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</si>
  <si>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</si>
  <si>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</si>
  <si>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</si>
  <si>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</si>
  <si>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</si>
  <si>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</si>
  <si>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</si>
  <si>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</si>
  <si>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</si>
  <si>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</si>
  <si>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</si>
  <si>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</si>
  <si>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</si>
  <si>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</si>
  <si>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</si>
  <si>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</si>
  <si>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</si>
  <si>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</si>
  <si>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</si>
  <si>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</si>
  <si>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</si>
  <si>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</si>
  <si>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</si>
  <si>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</si>
  <si>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</si>
  <si>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</si>
  <si>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</si>
  <si>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</si>
  <si>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</si>
  <si>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</si>
  <si>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</si>
  <si>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</si>
  <si>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</si>
  <si>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</si>
  <si>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</si>
  <si>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</si>
  <si>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</si>
  <si>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</si>
  <si>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</si>
  <si>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</si>
  <si>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</si>
  <si>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</si>
  <si>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</si>
  <si>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</si>
  <si>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</si>
  <si>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</si>
  <si>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</si>
  <si>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</si>
  <si>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</si>
  <si>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</si>
  <si>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</si>
  <si>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</si>
  <si>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</si>
  <si>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</si>
  <si>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</si>
  <si>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</si>
  <si>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</si>
  <si>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</si>
  <si>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</si>
  <si>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</si>
  <si>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</si>
  <si>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</si>
  <si>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</si>
  <si>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</si>
  <si>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</si>
  <si>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</si>
  <si>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</si>
  <si>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</si>
  <si>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</si>
  <si>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</si>
  <si>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</si>
  <si>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</si>
  <si>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</si>
  <si>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</si>
  <si>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</si>
  <si>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</si>
  <si>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</si>
  <si>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</si>
  <si>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</si>
  <si>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</si>
  <si>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</si>
  <si>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</si>
  <si>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</si>
  <si>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</si>
  <si>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</si>
  <si>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</si>
  <si>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</si>
  <si>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</si>
  <si>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</si>
  <si>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</si>
  <si>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</si>
  <si>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</si>
  <si>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</si>
  <si>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</si>
  <si>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</si>
  <si>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</si>
  <si>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</si>
  <si>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</si>
  <si>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</si>
  <si>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</si>
  <si>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</si>
  <si>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</si>
  <si>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</si>
  <si>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</si>
  <si>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</si>
  <si>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</si>
  <si>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</si>
  <si>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</si>
  <si>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</si>
  <si>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</si>
  <si>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</si>
  <si>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</si>
  <si>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</si>
  <si>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</si>
  <si>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</si>
  <si>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</si>
  <si>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</si>
  <si>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</si>
  <si>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</si>
  <si>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</si>
  <si>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</si>
  <si>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</si>
  <si>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</si>
  <si>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</si>
  <si>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</si>
  <si>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</si>
  <si>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</si>
  <si>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</si>
  <si>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</si>
  <si>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</si>
  <si>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</si>
  <si>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</si>
  <si>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</si>
  <si>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</si>
  <si>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</si>
  <si>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</si>
  <si>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</si>
  <si>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</si>
  <si>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</si>
  <si>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</si>
  <si>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</si>
  <si>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</si>
  <si>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</si>
  <si>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</si>
  <si>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</si>
  <si>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</si>
  <si>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</si>
  <si>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</si>
  <si>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</si>
  <si>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</si>
  <si>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</si>
  <si>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</si>
  <si>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</si>
  <si>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</si>
  <si>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</si>
  <si>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</si>
  <si>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</si>
  <si>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</si>
  <si>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</si>
  <si>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</si>
  <si>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</si>
  <si>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</si>
  <si>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</si>
  <si>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</si>
  <si>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</si>
  <si>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</si>
  <si>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</si>
  <si>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</si>
  <si>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</si>
  <si>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</si>
  <si>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</si>
  <si>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</si>
  <si>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</si>
  <si>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</si>
  <si>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</si>
  <si>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</si>
  <si>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</si>
  <si>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</si>
  <si>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</si>
  <si>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</si>
  <si>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</si>
  <si>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</si>
  <si>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</si>
  <si>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</si>
  <si>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</si>
  <si>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</si>
  <si>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</si>
  <si>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</si>
  <si>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</si>
  <si>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</si>
  <si>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</si>
  <si>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</si>
  <si>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</si>
  <si>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</si>
  <si>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</si>
  <si>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</si>
  <si>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</si>
  <si>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</si>
  <si>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</si>
  <si>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</si>
  <si>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</si>
  <si>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</si>
  <si>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</si>
  <si>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</si>
  <si>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</si>
  <si>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</si>
  <si>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</si>
  <si>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</si>
  <si>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</si>
  <si>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</si>
  <si>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</si>
  <si>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</si>
  <si>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</si>
  <si>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</si>
  <si>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</si>
  <si>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</si>
  <si>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</si>
  <si>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</si>
  <si>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</si>
  <si>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</si>
  <si>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</si>
  <si>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</si>
  <si>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</si>
  <si>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</si>
  <si>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</si>
  <si>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</si>
  <si>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</si>
  <si>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</si>
  <si>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</si>
  <si>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</si>
  <si>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</si>
  <si>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</si>
  <si>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</si>
  <si>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</si>
  <si>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</si>
  <si>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</si>
  <si>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</si>
  <si>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</si>
  <si>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</si>
  <si>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</si>
  <si>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</si>
  <si>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</si>
  <si>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</si>
  <si>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</si>
  <si>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</si>
  <si>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</si>
  <si>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</si>
  <si>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</si>
  <si>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</si>
  <si>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</si>
  <si>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</si>
  <si>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</si>
  <si>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</si>
  <si>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</si>
  <si>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</si>
  <si>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</si>
  <si>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</si>
  <si>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</si>
  <si>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</si>
  <si>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</si>
  <si>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</si>
  <si>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</si>
  <si>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</si>
  <si>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</si>
  <si>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</si>
  <si>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</si>
  <si>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</si>
  <si>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</si>
  <si>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</si>
  <si>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</si>
  <si>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</si>
  <si>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</si>
  <si>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</si>
  <si>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</si>
  <si>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</si>
  <si>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</si>
  <si>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</si>
  <si>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</si>
  <si>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</si>
  <si>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</si>
  <si>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</si>
  <si>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</si>
  <si>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</si>
  <si>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</si>
  <si>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</si>
  <si>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</si>
  <si>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</si>
  <si>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</si>
  <si>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</si>
  <si>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</si>
  <si>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</si>
  <si>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</si>
  <si>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</si>
  <si>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</si>
  <si>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</si>
  <si>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</si>
  <si>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</si>
  <si>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</si>
  <si>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</si>
  <si>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</si>
  <si>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</si>
  <si>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</si>
  <si>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</si>
  <si>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</si>
  <si>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</si>
  <si>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</si>
  <si>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</si>
  <si>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</si>
  <si>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</si>
  <si>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</si>
  <si>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</si>
  <si>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</si>
  <si>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</si>
  <si>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</si>
  <si>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</si>
  <si>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</si>
  <si>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</si>
  <si>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</si>
  <si>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</si>
  <si>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</si>
  <si>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</si>
  <si>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</si>
  <si>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</si>
  <si>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</si>
  <si>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</si>
  <si>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</si>
  <si>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</si>
  <si>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</si>
  <si>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</si>
  <si>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</si>
  <si>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</si>
  <si>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</si>
  <si>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</si>
  <si>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</si>
  <si>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</si>
  <si>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</si>
  <si>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</si>
  <si>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</si>
  <si>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</si>
  <si>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</si>
  <si>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</si>
  <si>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</si>
  <si>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</si>
  <si>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</si>
  <si>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</si>
  <si>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</si>
  <si>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</si>
  <si>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</si>
  <si>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</si>
  <si>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</si>
  <si>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</si>
  <si>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</si>
  <si>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</si>
  <si>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</si>
  <si>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</si>
  <si>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</si>
  <si>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</si>
  <si>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</si>
  <si>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</si>
  <si>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</si>
  <si>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</si>
  <si>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</si>
  <si>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</si>
  <si>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</si>
  <si>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</si>
  <si>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</si>
  <si>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</si>
  <si>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</si>
  <si>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</si>
  <si>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</si>
  <si>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</si>
  <si>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</si>
  <si>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</si>
  <si>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</si>
  <si>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</si>
  <si>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</si>
  <si>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</si>
  <si>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</si>
  <si>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</si>
  <si>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</si>
  <si>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</si>
  <si>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</si>
  <si>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</si>
  <si>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</si>
  <si>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</si>
  <si>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</si>
  <si>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</si>
  <si>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</si>
  <si>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</si>
  <si>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</si>
  <si>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</si>
  <si>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</si>
  <si>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</si>
  <si>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</si>
  <si>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</si>
  <si>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</si>
  <si>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</si>
  <si>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</si>
  <si>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</si>
  <si>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</si>
  <si>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</si>
  <si>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</si>
  <si>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</si>
  <si>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</si>
  <si>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</si>
  <si>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</si>
  <si>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</si>
  <si>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</si>
  <si>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</si>
  <si>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</si>
  <si>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</si>
  <si>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</si>
  <si>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</si>
  <si>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</si>
  <si>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</si>
  <si>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</si>
  <si>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</si>
  <si>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</si>
  <si>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</si>
  <si>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</si>
  <si>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</si>
  <si>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</si>
  <si>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</si>
  <si>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</si>
  <si>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</si>
  <si>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</si>
  <si>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</si>
  <si>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</si>
  <si>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</si>
  <si>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</si>
  <si>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</si>
  <si>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</si>
  <si>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</si>
  <si>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</si>
  <si>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</si>
  <si>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</si>
  <si>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</si>
  <si>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</si>
  <si>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</si>
  <si>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</si>
  <si>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</si>
  <si>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</si>
  <si>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</si>
  <si>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</si>
  <si>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</si>
  <si>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</si>
  <si>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</si>
  <si>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</si>
  <si>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</si>
  <si>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</si>
  <si>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</si>
  <si>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</si>
  <si>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</si>
  <si>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</si>
  <si>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</si>
  <si>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</si>
  <si>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</si>
  <si>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</si>
  <si>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</si>
  <si>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</si>
  <si>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</si>
  <si>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</si>
  <si>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</si>
  <si>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</si>
  <si>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</si>
  <si>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</si>
  <si>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</si>
  <si>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</si>
  <si>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</si>
  <si>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</si>
  <si>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</si>
  <si>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</si>
  <si>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</si>
  <si>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</si>
  <si>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</si>
  <si>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</si>
  <si>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</si>
  <si>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</si>
  <si>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</si>
  <si>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</si>
  <si>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</si>
  <si>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</si>
  <si>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</si>
  <si>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</si>
  <si>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</si>
  <si>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</si>
  <si>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</si>
  <si>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</si>
  <si>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</si>
  <si>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</si>
  <si>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</si>
  <si>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</si>
  <si>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</si>
  <si>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</si>
  <si>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</si>
  <si>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</si>
  <si>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</si>
  <si>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</si>
  <si>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</si>
  <si>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</si>
  <si>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</si>
  <si>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</si>
  <si>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</si>
  <si>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</si>
  <si>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</si>
  <si>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</si>
  <si>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</si>
  <si>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</si>
  <si>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</si>
  <si>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</si>
  <si>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</si>
  <si>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</si>
  <si>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</si>
  <si>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</si>
  <si>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</si>
  <si>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</si>
  <si>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</si>
  <si>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</si>
  <si>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</si>
  <si>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</si>
  <si>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</si>
  <si>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</si>
  <si>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</si>
  <si>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</si>
  <si>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</si>
  <si>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</si>
  <si>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</si>
  <si>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</si>
  <si>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</si>
  <si>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</si>
  <si>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</si>
  <si>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</si>
  <si>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</si>
  <si>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</si>
  <si>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</si>
  <si>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</si>
  <si>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</si>
  <si>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</si>
  <si>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</si>
  <si>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</si>
  <si>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</si>
  <si>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</si>
  <si>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</si>
  <si>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</si>
  <si>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</si>
  <si>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</si>
  <si>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</si>
  <si>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</si>
  <si>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</si>
  <si>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</si>
  <si>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</si>
  <si>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</si>
  <si>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</si>
  <si>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</si>
  <si>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</si>
  <si>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</si>
  <si>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</si>
  <si>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</si>
  <si>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</si>
  <si>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</si>
  <si>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</si>
  <si>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</si>
  <si>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</si>
  <si>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</si>
  <si>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</si>
  <si>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</si>
  <si>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</si>
  <si>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</si>
  <si>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</si>
  <si>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</si>
  <si>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</si>
  <si>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</si>
  <si>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</si>
  <si>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</si>
  <si>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</si>
  <si>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</si>
  <si>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</si>
  <si>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</si>
  <si>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</si>
  <si>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</si>
  <si>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</si>
  <si>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</si>
  <si>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</si>
  <si>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</si>
  <si>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</si>
  <si>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</si>
  <si>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</si>
  <si>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</si>
  <si>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</si>
  <si>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</si>
  <si>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</si>
  <si>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</si>
  <si>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</si>
  <si>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</si>
  <si>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</si>
  <si>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</si>
  <si>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</si>
  <si>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</si>
  <si>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</si>
  <si>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</si>
  <si>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</si>
  <si>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</si>
  <si>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</si>
  <si>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</si>
  <si>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</si>
  <si>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</si>
  <si>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</si>
  <si>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</si>
  <si>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</si>
  <si>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</si>
  <si>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</si>
  <si>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</si>
  <si>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</si>
  <si>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</si>
  <si>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</si>
  <si>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</si>
  <si>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</si>
  <si>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</si>
  <si>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</si>
  <si>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</si>
  <si>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</si>
  <si>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</si>
  <si>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</si>
  <si>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</si>
  <si>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</si>
  <si>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</si>
  <si>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</si>
  <si>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</si>
  <si>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</si>
  <si>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</si>
  <si>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</si>
  <si>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</si>
  <si>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</si>
  <si>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</si>
  <si>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</si>
  <si>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</si>
  <si>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</si>
  <si>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</si>
  <si>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</si>
  <si>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</si>
  <si>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</si>
  <si>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</si>
  <si>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</si>
  <si>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</si>
  <si>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</si>
  <si>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</si>
  <si>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</si>
  <si>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</si>
  <si>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</si>
  <si>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</si>
  <si>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</si>
  <si>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</si>
  <si>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</si>
  <si>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</si>
  <si>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</si>
  <si>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</si>
  <si>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</si>
  <si>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</si>
  <si>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</si>
  <si>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</si>
  <si>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</si>
  <si>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</si>
  <si>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</si>
  <si>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</si>
  <si>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</si>
  <si>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</si>
  <si>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</si>
  <si>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</si>
  <si>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</si>
  <si>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</si>
  <si>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</si>
  <si>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</si>
  <si>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</si>
  <si>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</si>
  <si>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</si>
  <si>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</si>
  <si>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</si>
  <si>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</si>
  <si>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</si>
  <si>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</si>
  <si>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</si>
  <si>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</si>
  <si>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</si>
  <si>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</si>
  <si>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</si>
  <si>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</si>
  <si>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</si>
  <si>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</si>
  <si>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</si>
  <si>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</si>
  <si>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</si>
  <si>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</si>
  <si>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</si>
  <si>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</si>
  <si>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</si>
  <si>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</si>
  <si>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</si>
  <si>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</si>
  <si>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</si>
  <si>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</si>
  <si>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</si>
  <si>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</si>
  <si>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</si>
  <si>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</si>
  <si>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</si>
  <si>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</si>
  <si>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</si>
  <si>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</si>
  <si>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</si>
  <si>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</si>
  <si>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</si>
  <si>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</si>
  <si>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</si>
  <si>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</si>
  <si>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</si>
  <si>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</si>
  <si>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</si>
  <si>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</si>
  <si>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</si>
  <si>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</si>
  <si>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</si>
  <si>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</si>
  <si>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</si>
  <si>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</si>
  <si>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</si>
  <si>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</si>
  <si>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</si>
  <si>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</si>
  <si>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</si>
  <si>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</si>
  <si>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</si>
  <si>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</si>
  <si>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</si>
  <si>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</si>
  <si>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</si>
  <si>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</si>
  <si>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</si>
  <si>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</si>
  <si>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</si>
  <si>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</si>
  <si>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</si>
  <si>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</si>
  <si>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</si>
  <si>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</si>
  <si>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</si>
  <si>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</si>
  <si>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</si>
  <si>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</si>
  <si>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</si>
  <si>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</si>
  <si>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</si>
  <si>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</si>
  <si>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</si>
  <si>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</si>
  <si>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</si>
  <si>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</si>
  <si>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</si>
  <si>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</si>
  <si>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</si>
  <si>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</si>
  <si>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</si>
  <si>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</si>
  <si>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</si>
  <si>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</si>
  <si>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</si>
  <si>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</si>
  <si>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</si>
  <si>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</si>
  <si>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</si>
  <si>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</si>
  <si>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</si>
  <si>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</si>
  <si>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</si>
  <si>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</si>
  <si>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</si>
  <si>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</si>
  <si>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</si>
  <si>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</si>
  <si>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</si>
  <si>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</si>
  <si>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</si>
  <si>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</si>
  <si>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</si>
  <si>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</si>
  <si>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</si>
  <si>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</si>
  <si>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</si>
  <si>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</si>
  <si>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</si>
  <si>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</si>
  <si>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</si>
  <si>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</si>
  <si>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</si>
  <si>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</si>
  <si>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</si>
  <si>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</si>
  <si>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</si>
  <si>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</si>
  <si>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</si>
  <si>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</si>
  <si>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</si>
  <si>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</si>
  <si>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</si>
  <si>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</si>
  <si>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</si>
  <si>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</si>
  <si>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</si>
  <si>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</si>
  <si>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</si>
  <si>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</si>
  <si>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</si>
  <si>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</si>
  <si>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</si>
  <si>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</si>
  <si>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</si>
  <si>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</si>
  <si>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</si>
  <si>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</si>
  <si>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</si>
  <si>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</si>
  <si>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</si>
  <si>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</si>
  <si>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</si>
  <si>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</si>
  <si>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</si>
  <si>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</si>
  <si>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</si>
  <si>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</si>
  <si>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</si>
  <si>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</si>
  <si>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</si>
  <si>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</si>
  <si>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</si>
  <si>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</si>
  <si>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</si>
  <si>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</si>
  <si>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</si>
  <si>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</si>
  <si>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</si>
  <si>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</si>
  <si>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</si>
  <si>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</si>
  <si>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</si>
  <si>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</si>
  <si>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</si>
  <si>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</si>
  <si>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</si>
  <si>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</si>
  <si>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</si>
  <si>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</si>
  <si>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</si>
  <si>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</si>
  <si>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</si>
  <si>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</si>
  <si>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</si>
  <si>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</si>
  <si>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</si>
  <si>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</si>
  <si>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</si>
  <si>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</si>
  <si>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</si>
  <si>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</si>
  <si>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</si>
  <si>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</si>
  <si>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</si>
  <si>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</si>
  <si>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</si>
  <si>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</si>
  <si>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</si>
  <si>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</si>
  <si>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</si>
  <si>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</si>
  <si>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</si>
  <si>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</si>
  <si>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</si>
  <si>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</si>
  <si>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</si>
  <si>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</si>
  <si>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</si>
  <si>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</si>
  <si>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</si>
  <si>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</si>
  <si>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</si>
  <si>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</si>
  <si>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</si>
  <si>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</si>
  <si>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</si>
  <si>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</si>
  <si>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</si>
  <si>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</si>
  <si>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</si>
  <si>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</si>
  <si>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</si>
  <si>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</si>
  <si>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</si>
  <si>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</si>
  <si>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</si>
  <si>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</si>
  <si>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</si>
  <si>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</si>
  <si>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</si>
  <si>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</si>
  <si>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</si>
  <si>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</si>
  <si>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</si>
  <si>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</si>
  <si>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</si>
  <si>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</si>
  <si>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</si>
  <si>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</si>
  <si>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</si>
  <si>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</si>
  <si>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</si>
  <si>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</si>
  <si>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</si>
  <si>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</si>
  <si>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</si>
  <si>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</si>
  <si>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</si>
  <si>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</si>
  <si>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</si>
  <si>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</si>
  <si>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</si>
  <si>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</si>
  <si>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</si>
  <si>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</si>
  <si>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</si>
  <si>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</si>
  <si>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</si>
  <si>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</si>
  <si>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</si>
  <si>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</si>
  <si>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</si>
  <si>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</si>
  <si>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</si>
  <si>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</si>
  <si>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</si>
  <si>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</si>
  <si>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</si>
  <si>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</si>
  <si>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</si>
  <si>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</si>
  <si>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</si>
  <si>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</si>
  <si>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</si>
  <si>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</si>
  <si>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</si>
  <si>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</si>
  <si>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</si>
  <si>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</si>
  <si>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</si>
  <si>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</si>
  <si>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</si>
  <si>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</si>
  <si>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</si>
  <si>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</si>
  <si>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</si>
  <si>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</si>
  <si>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</si>
  <si>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</si>
  <si>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</si>
  <si>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</si>
  <si>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</si>
  <si>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</si>
  <si>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</si>
  <si>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</si>
  <si>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</si>
  <si>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</si>
  <si>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</si>
  <si>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</si>
  <si>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</si>
  <si>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</si>
  <si>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</si>
  <si>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</si>
  <si>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</si>
  <si>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</si>
  <si>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</si>
  <si>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</si>
  <si>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</si>
  <si>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</si>
  <si>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</si>
  <si>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</si>
  <si>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</si>
  <si>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</si>
  <si>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</si>
  <si>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</si>
  <si>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</si>
  <si>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</si>
  <si>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</si>
  <si>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</si>
  <si>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</si>
  <si>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</si>
  <si>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</si>
  <si>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</si>
  <si>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</si>
  <si>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</si>
  <si>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</si>
  <si>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</si>
  <si>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</si>
  <si>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</si>
  <si>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</si>
  <si>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</si>
  <si>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</si>
  <si>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</si>
  <si>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</si>
  <si>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</si>
  <si>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</si>
  <si>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</si>
  <si>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</si>
  <si>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</si>
  <si>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</si>
  <si>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</si>
  <si>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</si>
  <si>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</si>
  <si>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</si>
  <si>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</si>
  <si>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</si>
  <si>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</si>
  <si>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</si>
  <si>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</si>
  <si>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</si>
  <si>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</si>
  <si>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</si>
  <si>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</si>
  <si>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</si>
  <si>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</si>
  <si>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</si>
  <si>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</si>
  <si>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</si>
  <si>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</si>
  <si>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</si>
  <si>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</si>
  <si>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</si>
  <si>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</si>
  <si>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</si>
  <si>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</si>
  <si>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</si>
  <si>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</si>
  <si>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</si>
  <si>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</si>
  <si>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</si>
  <si>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</si>
  <si>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</si>
  <si>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</si>
  <si>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</si>
  <si>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</si>
  <si>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</si>
  <si>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</si>
  <si>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</si>
  <si>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</si>
  <si>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</si>
  <si>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</si>
  <si>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</si>
  <si>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</si>
  <si>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</si>
  <si>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</si>
  <si>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</si>
  <si>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</si>
  <si>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</si>
  <si>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</si>
  <si>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</si>
  <si>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</si>
  <si>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</si>
  <si>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</si>
  <si>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</si>
  <si>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</si>
  <si>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</si>
  <si>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</si>
  <si>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</si>
  <si>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</si>
  <si>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</si>
  <si>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</si>
  <si>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</si>
  <si>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</si>
  <si>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</si>
  <si>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</si>
  <si>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</si>
  <si>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</si>
  <si>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</si>
  <si>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</si>
  <si>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</si>
  <si>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</si>
  <si>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</si>
  <si>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</si>
  <si>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</si>
  <si>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</si>
  <si>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</si>
  <si>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</si>
  <si>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</si>
  <si>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</si>
  <si>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</si>
  <si>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</si>
  <si>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</si>
  <si>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</si>
  <si>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</si>
  <si>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</si>
  <si>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</si>
  <si>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</si>
  <si>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</si>
  <si>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</si>
  <si>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</si>
  <si>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</si>
  <si>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</si>
  <si>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</si>
  <si>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</si>
  <si>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</si>
  <si>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</si>
  <si>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</si>
  <si>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</si>
  <si>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</si>
  <si>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</si>
  <si>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</si>
  <si>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</si>
  <si>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</si>
  <si>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</si>
  <si>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</si>
  <si>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</si>
  <si>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</si>
  <si>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</si>
  <si>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</si>
  <si>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</si>
  <si>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</si>
  <si>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</si>
  <si>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</si>
  <si>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</si>
  <si>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</si>
  <si>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</si>
  <si>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</si>
  <si>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</si>
  <si>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</si>
  <si>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</si>
  <si>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</si>
  <si>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</si>
  <si>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</si>
  <si>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</si>
  <si>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</si>
  <si>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</si>
  <si>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</si>
  <si>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</si>
  <si>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</si>
  <si>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</si>
  <si>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</si>
  <si>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</si>
  <si>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</si>
  <si>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</si>
  <si>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</si>
  <si>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</si>
  <si>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</si>
  <si>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</si>
  <si>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</si>
  <si>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</si>
  <si>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</si>
  <si>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</si>
  <si>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</si>
  <si>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</si>
  <si>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</si>
  <si>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</si>
  <si>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</si>
  <si>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</si>
  <si>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</si>
  <si>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</si>
  <si>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</si>
  <si>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</si>
  <si>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</si>
  <si>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</si>
  <si>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</si>
  <si>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</si>
  <si>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</si>
  <si>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</si>
  <si>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</si>
  <si>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</si>
  <si>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</si>
  <si>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</si>
  <si>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</si>
  <si>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</si>
  <si>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</si>
  <si>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</si>
  <si>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</si>
  <si>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</si>
  <si>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</si>
  <si>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</si>
  <si>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</si>
  <si>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</si>
  <si>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</si>
  <si>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</si>
  <si>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</si>
  <si>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</si>
  <si>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</si>
  <si>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</si>
  <si>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</si>
  <si>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</si>
  <si>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</si>
  <si>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</si>
  <si>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</si>
  <si>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</si>
  <si>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</si>
  <si>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抵押价格</t>
  </si>
  <si>
    <t>其他：</t>
  </si>
  <si>
    <t>企业</t>
  </si>
  <si>
    <t>一致</t>
  </si>
  <si>
    <t>商业</t>
  </si>
  <si>
    <t>符合</t>
  </si>
  <si>
    <t>地上</t>
  </si>
  <si>
    <t>地下</t>
  </si>
  <si>
    <t>车库—商业</t>
  </si>
  <si>
    <t>商业</t>
    <phoneticPr fontId="7" type="noConversion"/>
  </si>
  <si>
    <t>不动产收益法</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</si>
  <si>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</si>
  <si>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</si>
  <si>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</si>
  <si>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</si>
  <si>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</si>
  <si>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车位</t>
    <phoneticPr fontId="3" type="noConversion"/>
  </si>
  <si>
    <t>面积</t>
    <phoneticPr fontId="3" type="noConversion"/>
  </si>
  <si>
    <t>面积占比</t>
    <phoneticPr fontId="3" type="noConversion"/>
  </si>
  <si>
    <t>租金</t>
    <phoneticPr fontId="3" type="noConversion"/>
  </si>
  <si>
    <t>楼层占比</t>
    <phoneticPr fontId="3" type="noConversion"/>
  </si>
  <si>
    <t>土地（套用方法）</t>
  </si>
  <si>
    <t>押一</t>
  </si>
  <si>
    <t>按租金收入计税</t>
  </si>
  <si>
    <t>钢混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</si>
  <si>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</si>
  <si>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</si>
  <si>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</si>
  <si>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</si>
  <si>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</si>
  <si>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</si>
  <si>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</si>
  <si>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</si>
  <si>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</si>
  <si>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</si>
  <si>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</si>
  <si>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</si>
  <si>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</si>
  <si>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东侧为湖州智能电动汽车小镇客厅,南侧为七里亭安置社区,西侧为七里亭港,北侧为西塞山路。</t>
  </si>
  <si>
    <t>湖州市</t>
  </si>
  <si>
    <t>商业/办公用地</t>
  </si>
  <si>
    <t>大于或等于1.8并且小于或等于2.3</t>
  </si>
  <si>
    <t>挂牌</t>
  </si>
  <si>
    <t>2019-10-31</t>
  </si>
  <si>
    <t>湖州投人才产业园开发管理有限公司</t>
  </si>
  <si>
    <t>1星</t>
  </si>
  <si>
    <t>位于太湖度假区长片区塘甸集镇西侧,北侧为规划环湖大道,南侧为湖薛线公路,东侧为高桥头河。</t>
  </si>
  <si>
    <t>大于或等于1.5并且小于或等于1.7</t>
  </si>
  <si>
    <t>湖州南太湖建设开发有限公司</t>
  </si>
  <si>
    <t>滨湖南单元内,东侧为震洲路,北侧为滨湖大道,西侧隔嘉业河与中国石化滨湖加油站相望,南侧隔王家湾河。</t>
  </si>
  <si>
    <t>大于或等于1.5并且小于或等于2</t>
  </si>
  <si>
    <t>2019-10-30</t>
  </si>
  <si>
    <t>位于滨湖北单元内长兜港口西侧,与梅洲路相邻,北隔环湖大堤与太湖相望。</t>
  </si>
  <si>
    <t>大于或等于1.6并且小于或等于2</t>
  </si>
  <si>
    <t>2019-10-18</t>
  </si>
  <si>
    <t>妙西镇王村村(王村村1号地块)</t>
  </si>
  <si>
    <t>大于或等于0.5并且小于或等于1</t>
  </si>
  <si>
    <t>拍卖</t>
  </si>
  <si>
    <t>2019-08-01</t>
  </si>
  <si>
    <t>浙江海亮尊年健康管理有限公司</t>
  </si>
  <si>
    <t>东部新城核心区,基地北临规划绿地,西侧为姚山路,东侧为怪鸟漾,南侧为吴兴大道(诸墓单元02-11A号地块)</t>
  </si>
  <si>
    <t>大于或等于2.5并且小于或等于2.8</t>
  </si>
  <si>
    <t>2019-07-17</t>
  </si>
  <si>
    <t>湖州积微置业有限公司</t>
  </si>
  <si>
    <t>2星</t>
  </si>
  <si>
    <t>妙西镇龙山村</t>
  </si>
  <si>
    <t>≥1.3且≤1.3</t>
  </si>
  <si>
    <t>2019-05-29</t>
  </si>
  <si>
    <t>湖州华昇置业有限公司</t>
  </si>
  <si>
    <t>地块西侧为城市街头绿地,北侧为北坝河,东侧为震洲路,南侧为行渡港路,与浙江健康学院隔路相望。</t>
  </si>
  <si>
    <t>≥1且≤1.5</t>
  </si>
  <si>
    <t>2019-05-24</t>
  </si>
  <si>
    <t>湖州鑫远投资有限公司</t>
  </si>
  <si>
    <t>3星</t>
  </si>
  <si>
    <t>地块位于妙西镇树坞村、王村村</t>
  </si>
  <si>
    <t>≥1.2且≤1.8</t>
  </si>
  <si>
    <t>2019-05-23</t>
  </si>
  <si>
    <t>浙江侨梦苑文化旅游发展有限公司</t>
  </si>
  <si>
    <t>地块位于吴兴区妙西镇潘村村3号地块</t>
  </si>
  <si>
    <t>≥0.5且≤0.8</t>
  </si>
  <si>
    <t>2019-05-22</t>
  </si>
  <si>
    <t>湖州市交通投资集团能源发展</t>
  </si>
  <si>
    <t>地块位于菱湖镇镇东区块,基地东侧为河流,南侧为河道,西侧为凤鸣路,北侧为鱼塘。</t>
  </si>
  <si>
    <t>≥1.1且≤1.2</t>
  </si>
  <si>
    <t>2019-02-15</t>
  </si>
  <si>
    <t>湖州市南浔区交通投资集团房地产开发有限公司</t>
  </si>
  <si>
    <t>仁皇山仁北分区RHS-03-01-03B地块</t>
  </si>
  <si>
    <t>≥1且≤2</t>
  </si>
  <si>
    <t>2019-01-03</t>
  </si>
  <si>
    <t>湖州雀跃混凝土制品有限公司</t>
  </si>
  <si>
    <t>5星</t>
  </si>
  <si>
    <t>西南分区,东侧为二环西路,南侧、西侧为规划河流,北侧为红丰西路。</t>
  </si>
  <si>
    <t>≥2且≤2.5</t>
  </si>
  <si>
    <t>2018-12-13</t>
  </si>
  <si>
    <t>浙江省核工业二六二大队</t>
  </si>
  <si>
    <t>4星</t>
  </si>
  <si>
    <t>太湖度假区滨湖北单元TH-01-01-05J地块</t>
  </si>
  <si>
    <t>≥1.0,≤1.1</t>
  </si>
  <si>
    <t>2018-11-07</t>
  </si>
  <si>
    <t>香飘飘食品股份有限公司</t>
  </si>
  <si>
    <t>位于太湖度假区小梅山,原为太湖山庄、望湖疗养院和公安培训学校。</t>
  </si>
  <si>
    <t>≥1,≤1.1</t>
  </si>
  <si>
    <t>2018-10-16</t>
  </si>
  <si>
    <t>湖州市城投观湖酒店有限公司</t>
  </si>
  <si>
    <t>位于东部新城,北临吴兴大道与西山漾景区,东临经三路与城市绿廊,南邻纬二路与乌山,西临贺家河</t>
  </si>
  <si>
    <t>2018-08-23</t>
  </si>
  <si>
    <t>湖州湖鸿投资发展有限公司</t>
  </si>
  <si>
    <t>位于太湖度假区小梅山,原为交通宾馆、太湖疗养院</t>
  </si>
  <si>
    <t>≥1且≤1.1</t>
  </si>
  <si>
    <t>2018-08-17</t>
  </si>
  <si>
    <t>位于太湖度假区长东片区,太湖之心总部园板块,东侧为城市框架性主干道湖山大道,西隔湖港路与长兜港相望</t>
  </si>
  <si>
    <t>≥1.5且≤2.1</t>
  </si>
  <si>
    <t>湖州白银置业有限公司</t>
  </si>
  <si>
    <t>位于埭溪镇山背村狮子山</t>
  </si>
  <si>
    <t>≥1.5且≤2</t>
  </si>
  <si>
    <t>2018-08-10</t>
  </si>
  <si>
    <t>湖州量子文化创意有限公司</t>
  </si>
  <si>
    <t>妙西镇域的中西部,东北侧邻近妙西镇区,西北侧为白鹭谷景区,西南侧可通往霞幕山</t>
  </si>
  <si>
    <t>≥1.8且≤2.2</t>
  </si>
  <si>
    <t>2018-08-08</t>
  </si>
  <si>
    <t>湖州慧心谷旅游开发有限公司</t>
  </si>
  <si>
    <t>妙西镇域西南部,稍康村境内</t>
  </si>
  <si>
    <t>2018-06-27</t>
  </si>
  <si>
    <t>湖州花盈原乡度假村有限公司</t>
  </si>
  <si>
    <t>湖州市西南部,妙西镇域肇村村往南山谷内</t>
  </si>
  <si>
    <t>湖州状元山生态农业发展有限公司</t>
  </si>
  <si>
    <t>位于妙西镇楂树坞村、王村村,东至滋坞村、栖贤寺、前滋坞,南至大青山、王村,西至榨树坞</t>
  </si>
  <si>
    <t>≥0.6且≤1.1</t>
  </si>
  <si>
    <t>2018-06-21</t>
  </si>
  <si>
    <t>浙江西塞山旅游投资开发有限公司</t>
  </si>
  <si>
    <t>位于西凤漾单元,东侧为东浜路,南侧为西塞山路</t>
  </si>
  <si>
    <t>2018-05-24</t>
  </si>
  <si>
    <t>湖州市联智百胜科技有限公司</t>
  </si>
  <si>
    <t>位于妙西镇楂树坞村、王村村,东至滋坞村、栖贤寺、前滋坞,南至大青山、王村,西至楂树坞,北至妙峰山。</t>
  </si>
  <si>
    <t>≥1且≤1.3</t>
  </si>
  <si>
    <t>2018-05-23</t>
  </si>
  <si>
    <t>位于东部新城,东临蜀山路,西临罗家村港。</t>
  </si>
  <si>
    <t>2018-05-22</t>
  </si>
  <si>
    <t>湖州中北汽车销售服务有限公司</t>
  </si>
  <si>
    <t>位于仁皇山分区,东、南临水,隔岸为建国小区,西侧为德清北路,北侧为青太路。</t>
  </si>
  <si>
    <t>2018-05-04</t>
  </si>
  <si>
    <t>湖州东南投资管理有限公司</t>
  </si>
  <si>
    <t>位于蜀山西侧,东临蜀山路,南侧为纬一路,西侧为滨河绿地,北侧为规划待建的蜀山幼儿园</t>
  </si>
  <si>
    <t>≥1.1且≤1.4</t>
  </si>
  <si>
    <t>2018-04-13</t>
  </si>
  <si>
    <t>湖州房总地产开发集团有限公司</t>
  </si>
  <si>
    <t>位于康山分区,东侧为杭宁高速、南侧为康山山体、西侧为沿山路、北侧为西塞路</t>
  </si>
  <si>
    <t>≥0.4且≤1.5</t>
  </si>
  <si>
    <t>2018-03-01</t>
  </si>
  <si>
    <t>湖州海王康山投资发展有限公司</t>
  </si>
  <si>
    <t>位于塘口单元,新惠路以东、安泰路以北</t>
  </si>
  <si>
    <t>浙江湖州环太湖集团有限公司</t>
  </si>
  <si>
    <t>位于市北分区后庄单元,南侧为二环北路,北侧为后庄路(规划道路),西侧隔河为华丰路(规划道路)。</t>
  </si>
  <si>
    <t>≥1.5且≤1.8</t>
  </si>
  <si>
    <t>2018-02-09</t>
  </si>
  <si>
    <t>位于双林镇南部新区,东为新阳光大道,南为全兴路,西为万泰路,北为润泽禄地住宅小区</t>
  </si>
  <si>
    <t>≥1.5且≤1.6</t>
  </si>
  <si>
    <t>2018-02-01</t>
  </si>
  <si>
    <t>浙江南浔农村商业银行股份有限公司</t>
  </si>
  <si>
    <t>位于俞家田村内,南为110KV高压线,西靠小梅港,东邻村民文化活动中心。</t>
  </si>
  <si>
    <t>≥1.5且≤2.2</t>
  </si>
  <si>
    <t>2017-11-17</t>
  </si>
  <si>
    <t>湖州市仁皇山街道俞家田村经济合作社</t>
  </si>
  <si>
    <t>位于俞家田村内,北为110KV高压线,南接公共停车场,西靠小梅港,东邻村民文化活动中心</t>
  </si>
  <si>
    <t>妙西镇域的中西部,东北侧邻近妙西镇区,西北侧为白鹭谷景区,西南侧可通往霞幕山(妙西镇西塞山坡地村镇旅游业项目2号地块)</t>
  </si>
  <si>
    <t>2017-10-20</t>
  </si>
  <si>
    <t>妙西镇域的中西部,东侧邻近妙西生态农业园、金色园农庄,南侧为妙山-稍康通村公路,西侧为山体,北侧为部分丘陵和部分农田(妙西镇西塞山坡地村镇旅游业项目4号地块)</t>
  </si>
  <si>
    <t>≥1.3且≤2.2</t>
  </si>
  <si>
    <t>湖州福佑旅游开发有限公司</t>
  </si>
  <si>
    <t>妙西镇域的中西部,东北侧邻近妙西镇区,西北侧为白鹭谷景区,西南侧可通往霞幕山(妙西镇西塞山坡地村镇旅游业项目1号地块)</t>
  </si>
  <si>
    <t>≥1.2且≤2</t>
  </si>
  <si>
    <t>湖州仁和永酒店投资管理有限公司</t>
  </si>
  <si>
    <t>妙西镇域的中西部,东北侧邻近妙西镇区,西北侧为白鹭谷景区,西南侧可通往霞幕山(妙西镇西塞山坡地村镇旅游业项目3号地块)</t>
  </si>
  <si>
    <t>湖州野界酒店管理有限公司</t>
  </si>
  <si>
    <t>≥0.7且≤1.2</t>
  </si>
  <si>
    <t>浙江福生旅游开发有限公司</t>
  </si>
  <si>
    <t>劳动路南延西侧地块(3号地块)[位于湖州市老城分区小西街历史文化街区南部,劳动路西侧,朝阳巷北侧]</t>
  </si>
  <si>
    <t>2017-09-27</t>
  </si>
  <si>
    <t>湖州市历史文化街区保护改造有限公司</t>
  </si>
  <si>
    <t>妙西镇域的中西部,东侧邻近妙西生态农业园、金色园农庄,南侧为妙山-稍康通村公路,西侧为山体,北侧为丘陵和部分农田(知了帐篷露营地项目地块)</t>
  </si>
  <si>
    <t>≥1,且≤2</t>
  </si>
  <si>
    <t>2017-08-29</t>
  </si>
  <si>
    <t>湖州长颈鹿庄园有限公司</t>
  </si>
  <si>
    <t>西凤漾单元XSS-03-03-03C-1号地块(西凤漾单元,外环线以西,环北路以南)</t>
  </si>
  <si>
    <t>≥0.15且≤0.5</t>
  </si>
  <si>
    <t>2017-08-22</t>
  </si>
  <si>
    <t>湖州龙溪城西燃料经营部</t>
  </si>
  <si>
    <t>妙西镇域西部、肇村境内(湖州原乡小镇项目地块)</t>
  </si>
  <si>
    <t>≥1.1且≤2</t>
  </si>
  <si>
    <t>2017-07-18</t>
  </si>
  <si>
    <t>湖州原乡假日小镇实业有限公司</t>
  </si>
  <si>
    <t>东林镇青联村上干自然村(东林镇坡地村镇项目1(1-38号地块))</t>
  </si>
  <si>
    <t>≥0.7且≤1.6</t>
  </si>
  <si>
    <t>湖州仕华养老服务有限公司</t>
  </si>
  <si>
    <t>仁皇山分区RHS-03-04-02k号地块[位于仁北单元,西临垄山路(即安吉路),地块南北两侧为垄山农民新村,东侧为规划发展用地]</t>
  </si>
  <si>
    <t>≥1且≤1.2</t>
  </si>
  <si>
    <t>2017-06-21</t>
  </si>
  <si>
    <t>湖州市仁皇山街道垄山村村民委员会</t>
  </si>
  <si>
    <t>南塘漾单元02-02-A号地块[位于东部新城丝绸小镇,北临纬五路(中兴大道),西临规划道路,东南临近西山漾公园]</t>
  </si>
  <si>
    <t>2017-06-16</t>
  </si>
  <si>
    <t>湖州吴兴南太湖建设投资有限公司</t>
  </si>
  <si>
    <t>东林镇35号地块(位于东林镇保戈公路北侧,蜡烛港东侧)</t>
  </si>
  <si>
    <t>湖州江南影视城有限公司</t>
  </si>
  <si>
    <t>织西分区ZX-05-02-06F号地块(位于织里镇秦家港村,基地北侧为利安路,西侧为栋梁路)</t>
  </si>
  <si>
    <t>2017-06-08</t>
  </si>
  <si>
    <t>湖州市吴兴区织里镇秦家港村经济合作社</t>
  </si>
  <si>
    <t>织东分区ZD-28-4号地块(位于织里镇晓河村,南侧为康泰路,西侧为浒金路,东侧为大港路)</t>
  </si>
  <si>
    <t>温州置信商业管理有限公司</t>
  </si>
  <si>
    <t>织东分区ZD-28-1号地块(位于织里镇晓河村,南侧为康泰路,西侧为浒金路,东侧为大港路)</t>
  </si>
  <si>
    <t>≥1.3且≤1.5</t>
  </si>
  <si>
    <t>钱金法</t>
  </si>
  <si>
    <t>正常</t>
    <phoneticPr fontId="26" type="noConversion"/>
  </si>
  <si>
    <t>商业</t>
    <phoneticPr fontId="26" type="noConversion"/>
  </si>
  <si>
    <t>商业</t>
    <phoneticPr fontId="26" type="noConversion"/>
  </si>
  <si>
    <t>40</t>
    <phoneticPr fontId="26" type="noConversion"/>
  </si>
  <si>
    <t>一般</t>
    <phoneticPr fontId="26" type="noConversion"/>
  </si>
  <si>
    <t>较好</t>
    <phoneticPr fontId="26"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</si>
  <si>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</si>
  <si>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</si>
  <si>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</si>
  <si>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</si>
  <si>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</si>
  <si>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楼面地价</t>
  </si>
  <si>
    <t>比较法-住宅、综合</t>
  </si>
  <si>
    <t>剩余法-待开发</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</si>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</sst>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47625</xdr:rowOff>
    </xdr:from>
    <xdr:to>
      <xdr:col>5</xdr:col>
      <xdr:colOff>590550</xdr:colOff>
      <xdr:row>96</xdr:row>
      <xdr:rowOff>84756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791575"/>
          <a:ext cx="8515350" cy="7752381"/>
        </a:xfrm>
        <a:prstGeom prst="rect">
          <a:avLst/>
        </a:prstGeom>
      </xdr:spPr>
    </xdr:pic>
    <xdr:clientData/>
  </xdr:twoCellAnchor>
  <xdr:twoCellAnchor editAs="oneCell">
    <xdr:from>
      <xdr:col>0</xdr:col>
      <xdr:colOff>0</xdr:colOff>
      <xdr:row>96</xdr:row>
      <xdr:rowOff>38100</xdr:rowOff>
    </xdr:from>
    <xdr:to>
      <xdr:col>5</xdr:col>
      <xdr:colOff>590550</xdr:colOff>
      <xdr:row>140</xdr:row>
      <xdr:rowOff>27634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497300"/>
          <a:ext cx="8496300" cy="7533334"/>
        </a:xfrm>
        <a:prstGeom prst="rect">
          <a:avLst/>
        </a:prstGeom>
      </xdr:spPr>
    </xdr:pic>
    <xdr:clientData/>
  </xdr:twoCellAnchor>
  <xdr:twoCellAnchor editAs="oneCell">
    <xdr:from>
      <xdr:col>0</xdr:col>
      <xdr:colOff>0</xdr:colOff>
      <xdr:row>140</xdr:row>
      <xdr:rowOff>0</xdr:rowOff>
    </xdr:from>
    <xdr:to>
      <xdr:col>5</xdr:col>
      <xdr:colOff>590550</xdr:colOff>
      <xdr:row>185</xdr:row>
      <xdr:rowOff>75227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003000"/>
          <a:ext cx="8496300" cy="7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246;&#24030;A1-2&#22303;&#22320;-&#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1">
          <cell r="G31">
            <v>14697.959999999997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46262.48平方米。根据《建设工程规划许可证》[]、《出让合同》[]，估价对象规划建筑面积为141821.06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2019年10月30日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根据《国有土地使用证》[]，估价对象（分摊）出让国有建设用地使用权面积为46262.48平方米。根据《建设工程规划许可证》[]、《出让合同》[]，估价对象规划建筑面积为141821.06平方米。</v>
      </c>
    </row>
    <row r="16" spans="1:55" s="2832" customFormat="1">
      <c r="A16" s="2833" t="s">
        <v>2669</v>
      </c>
      <c r="B16" s="2834" t="str">
        <f>'预评函-1'!A22</f>
        <v>本次估价对象为出让国有建设用地使用权，《国有土地使用证》[]证载土地终止日期为商业2055年2月4日。截至估价期日，出让国有建设用地使用权剩余土地使用年限为。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估价期日：2019年10月30日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46262.48</v>
      </c>
    </row>
    <row r="44" spans="1:2">
      <c r="A44" s="2833" t="s">
        <v>2740</v>
      </c>
      <c r="B44" s="2834" t="str">
        <f>'预评函-2'!O3</f>
        <v>规划建筑面积/㎡</v>
      </c>
    </row>
    <row r="45" spans="1:2">
      <c r="A45" s="2833" t="s">
        <v>2722</v>
      </c>
      <c r="B45" s="2834">
        <f>'预评函-2'!O5</f>
        <v>141821.06</v>
      </c>
    </row>
    <row r="46" spans="1:2">
      <c r="A46" s="2833" t="s">
        <v>2723</v>
      </c>
      <c r="B46" s="2834">
        <f ca="1">'预评函-2'!P5</f>
        <v>4620</v>
      </c>
    </row>
    <row r="47" spans="1:2">
      <c r="A47" s="2833" t="s">
        <v>2724</v>
      </c>
      <c r="B47" s="2834">
        <f ca="1">'预评函-2'!Q5</f>
        <v>1507</v>
      </c>
    </row>
    <row r="48" spans="1:2">
      <c r="A48" s="2833" t="s">
        <v>2725</v>
      </c>
      <c r="B48" s="2834">
        <f ca="1">'预评函-2'!R5</f>
        <v>21373</v>
      </c>
    </row>
    <row r="49" spans="1:2">
      <c r="A49" s="2833" t="s">
        <v>2741</v>
      </c>
      <c r="B49" s="2834" t="str">
        <f>'预评函-2'!A6</f>
        <v>抵押价格</v>
      </c>
    </row>
    <row r="50" spans="1:2">
      <c r="A50" s="2833" t="s">
        <v>2726</v>
      </c>
      <c r="B50" s="2834">
        <f ca="1">'预评函-2'!R6</f>
        <v>21373</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4.25"/>
  <cols>
    <col min="1" max="1" width="15.375" style="1675" customWidth="1"/>
    <col min="2" max="2" width="11.375" style="1675" customWidth="1"/>
    <col min="3" max="3" width="12.625" style="1675" customWidth="1"/>
    <col min="4" max="4" width="12.87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12" t="str">
        <f>IF(B10="北京市","北京市",C10)&amp;F10&amp;B16&amp;"国有建设用地使用权"&amp;B9&amp;"预评估"</f>
        <v>出让国有建设用地使用权抵押价格预评估</v>
      </c>
      <c r="C1" s="3213"/>
      <c r="D1" s="3213"/>
      <c r="E1" s="3213"/>
      <c r="F1" s="3213"/>
      <c r="G1" s="3213"/>
      <c r="H1" s="3213"/>
      <c r="I1" s="3214"/>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43768</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18" t="s">
        <v>1944</v>
      </c>
      <c r="E8" s="1828" t="s">
        <v>3001</v>
      </c>
      <c r="F8" s="1656"/>
      <c r="G8" s="1644"/>
      <c r="H8" s="1644"/>
      <c r="I8" s="1691"/>
      <c r="J8" s="1678"/>
      <c r="K8" s="1758"/>
      <c r="L8" s="1707"/>
      <c r="M8" s="1707"/>
      <c r="N8" s="1678"/>
      <c r="O8" s="1679"/>
      <c r="P8" s="1678"/>
      <c r="Q8" s="1678"/>
      <c r="R8" s="1678"/>
      <c r="S8" s="1678"/>
      <c r="T8" s="1678"/>
      <c r="U8" s="1678"/>
    </row>
    <row r="9" spans="1:21" ht="15" thickBot="1">
      <c r="A9" s="1657" t="s">
        <v>1943</v>
      </c>
      <c r="B9" s="1658" t="s">
        <v>3001</v>
      </c>
      <c r="C9" s="1659"/>
      <c r="D9" s="3219"/>
      <c r="E9" s="1658"/>
      <c r="F9" s="1731"/>
      <c r="G9" s="1726"/>
      <c r="H9" s="1726"/>
      <c r="I9" s="1727"/>
      <c r="J9" s="1678"/>
      <c r="K9" s="1758"/>
      <c r="L9" s="1707"/>
      <c r="M9" s="1707"/>
      <c r="N9" s="1678"/>
      <c r="O9" s="1679"/>
      <c r="P9" s="1678"/>
      <c r="Q9" s="1678"/>
      <c r="R9" s="1678"/>
      <c r="S9" s="1678"/>
      <c r="T9" s="1678"/>
      <c r="U9" s="1678"/>
    </row>
    <row r="10" spans="1:21" ht="15" thickTop="1">
      <c r="A10" s="1728" t="s">
        <v>1999</v>
      </c>
      <c r="B10" s="1703" t="s">
        <v>3002</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3003</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15"/>
      <c r="C12" s="3216"/>
      <c r="D12" s="3217"/>
      <c r="E12" s="1683" t="s">
        <v>2061</v>
      </c>
      <c r="F12" s="3233" t="s">
        <v>2890</v>
      </c>
      <c r="G12" s="3234"/>
      <c r="H12" s="3234"/>
      <c r="I12" s="3235"/>
      <c r="J12" s="1678"/>
      <c r="K12" s="1758"/>
      <c r="L12" s="1707"/>
      <c r="M12" s="1707"/>
      <c r="N12" s="1678"/>
      <c r="O12" s="1679"/>
      <c r="P12" s="1678"/>
      <c r="Q12" s="1678"/>
      <c r="R12" s="1678"/>
      <c r="S12" s="1678"/>
      <c r="T12" s="1678"/>
      <c r="U12" s="1678"/>
    </row>
    <row r="13" spans="1:21">
      <c r="A13" s="1671" t="s">
        <v>2059</v>
      </c>
      <c r="B13" s="3215"/>
      <c r="C13" s="3216"/>
      <c r="D13" s="3217"/>
      <c r="E13" s="1683" t="s">
        <v>2061</v>
      </c>
      <c r="F13" s="3233" t="s">
        <v>2891</v>
      </c>
      <c r="G13" s="3234"/>
      <c r="H13" s="3234"/>
      <c r="I13" s="3235"/>
      <c r="J13" s="1678"/>
      <c r="K13" s="1758"/>
      <c r="L13" s="1707"/>
      <c r="M13" s="1707"/>
      <c r="N13" s="1678"/>
      <c r="O13" s="1679"/>
      <c r="P13" s="1678"/>
      <c r="Q13" s="1678"/>
      <c r="R13" s="1678"/>
      <c r="S13" s="1678"/>
      <c r="T13" s="1678"/>
      <c r="U13" s="1678"/>
    </row>
    <row r="14" spans="1:21">
      <c r="A14" s="1645" t="s">
        <v>2062</v>
      </c>
      <c r="B14" s="1683"/>
      <c r="C14" s="1829" t="s">
        <v>3004</v>
      </c>
      <c r="D14" s="1717" t="str">
        <f>IF(C14="不一致","是否符合证载地类范围","")</f>
        <v/>
      </c>
      <c r="E14" s="1683"/>
      <c r="F14" s="1774" t="s">
        <v>3006</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c r="A16" s="1664" t="s">
        <v>1947</v>
      </c>
      <c r="B16" s="1665" t="s">
        <v>2991</v>
      </c>
      <c r="C16" s="1683" t="s">
        <v>1948</v>
      </c>
      <c r="D16" s="2610" t="s">
        <v>1949</v>
      </c>
      <c r="E16" s="1706" t="s">
        <v>3005</v>
      </c>
      <c r="F16" s="1706"/>
      <c r="G16" s="1706"/>
      <c r="H16" s="1706"/>
      <c r="I16" s="1670" t="s">
        <v>1954</v>
      </c>
      <c r="J16" s="1678"/>
      <c r="K16" s="2420" t="str">
        <f>IF(D17="","",D16&amp;TEXT(D17,"yyyy年m月d日;;"))</f>
        <v/>
      </c>
      <c r="L16" s="1683" t="str">
        <f>IF(OR(K16="",M16=""),"","、")</f>
        <v/>
      </c>
      <c r="M16" s="2420" t="str">
        <f>IF(E17="","",E16&amp;TEXT(E17,"yyyy年m月d日;;"))</f>
        <v>商业2055年2月4日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56649</v>
      </c>
      <c r="F17" s="1684"/>
      <c r="G17" s="1684"/>
      <c r="H17" s="1684"/>
      <c r="I17" s="1684"/>
      <c r="J17" s="1678"/>
      <c r="K17" s="2419" t="str">
        <f>CONCATENATE(K16,L16,M16,N16,O16,P16,Q16,R16,S16,T16,,U16)</f>
        <v>商业2055年2月4日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35.29</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30"/>
      <c r="E20" s="3231"/>
      <c r="F20" s="3231"/>
      <c r="G20" s="3231"/>
      <c r="H20" s="3231"/>
      <c r="I20" s="3232"/>
      <c r="J20" s="1678"/>
      <c r="K20" s="1758"/>
      <c r="L20" s="1707"/>
      <c r="M20" s="1707"/>
      <c r="N20" s="1678"/>
      <c r="O20" s="1679"/>
      <c r="P20" s="1678"/>
      <c r="Q20" s="1678"/>
      <c r="R20" s="1678"/>
      <c r="S20" s="1678"/>
      <c r="T20" s="1678"/>
      <c r="U20" s="1678"/>
    </row>
    <row r="21" spans="1:21">
      <c r="A21" s="1747" t="s">
        <v>1958</v>
      </c>
      <c r="B21" s="1748" t="s">
        <v>1959</v>
      </c>
      <c r="C21" s="1743">
        <f>'数据-汇总表'!E3</f>
        <v>141821.06</v>
      </c>
      <c r="D21" s="1744" t="s">
        <v>1960</v>
      </c>
      <c r="E21" s="3220" t="s">
        <v>1998</v>
      </c>
      <c r="F21" s="3221"/>
      <c r="G21" s="3221"/>
      <c r="H21" s="3221"/>
      <c r="I21" s="3222"/>
      <c r="J21" s="1678"/>
      <c r="K21" s="1758"/>
      <c r="L21" s="1707"/>
      <c r="M21" s="1707"/>
      <c r="N21" s="1678"/>
      <c r="O21" s="1679"/>
      <c r="P21" s="1678"/>
      <c r="Q21" s="1678"/>
      <c r="R21" s="1678"/>
      <c r="S21" s="1678"/>
      <c r="T21" s="1678"/>
      <c r="U21" s="1678"/>
    </row>
    <row r="22" spans="1:21">
      <c r="A22" s="3096" t="s">
        <v>952</v>
      </c>
      <c r="B22" s="1645" t="s">
        <v>1961</v>
      </c>
      <c r="C22" s="1670">
        <f>'数据-汇总表'!D3</f>
        <v>46262.48</v>
      </c>
      <c r="D22" s="1671" t="s">
        <v>1960</v>
      </c>
      <c r="E22" s="3220" t="s">
        <v>2892</v>
      </c>
      <c r="F22" s="3221"/>
      <c r="G22" s="3221"/>
      <c r="H22" s="3221"/>
      <c r="I22" s="3222"/>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23" t="s">
        <v>1966</v>
      </c>
      <c r="C24" s="3224"/>
      <c r="D24" s="3225" t="s">
        <v>1967</v>
      </c>
      <c r="E24" s="3226"/>
      <c r="F24" s="1692" t="s">
        <v>1968</v>
      </c>
      <c r="G24" s="1678"/>
      <c r="H24" s="1678"/>
      <c r="I24" s="1691"/>
      <c r="J24" s="1678"/>
      <c r="K24" s="3211"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11"/>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11"/>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38" t="s">
        <v>2001</v>
      </c>
      <c r="B31" s="1748" t="s">
        <v>2002</v>
      </c>
      <c r="C31" s="3236"/>
      <c r="D31" s="3237"/>
      <c r="E31" s="1678"/>
      <c r="F31" s="1678"/>
      <c r="G31" s="1678"/>
      <c r="H31" s="1678"/>
      <c r="I31" s="1691"/>
      <c r="J31" s="1678"/>
      <c r="K31" s="2422"/>
      <c r="L31" s="1678"/>
      <c r="M31" s="1678"/>
      <c r="N31" s="1678"/>
      <c r="O31" s="1678"/>
      <c r="P31" s="1678"/>
      <c r="Q31" s="1678"/>
      <c r="R31" s="1678"/>
      <c r="S31" s="1678"/>
      <c r="T31" s="1678"/>
      <c r="U31" s="1678"/>
    </row>
    <row r="32" spans="1:21">
      <c r="A32" s="3238"/>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8"/>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9"/>
      <c r="B34" s="1645" t="s">
        <v>2005</v>
      </c>
      <c r="C34" s="3240"/>
      <c r="D34" s="3241"/>
      <c r="E34" s="1678"/>
      <c r="F34" s="1678"/>
      <c r="G34" s="1678"/>
      <c r="H34" s="1678"/>
      <c r="I34" s="1691"/>
      <c r="J34" s="1678"/>
      <c r="K34" s="2422"/>
      <c r="L34" s="1678"/>
      <c r="M34" s="1678"/>
      <c r="N34" s="1678"/>
      <c r="O34" s="1678"/>
      <c r="P34" s="1678"/>
      <c r="Q34" s="1678"/>
      <c r="R34" s="1678"/>
      <c r="S34" s="1678"/>
      <c r="T34" s="1678"/>
      <c r="U34" s="1678"/>
    </row>
    <row r="35" spans="1:21">
      <c r="A35" s="3242" t="s">
        <v>847</v>
      </c>
      <c r="B35" s="1706"/>
      <c r="C35" s="1760" t="str">
        <f>IF(B35="场地平整","——","具体情况：")</f>
        <v>具体情况：</v>
      </c>
      <c r="D35" s="3244"/>
      <c r="E35" s="3245"/>
      <c r="F35" s="3245"/>
      <c r="G35" s="3245"/>
      <c r="H35" s="3245"/>
      <c r="I35" s="3246"/>
      <c r="J35" s="1678"/>
      <c r="K35" s="1759"/>
      <c r="L35" s="1707"/>
      <c r="M35" s="1707"/>
      <c r="N35" s="1678"/>
      <c r="O35" s="1679"/>
      <c r="P35" s="1678"/>
      <c r="Q35" s="1678"/>
      <c r="R35" s="1678"/>
      <c r="S35" s="1678"/>
      <c r="T35" s="1678"/>
      <c r="U35" s="1678"/>
    </row>
    <row r="36" spans="1:21">
      <c r="A36" s="3238"/>
      <c r="B36" s="3247" t="s">
        <v>2054</v>
      </c>
      <c r="C36" s="3248"/>
      <c r="D36" s="1776"/>
      <c r="E36" s="3249"/>
      <c r="F36" s="3249"/>
      <c r="G36" s="1671" t="str">
        <f>IF(B35="场地未平整","估价结果处理","")</f>
        <v/>
      </c>
      <c r="H36" s="3250"/>
      <c r="I36" s="3250"/>
      <c r="J36" s="1678"/>
      <c r="K36" s="1759"/>
      <c r="L36" s="1707"/>
      <c r="M36" s="1707"/>
      <c r="N36" s="1678"/>
      <c r="O36" s="1679"/>
      <c r="P36" s="1678"/>
      <c r="Q36" s="1678"/>
      <c r="R36" s="1678"/>
      <c r="S36" s="1678"/>
      <c r="T36" s="1678"/>
      <c r="U36" s="1678"/>
    </row>
    <row r="37" spans="1:21" ht="28.5">
      <c r="A37" s="3238"/>
      <c r="B37" s="3227"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38"/>
      <c r="B38" s="3228"/>
      <c r="C38" s="1653" t="s">
        <v>850</v>
      </c>
      <c r="D38" s="1775">
        <f>ROUNDDOWN(MIN(('数据-取费表'!$B$2-D37)/365,D34),1)</f>
        <v>119.9</v>
      </c>
      <c r="E38" s="1711" t="s">
        <v>851</v>
      </c>
      <c r="F38" s="1678"/>
      <c r="G38" s="1678"/>
      <c r="H38" s="1678"/>
      <c r="I38" s="1691"/>
      <c r="J38" s="1678"/>
      <c r="K38" s="1759"/>
      <c r="L38" s="1678"/>
      <c r="M38" s="1678"/>
      <c r="N38" s="1678"/>
      <c r="O38" s="1678"/>
      <c r="P38" s="1678"/>
      <c r="Q38" s="1678"/>
      <c r="R38" s="1678"/>
      <c r="S38" s="1678"/>
      <c r="T38" s="1678"/>
      <c r="U38" s="1678"/>
    </row>
    <row r="39" spans="1:21">
      <c r="A39" s="3239"/>
      <c r="B39" s="3229"/>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10" t="s">
        <v>1985</v>
      </c>
      <c r="T40" s="1715" t="str">
        <f>NUMBERSTRING(7-K40,1)&amp;"通"</f>
        <v>七通</v>
      </c>
      <c r="U40" s="1678"/>
    </row>
    <row r="41" spans="1:21">
      <c r="A41" s="1647"/>
      <c r="B41" s="3243" t="s">
        <v>1721</v>
      </c>
      <c r="C41" s="3243"/>
      <c r="D41" s="3243"/>
      <c r="E41" s="3243"/>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0"/>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K13" sqref="A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53054-6791.52</f>
        <v>46262.479999999996</v>
      </c>
      <c r="B3" s="22">
        <f>IF(C3="否",G5-AT5,G5)</f>
        <v>141821.06</v>
      </c>
      <c r="C3" s="23" t="s">
        <v>3226</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141821.06</v>
      </c>
      <c r="H5" s="27">
        <f t="shared" ref="H5:AT5" si="0">SUM(H13:H641)</f>
        <v>140207.87</v>
      </c>
      <c r="I5" s="27">
        <f t="shared" si="0"/>
        <v>110054.14</v>
      </c>
      <c r="J5" s="27">
        <f t="shared" si="0"/>
        <v>0</v>
      </c>
      <c r="K5" s="27">
        <f t="shared" si="0"/>
        <v>30153.729999999996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1613.1899999999998</v>
      </c>
      <c r="AD5" s="27">
        <f t="shared" si="0"/>
        <v>0</v>
      </c>
      <c r="AE5" s="27">
        <f t="shared" si="0"/>
        <v>0</v>
      </c>
      <c r="AF5" s="27">
        <f t="shared" si="0"/>
        <v>0</v>
      </c>
      <c r="AG5" s="27">
        <f t="shared" si="0"/>
        <v>0</v>
      </c>
      <c r="AH5" s="27">
        <f t="shared" si="0"/>
        <v>0</v>
      </c>
      <c r="AI5" s="27">
        <f t="shared" si="0"/>
        <v>0</v>
      </c>
      <c r="AJ5" s="27">
        <f t="shared" si="0"/>
        <v>0</v>
      </c>
      <c r="AK5" s="27">
        <f t="shared" si="0"/>
        <v>0</v>
      </c>
      <c r="AL5" s="27">
        <f t="shared" si="0"/>
        <v>1613.1899999999998</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141821.06</v>
      </c>
      <c r="BA5" s="29">
        <f t="shared" si="1"/>
        <v>140207.87</v>
      </c>
      <c r="BB5" s="29">
        <f t="shared" si="1"/>
        <v>110054.14</v>
      </c>
      <c r="BC5" s="29">
        <f t="shared" si="1"/>
        <v>30153.729999999996</v>
      </c>
      <c r="BD5" s="29">
        <f t="shared" si="1"/>
        <v>0</v>
      </c>
      <c r="BE5" s="29">
        <f t="shared" si="1"/>
        <v>0</v>
      </c>
      <c r="BF5" s="29">
        <f t="shared" si="1"/>
        <v>0</v>
      </c>
      <c r="BG5" s="29">
        <f t="shared" si="1"/>
        <v>0</v>
      </c>
      <c r="BH5" s="29">
        <f t="shared" si="1"/>
        <v>0</v>
      </c>
      <c r="BI5" s="29">
        <f t="shared" si="1"/>
        <v>0</v>
      </c>
      <c r="BJ5" s="29">
        <f t="shared" si="1"/>
        <v>0</v>
      </c>
      <c r="BK5" s="29">
        <f t="shared" si="1"/>
        <v>0</v>
      </c>
      <c r="BL5" s="29">
        <f t="shared" si="1"/>
        <v>1613.1899999999998</v>
      </c>
      <c r="BM5" s="29">
        <f t="shared" si="1"/>
        <v>0</v>
      </c>
      <c r="BN5" s="29">
        <f t="shared" si="1"/>
        <v>0</v>
      </c>
      <c r="BO5" s="29">
        <f t="shared" si="1"/>
        <v>0</v>
      </c>
      <c r="BP5" s="29">
        <f t="shared" si="1"/>
        <v>0</v>
      </c>
      <c r="BQ5" s="29">
        <f t="shared" si="1"/>
        <v>1613.1899999999998</v>
      </c>
      <c r="BR5" s="29">
        <f t="shared" si="1"/>
        <v>0</v>
      </c>
      <c r="BS5" s="29">
        <f t="shared" si="1"/>
        <v>0</v>
      </c>
      <c r="BT5" s="30">
        <f t="shared" si="1"/>
        <v>0</v>
      </c>
    </row>
    <row r="6" spans="1:72" s="37" customFormat="1" ht="12.75">
      <c r="A6" s="26" t="s">
        <v>169</v>
      </c>
      <c r="B6" s="31"/>
      <c r="C6" s="31"/>
      <c r="D6" s="32"/>
      <c r="E6" s="27">
        <f>H6+AC6+AT6</f>
        <v>46262.48</v>
      </c>
      <c r="F6" s="27" t="s">
        <v>1</v>
      </c>
      <c r="G6" s="27" t="s">
        <v>2</v>
      </c>
      <c r="H6" s="33">
        <f>SUMIF(I$12:AB$12,"总值",I6:AB6)</f>
        <v>45736.25</v>
      </c>
      <c r="I6" s="27">
        <f t="shared" ref="I6:AB6" si="2">ROUND($A$3*I5/$B$3,2)</f>
        <v>35900.01</v>
      </c>
      <c r="J6" s="27">
        <f t="shared" si="2"/>
        <v>0</v>
      </c>
      <c r="K6" s="27">
        <f t="shared" si="2"/>
        <v>9836.24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526.23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526.23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46262.48</v>
      </c>
      <c r="AZ6" s="27" t="s">
        <v>3</v>
      </c>
      <c r="BA6" s="27">
        <f>ROUND($AY$6*BA5/$AZ$5,2)</f>
        <v>45736.25</v>
      </c>
      <c r="BB6" s="27">
        <f>ROUND($AY$6*BB5/$AZ$5,2)</f>
        <v>35900.01</v>
      </c>
      <c r="BC6" s="27">
        <f t="shared" ref="BC6:BH6" si="4">ROUND($AY$6*BC5/$AZ$5,2)</f>
        <v>9836.24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526.23</v>
      </c>
      <c r="BM6" s="27">
        <f t="shared" si="5"/>
        <v>0</v>
      </c>
      <c r="BN6" s="27">
        <f t="shared" si="5"/>
        <v>0</v>
      </c>
      <c r="BO6" s="27">
        <f t="shared" si="5"/>
        <v>0</v>
      </c>
      <c r="BP6" s="27">
        <f t="shared" si="5"/>
        <v>0</v>
      </c>
      <c r="BQ6" s="27">
        <f t="shared" si="5"/>
        <v>526.23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3007</v>
      </c>
      <c r="J9" s="51"/>
      <c r="K9" s="2970" t="s">
        <v>3008</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3005</v>
      </c>
      <c r="J10" s="51"/>
      <c r="K10" s="2972" t="s">
        <v>3009</v>
      </c>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商业</v>
      </c>
      <c r="BC11" s="50" t="str">
        <f>K10</f>
        <v>车库—商业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46262.48</v>
      </c>
      <c r="F13" s="81"/>
      <c r="G13" s="82">
        <f t="shared" ref="G13:G20" si="7">H13+AC13+AT13</f>
        <v>141821.06</v>
      </c>
      <c r="H13" s="33">
        <f t="shared" ref="H13:H20" si="8">SUMIF(I$12:AB$12,"总值",I13:AB13)</f>
        <v>140207.87</v>
      </c>
      <c r="I13" s="2969">
        <f>130882.41-20828.27</f>
        <v>110054.14</v>
      </c>
      <c r="J13" s="2969"/>
      <c r="K13" s="2969">
        <f>19732.26+1616.53+8804.94</f>
        <v>30153.729999999996</v>
      </c>
      <c r="L13" s="2969"/>
      <c r="M13" s="2969"/>
      <c r="N13" s="83"/>
      <c r="O13" s="83"/>
      <c r="P13" s="83"/>
      <c r="Q13" s="83"/>
      <c r="R13" s="83"/>
      <c r="S13" s="83"/>
      <c r="T13" s="83"/>
      <c r="U13" s="83"/>
      <c r="V13" s="83"/>
      <c r="W13" s="83"/>
      <c r="X13" s="83"/>
      <c r="Y13" s="83"/>
      <c r="Z13" s="83"/>
      <c r="AA13" s="83"/>
      <c r="AB13" s="83"/>
      <c r="AC13" s="27">
        <f t="shared" ref="AC13:AC20" si="9">SUMIF(AD$12:AS$12,"总值",AD13:AS13)</f>
        <v>1613.1899999999998</v>
      </c>
      <c r="AD13" s="2973"/>
      <c r="AE13" s="2973"/>
      <c r="AF13" s="2973"/>
      <c r="AG13" s="2973"/>
      <c r="AH13" s="2973"/>
      <c r="AI13" s="2973"/>
      <c r="AJ13" s="2973"/>
      <c r="AK13" s="2973"/>
      <c r="AL13" s="2973">
        <f>1150.2+117.2+176.62+41.81+127.36</f>
        <v>1613.1899999999998</v>
      </c>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46262.48</v>
      </c>
      <c r="AZ13" s="27">
        <f t="shared" ref="AZ13:AZ20" si="12">BA13+BL13</f>
        <v>141821.06</v>
      </c>
      <c r="BA13" s="27">
        <f t="shared" ref="BA13:BA20" si="13">SUM(BB13:BK13)</f>
        <v>140207.87</v>
      </c>
      <c r="BB13" s="27">
        <f t="shared" ref="BB13:BB20" si="14">IF($D13="是",I13-J13,0)</f>
        <v>110054.14</v>
      </c>
      <c r="BC13" s="27">
        <f t="shared" ref="BC13:BC20" si="15">IF($D13="是",K13-L13,0)</f>
        <v>30153.729999999996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1613.1899999999998</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1613.1899999999998</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topLeftCell="C4" zoomScale="90" zoomScaleNormal="90" zoomScaleSheetLayoutView="90" workbookViewId="0">
      <selection activeCell="G33" activeCellId="1" sqref="G31 G3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62" t="s">
        <v>203</v>
      </c>
      <c r="B2" s="3262"/>
      <c r="C2" s="3262"/>
      <c r="D2" s="1960" t="s">
        <v>204</v>
      </c>
      <c r="E2" s="106" t="s">
        <v>205</v>
      </c>
      <c r="F2" s="1969"/>
      <c r="G2" s="1194"/>
      <c r="H2" s="1195"/>
      <c r="I2" s="1196" t="s">
        <v>857</v>
      </c>
      <c r="J2" s="1969"/>
      <c r="K2" s="1969"/>
      <c r="L2" s="1969"/>
    </row>
    <row r="3" spans="1:16" ht="15.75" thickBot="1">
      <c r="A3" s="3263" t="s">
        <v>206</v>
      </c>
      <c r="B3" s="3263"/>
      <c r="C3" s="3263"/>
      <c r="D3" s="107">
        <f>'数据-基础表'!AY6</f>
        <v>46262.48</v>
      </c>
      <c r="E3" s="107">
        <f>'数据-基础表'!AZ5</f>
        <v>141821.06</v>
      </c>
      <c r="F3" s="1969"/>
      <c r="G3" s="280" t="s">
        <v>858</v>
      </c>
      <c r="H3" s="275" t="s">
        <v>859</v>
      </c>
      <c r="I3" s="1961">
        <f>ROUND('数据-基础表'!B3/'数据-基础表'!A3,2)</f>
        <v>3.07</v>
      </c>
      <c r="J3" s="1969"/>
      <c r="K3" s="1969"/>
      <c r="L3" s="1969"/>
    </row>
    <row r="4" spans="1:16" ht="15">
      <c r="A4" s="3264"/>
      <c r="B4" s="3265"/>
      <c r="C4" s="3266"/>
      <c r="D4" s="108" t="s">
        <v>204</v>
      </c>
      <c r="E4" s="109" t="s">
        <v>205</v>
      </c>
      <c r="F4" s="1969"/>
      <c r="G4" s="1197"/>
      <c r="H4" s="275" t="s">
        <v>860</v>
      </c>
      <c r="I4" s="1961">
        <f>ROUND(SUMIF('数据-基础表'!I9:AS9,"地上",'数据-基础表'!I5:AS5)/'数据-基础表'!A3,2)</f>
        <v>2.41</v>
      </c>
      <c r="J4" s="1969"/>
      <c r="K4" s="1969"/>
      <c r="L4" s="1969"/>
    </row>
    <row r="5" spans="1:16">
      <c r="A5" s="110" t="s">
        <v>207</v>
      </c>
      <c r="B5" s="3267" t="s">
        <v>230</v>
      </c>
      <c r="C5" s="3267"/>
      <c r="D5" s="111">
        <f>ROUND($D$3*E5/$E$3,2)</f>
        <v>0</v>
      </c>
      <c r="E5" s="112">
        <f>SUMIF('数据-基础表'!$11:$11,"住宅",'数据-基础表'!$5:$5)</f>
        <v>0</v>
      </c>
      <c r="F5" s="1969"/>
      <c r="G5" s="280" t="s">
        <v>861</v>
      </c>
      <c r="H5" s="275" t="s">
        <v>859</v>
      </c>
      <c r="I5" s="1961">
        <f>ROUND(E31/D31,2)</f>
        <v>3.07</v>
      </c>
      <c r="J5" s="1969"/>
      <c r="K5" s="1969"/>
      <c r="L5" s="1969"/>
    </row>
    <row r="6" spans="1:16" ht="15" thickBot="1">
      <c r="A6" s="113"/>
      <c r="B6" s="3267" t="s">
        <v>208</v>
      </c>
      <c r="C6" s="3267"/>
      <c r="D6" s="111">
        <f>ROUND($D$3*E6/$E$3,2)</f>
        <v>46262.48</v>
      </c>
      <c r="E6" s="112">
        <f>E3-E5</f>
        <v>141821.06</v>
      </c>
      <c r="F6" s="1969"/>
      <c r="G6" s="1197"/>
      <c r="H6" s="275" t="s">
        <v>860</v>
      </c>
      <c r="I6" s="1961">
        <f>ROUND(F31/D31,2)</f>
        <v>2.41</v>
      </c>
      <c r="J6" s="1969"/>
      <c r="K6" s="1969"/>
      <c r="L6" s="1969"/>
    </row>
    <row r="7" spans="1:16" ht="15">
      <c r="A7" s="3259"/>
      <c r="B7" s="3260"/>
      <c r="C7" s="3261"/>
      <c r="D7" s="108" t="s">
        <v>204</v>
      </c>
      <c r="E7" s="114" t="s">
        <v>231</v>
      </c>
      <c r="F7" s="1969"/>
      <c r="G7" s="1152" t="s">
        <v>1645</v>
      </c>
      <c r="H7" s="1153"/>
      <c r="I7" s="1831">
        <v>3.8</v>
      </c>
      <c r="J7" s="1969"/>
      <c r="K7" s="1969"/>
      <c r="L7" s="1969"/>
    </row>
    <row r="8" spans="1:16">
      <c r="A8" s="110" t="s">
        <v>209</v>
      </c>
      <c r="B8" s="115" t="s">
        <v>210</v>
      </c>
      <c r="C8" s="111" t="s">
        <v>211</v>
      </c>
      <c r="D8" s="111">
        <f t="shared" ref="D8:D15" si="0">ROUND($D$3*E8/$E$3,2)</f>
        <v>35900.01</v>
      </c>
      <c r="E8" s="116">
        <f>SUMIF('数据-基础表'!BB10:BK10,"地上",'数据-基础表'!BB5:BK5)</f>
        <v>110054.14</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9836.24</v>
      </c>
      <c r="E14" s="116">
        <f>SUMPRODUCT(('数据-基础表'!BB10:BK10="地下")*('数据-基础表'!BB11:BK11="车库—商业")*('数据-基础表'!BB5:BK5))</f>
        <v>30153.729999999996</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45736.25</v>
      </c>
      <c r="E16" s="120">
        <f>SUM(E8:E15)</f>
        <v>140207.87</v>
      </c>
      <c r="F16" s="1969"/>
      <c r="G16" s="1971"/>
      <c r="H16" s="968" t="s">
        <v>219</v>
      </c>
      <c r="I16" s="969"/>
      <c r="J16" s="1969"/>
      <c r="K16" s="3253" t="s">
        <v>2566</v>
      </c>
      <c r="L16" s="3254"/>
      <c r="M16" s="3254"/>
      <c r="N16" s="3254"/>
      <c r="O16" s="3254"/>
      <c r="P16" s="3255"/>
    </row>
    <row r="17" spans="1:19" ht="15">
      <c r="A17" s="121" t="s">
        <v>216</v>
      </c>
      <c r="B17" s="122" t="s">
        <v>217</v>
      </c>
      <c r="C17" s="2283" t="s">
        <v>2313</v>
      </c>
      <c r="D17" s="108" t="s">
        <v>204</v>
      </c>
      <c r="E17" s="124" t="s">
        <v>205</v>
      </c>
      <c r="F17" s="125"/>
      <c r="G17" s="1362"/>
      <c r="H17" s="970" t="s">
        <v>218</v>
      </c>
      <c r="I17" s="971" t="s">
        <v>2312</v>
      </c>
      <c r="J17" s="1969"/>
      <c r="K17" s="3256" t="s">
        <v>2567</v>
      </c>
      <c r="L17" s="3257"/>
      <c r="M17" s="3258"/>
      <c r="N17" s="3256" t="s">
        <v>2568</v>
      </c>
      <c r="O17" s="3257"/>
      <c r="P17" s="3258"/>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3010</v>
      </c>
      <c r="D19" s="111">
        <f t="shared" ref="D19:D26" si="1">ROUND($D$3*E19/$E$3,2)</f>
        <v>45736.25</v>
      </c>
      <c r="E19" s="134">
        <f t="shared" ref="E19:E26" si="2">SUM(F19:G19)</f>
        <v>140207.87</v>
      </c>
      <c r="F19" s="135">
        <f>'数据-基础表'!I13</f>
        <v>110054.14</v>
      </c>
      <c r="G19" s="1364">
        <f>'数据-基础表'!K13</f>
        <v>30153.729999999996</v>
      </c>
      <c r="H19" s="974">
        <f>ROUND($D$3*I19/$E$3,2)</f>
        <v>526.23</v>
      </c>
      <c r="I19" s="116">
        <f>IF($I$17="自定义",P19,M19)</f>
        <v>1613.19</v>
      </c>
      <c r="J19" s="1969"/>
      <c r="K19" s="2572">
        <f t="shared" ref="K19:K26" si="3">ROUND(E$28*E19/E$27,2)</f>
        <v>1613.19</v>
      </c>
      <c r="L19" s="275">
        <f t="shared" ref="L19:L26" si="4">ROUND(IF(COUNTIF(C19,"*住宅*")&gt;0,E$29*E19/E$32,0),2)</f>
        <v>0</v>
      </c>
      <c r="M19" s="2573">
        <f>K19+L19</f>
        <v>1613.19</v>
      </c>
      <c r="N19" s="2574"/>
      <c r="O19" s="2575"/>
      <c r="P19" s="2576">
        <f>N19+O19</f>
        <v>0</v>
      </c>
      <c r="R19" s="275">
        <f t="shared" ref="R19:S26" si="5">D19+H19</f>
        <v>46262.48</v>
      </c>
      <c r="S19" s="2286">
        <f t="shared" si="5"/>
        <v>141821.06</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45736.25</v>
      </c>
      <c r="E27" s="143">
        <f>IF(SUM(E19:E26)='数据-基础表'!BA5,SUM(E19:E26),IF(F27="地上面积有误","面积有误","地下面积有误"))</f>
        <v>140207.87</v>
      </c>
      <c r="F27" s="134">
        <f>IF(SUM(F19:F26)=E8,SUM(F19:F26),"地上面积有误")</f>
        <v>110054.14</v>
      </c>
      <c r="G27" s="112">
        <f>SUM(G19:G26)</f>
        <v>30153.729999999996</v>
      </c>
      <c r="H27" s="975">
        <f>SUM(H19:H26)</f>
        <v>526.23</v>
      </c>
      <c r="I27" s="976">
        <f>SUM(I19:I26)</f>
        <v>1613.19</v>
      </c>
      <c r="J27" s="1969"/>
      <c r="K27" s="2581">
        <f>SUM(K19:K26)</f>
        <v>1613.19</v>
      </c>
      <c r="L27" s="2582">
        <f>SUM(L19:L26)</f>
        <v>0</v>
      </c>
      <c r="M27" s="2583">
        <f>SUM(M19:M26)</f>
        <v>1613.19</v>
      </c>
      <c r="N27" s="2581">
        <f t="shared" ref="N27:O27" si="10">SUM(N19:N26)</f>
        <v>0</v>
      </c>
      <c r="O27" s="2582">
        <f t="shared" si="10"/>
        <v>0</v>
      </c>
      <c r="P27" s="2584">
        <f>SUM(P19:P26)</f>
        <v>0</v>
      </c>
      <c r="R27" s="2290">
        <f>IF(SUM(R19:R26)=$D$3,SUM(R19:R26),SUM(R19:R26)&amp;"误差"&amp;ROUND(SUM(R19:R26)-$D$3,2))</f>
        <v>46262.48</v>
      </c>
      <c r="S27" s="275">
        <f>IF(SUM(S19:S26)=$E$3,SUM(S19:S26),SUM(S19:S26)&amp;"误差"&amp;ROUND(SUM(S19:S26)-E3,2))</f>
        <v>141821.06</v>
      </c>
    </row>
    <row r="28" spans="1:19">
      <c r="A28" s="138"/>
      <c r="B28" s="115" t="s">
        <v>227</v>
      </c>
      <c r="C28" s="136" t="s">
        <v>228</v>
      </c>
      <c r="D28" s="111">
        <f>ROUND($D$3*E28/$E$3,2)</f>
        <v>526.23</v>
      </c>
      <c r="E28" s="134">
        <f>SUM(F28:G28)</f>
        <v>1613.1899999999998</v>
      </c>
      <c r="F28" s="144">
        <f>'数据-基础表'!BQ5+'数据-基础表'!BS5</f>
        <v>1613.1899999999998</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526.23</v>
      </c>
      <c r="E30" s="134">
        <f>SUM(E28:E29)</f>
        <v>1613.1899999999998</v>
      </c>
      <c r="F30" s="134">
        <f>SUM(F28:F29)</f>
        <v>1613.1899999999998</v>
      </c>
      <c r="G30" s="112">
        <f>SUM(G28:G29)</f>
        <v>0</v>
      </c>
      <c r="H30" s="1969"/>
      <c r="I30" s="1969"/>
      <c r="J30" s="1969"/>
      <c r="K30" s="1969"/>
      <c r="L30" s="1969"/>
    </row>
    <row r="31" spans="1:19" ht="32.25" customHeight="1" thickBot="1">
      <c r="A31" s="1366"/>
      <c r="B31" s="1367" t="s">
        <v>229</v>
      </c>
      <c r="C31" s="2315" t="s">
        <v>2322</v>
      </c>
      <c r="D31" s="1368">
        <f>D27+D30</f>
        <v>46262.48</v>
      </c>
      <c r="E31" s="1368">
        <f>E27+E30</f>
        <v>141821.06</v>
      </c>
      <c r="F31" s="1369">
        <f>F27+F30</f>
        <v>111667.33</v>
      </c>
      <c r="G31" s="1370">
        <f>G27+G30</f>
        <v>30153.729999999996</v>
      </c>
      <c r="H31" s="1969"/>
      <c r="I31" s="1969"/>
      <c r="J31" s="1969"/>
      <c r="K31" s="1969"/>
      <c r="L31" s="1969"/>
    </row>
    <row r="32" spans="1:19">
      <c r="A32" s="1969"/>
      <c r="B32" s="2327" t="s">
        <v>2321</v>
      </c>
      <c r="C32" s="2611"/>
      <c r="D32" s="1197"/>
      <c r="E32" s="1197">
        <f>SUMIF(C19:C26,"*住宅*",E19:E26)</f>
        <v>0</v>
      </c>
      <c r="F32" s="1197"/>
      <c r="G32" s="1197"/>
    </row>
    <row r="33" spans="4:7">
      <c r="D33" s="1973"/>
      <c r="G33" s="1970">
        <f>'[1]数据-汇总表'!$G$31</f>
        <v>14697.959999999997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S29" sqref="S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43768</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3005</v>
      </c>
      <c r="D6" s="2293">
        <f>SUMIF(项目基本情况!D$15:I$15,C6,项目基本情况!D$18:I$18)</f>
        <v>40</v>
      </c>
      <c r="E6" s="2294">
        <f>IF(B6="","",SUMIF(项目基本情况!D$15:I$15,C6,项目基本情况!D$17:I$17))</f>
        <v>56649</v>
      </c>
      <c r="F6" s="174">
        <f>SUMIF(项目基本情况!D$15:I$15,C6,项目基本情况!D$19:I$19)</f>
        <v>35.29</v>
      </c>
      <c r="G6" s="175">
        <f>IF(ISERROR(ROUND(POWER(1+H6,D6-F6)*(POWER(1+H6,F6)-1)/(POWER(1+H6,D6)-1),3)),0,ROUND(POWER(1+H6,D6-F6)*(POWER(1+H6,F6)-1)/(POWER(1+H6,D6)-1),3))</f>
        <v>0.96199999999999997</v>
      </c>
      <c r="H6" s="2977">
        <v>5.5E-2</v>
      </c>
      <c r="I6" s="2977">
        <v>0.06</v>
      </c>
      <c r="J6" s="176">
        <v>0.08</v>
      </c>
      <c r="K6" s="179">
        <f>SUMIF('数据-汇总表'!C$19:C$33,'数据-取费表'!A6,'数据-汇总表'!E$19:E$33)</f>
        <v>140207.87</v>
      </c>
      <c r="L6" s="2978">
        <v>3000</v>
      </c>
      <c r="M6" s="177">
        <f t="shared" ref="M6:M14" si="0">ROUND(K6*L6/10000,0)</f>
        <v>42062</v>
      </c>
      <c r="N6" s="2979">
        <v>0</v>
      </c>
      <c r="O6" s="177">
        <f>IF($N$5="成新度","——",ROUND(M6*N6,0))</f>
        <v>0</v>
      </c>
      <c r="P6" s="178">
        <f>IF($N$5="成新度","——",M6-O6)</f>
        <v>42062</v>
      </c>
      <c r="Q6" s="2980">
        <v>0.35</v>
      </c>
      <c r="R6" s="179">
        <f>SUMIF('数据-汇总表'!C$19:C$33,A6,'数据-汇总表'!R$19:R$33)</f>
        <v>46262.48</v>
      </c>
      <c r="S6" s="132">
        <f>IF('数据-汇总表'!$I$17="按面积比例",SUMIF('数据-汇总表'!C$19:C$33,A6,'数据-汇总表'!K$19:K$33),SUMIF('数据-汇总表'!C$19:C$33,A6,'数据-汇总表'!N$19:N$33))</f>
        <v>1613.19</v>
      </c>
      <c r="T6" s="2219">
        <f>IF($T$4="按面积比例",IF(ISERROR(ROUND($M$14*S6/S$16,0)),"0",ROUND($M$14*S6/S$16,0)),"需自行计算录入")</f>
        <v>355</v>
      </c>
      <c r="U6" s="180">
        <v>2.4</v>
      </c>
      <c r="V6" s="181">
        <v>0.02</v>
      </c>
      <c r="W6" s="181">
        <v>0.1</v>
      </c>
      <c r="X6" s="2306"/>
      <c r="Y6" s="182">
        <v>1</v>
      </c>
      <c r="Z6" s="183"/>
      <c r="AA6" s="176"/>
      <c r="AB6" s="176"/>
      <c r="AC6" s="2309"/>
      <c r="AD6" s="184"/>
      <c r="AE6" s="972">
        <f ca="1">IF(AN6="",0,SUMIF(INDIRECT("'"&amp;AN6&amp;"'"&amp;"!E:E"),$AE$5,INDIRECT("'"&amp;AN6&amp;"'"&amp;"!F:F")))</f>
        <v>33.29</v>
      </c>
      <c r="AF6" s="141"/>
      <c r="AG6" s="1209">
        <f>IF(AF6="",0,AE6-AF6)</f>
        <v>0</v>
      </c>
      <c r="AH6" s="141"/>
      <c r="AI6" s="187">
        <v>365</v>
      </c>
      <c r="AJ6" s="188"/>
      <c r="AK6" s="189">
        <v>1.4999999999999999E-2</v>
      </c>
      <c r="AL6" s="190">
        <v>1.5E-3</v>
      </c>
      <c r="AM6" s="2991">
        <v>0.02</v>
      </c>
      <c r="AN6" s="2356" t="s">
        <v>3011</v>
      </c>
      <c r="AO6" s="1985"/>
      <c r="AP6" s="1200">
        <f>ROUND(1-1/(1+H6)^F6,3)</f>
        <v>0.84899999999999998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1613.1899999999998</v>
      </c>
      <c r="L14" s="193">
        <v>2200</v>
      </c>
      <c r="M14" s="177">
        <f t="shared" si="0"/>
        <v>355</v>
      </c>
      <c r="N14" s="194">
        <v>0</v>
      </c>
      <c r="O14" s="177">
        <f t="shared" si="3"/>
        <v>0</v>
      </c>
      <c r="P14" s="178">
        <f t="shared" si="4"/>
        <v>355</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0.96199999999999997</v>
      </c>
      <c r="H16" s="203">
        <f>ROUND(SUMPRODUCT(H6:H13,K6:K13)/SUMPRODUCT((H6:H13&gt;0)*(K6:K13)),3)</f>
        <v>5.5E-2</v>
      </c>
      <c r="I16" s="204"/>
      <c r="J16" s="204"/>
      <c r="K16" s="205">
        <f>SUM(K6:K15)</f>
        <v>141821.06</v>
      </c>
      <c r="L16" s="206">
        <f>ROUND(M16*10000/SUM(K6:K14),0)</f>
        <v>2991</v>
      </c>
      <c r="M16" s="206">
        <f>SUM(M6:M14)</f>
        <v>42417</v>
      </c>
      <c r="N16" s="207">
        <f>ROUND(SUMPRODUCT(M6:M14,N6:N14)/M16,3)</f>
        <v>0</v>
      </c>
      <c r="O16" s="206">
        <f>SUM(O6:O14)</f>
        <v>0</v>
      </c>
      <c r="P16" s="206">
        <f>SUM(P6:P14)</f>
        <v>42417</v>
      </c>
      <c r="Q16" s="208">
        <f>ROUND(SUMPRODUCT(Q6:Q13,K6:K13)/SUMPRODUCT((Q6:Q13&gt;0)*(K6:K13)),2)</f>
        <v>0.35</v>
      </c>
      <c r="R16" s="2296">
        <f>SUM(R6:R13)</f>
        <v>46262.48</v>
      </c>
      <c r="S16" s="209">
        <f>SUM(S6:S13)</f>
        <v>1613.19</v>
      </c>
      <c r="T16" s="210">
        <f>IF(SUMIF(T6:T13,"&lt;9E307")=M14,SUMIF(T6:T13,"&lt;9E307"),"有误，请检查")</f>
        <v>355</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0.84899999999999998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3479" t="s">
        <v>3018</v>
      </c>
      <c r="T19" s="3479" t="s">
        <v>3019</v>
      </c>
      <c r="U19" s="3479" t="s">
        <v>3020</v>
      </c>
      <c r="V19" s="3479" t="s">
        <v>3021</v>
      </c>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2335</v>
      </c>
      <c r="D20" s="1978"/>
      <c r="E20" s="1977"/>
      <c r="F20" s="1977"/>
      <c r="G20" s="1977"/>
      <c r="H20" s="1977"/>
      <c r="I20" s="1977"/>
      <c r="J20" s="1977"/>
      <c r="K20" s="1976"/>
      <c r="L20" s="1976"/>
      <c r="M20" s="1974"/>
      <c r="N20" s="1974"/>
      <c r="O20" s="1974"/>
      <c r="P20" s="1974"/>
      <c r="Q20" s="1974"/>
      <c r="R20" s="1974" t="s">
        <v>3012</v>
      </c>
      <c r="S20" s="1974">
        <f>30609.42-6069.74</f>
        <v>24539.68</v>
      </c>
      <c r="T20" s="1974">
        <f>ROUND(S20/$S$26,2)</f>
        <v>0.18</v>
      </c>
      <c r="U20" s="1974">
        <v>5</v>
      </c>
      <c r="V20" s="1974">
        <v>1</v>
      </c>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t="s">
        <v>3013</v>
      </c>
      <c r="S21" s="1974">
        <f>31148.28-6880.11</f>
        <v>24268.17</v>
      </c>
      <c r="T21" s="1974">
        <f t="shared" ref="T21:T25" si="9">ROUND(S21/$S$26,2)</f>
        <v>0.17</v>
      </c>
      <c r="U21" s="1974">
        <f>U20*V21</f>
        <v>3.5</v>
      </c>
      <c r="V21" s="1974">
        <v>0.7</v>
      </c>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t="s">
        <v>3014</v>
      </c>
      <c r="S22" s="1974">
        <f>31386.4-1376.6-6501.82</f>
        <v>23507.980000000003</v>
      </c>
      <c r="T22" s="1974">
        <f t="shared" si="9"/>
        <v>0.17</v>
      </c>
      <c r="U22" s="1974">
        <f>U20*V22</f>
        <v>3</v>
      </c>
      <c r="V22" s="1974">
        <v>0.6</v>
      </c>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t="s">
        <v>3015</v>
      </c>
      <c r="S23" s="1974">
        <f>26279.08-7391.08</f>
        <v>18888</v>
      </c>
      <c r="T23" s="1974">
        <f t="shared" si="9"/>
        <v>0.13</v>
      </c>
      <c r="U23" s="1974">
        <f>U20*V23</f>
        <v>2.75</v>
      </c>
      <c r="V23" s="1974">
        <v>0.55000000000000004</v>
      </c>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t="s">
        <v>3016</v>
      </c>
      <c r="S24" s="1974">
        <f>11459.23-8530.52</f>
        <v>2928.7099999999991</v>
      </c>
      <c r="T24" s="1974">
        <f t="shared" si="9"/>
        <v>0.02</v>
      </c>
      <c r="U24" s="1974">
        <f>U20*V24</f>
        <v>2.5</v>
      </c>
      <c r="V24" s="1974">
        <v>0.5</v>
      </c>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3479" t="s">
        <v>3017</v>
      </c>
      <c r="S25" s="1974">
        <f>7391.08+8530.52+'数据-基础表'!K13</f>
        <v>46075.329999999994</v>
      </c>
      <c r="T25" s="1974">
        <f t="shared" si="9"/>
        <v>0.33</v>
      </c>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f>S20+S21+S22+S23+S24+S25</f>
        <v>140207.87</v>
      </c>
      <c r="T26" s="1974"/>
      <c r="U26" s="1974">
        <f>U20*T20+U21*T21+U22*T22+U23*T23+U24*T24</f>
        <v>2.4124999999999996</v>
      </c>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0</v>
      </c>
      <c r="C28" s="2330"/>
      <c r="D28" s="1981"/>
      <c r="E28" s="1979"/>
      <c r="F28" s="1979"/>
      <c r="G28" s="1977"/>
      <c r="H28" s="1977"/>
      <c r="I28" s="1977"/>
      <c r="J28" s="1977"/>
      <c r="K28" s="1976"/>
      <c r="L28" s="1976"/>
      <c r="M28" s="1974"/>
      <c r="N28" s="1974"/>
      <c r="O28" s="1974"/>
      <c r="P28" s="1974"/>
      <c r="Q28" s="1974"/>
      <c r="R28" s="1974"/>
      <c r="S28" s="1974">
        <f>7391.08+8530.52</f>
        <v>15921.6</v>
      </c>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v>0</v>
      </c>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60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90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10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v>10</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0" sqref="F2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68" t="s">
        <v>1663</v>
      </c>
      <c r="B1" s="3269"/>
      <c r="C1" s="3269"/>
      <c r="D1" s="3269"/>
      <c r="E1" s="3269"/>
      <c r="F1" s="3269"/>
      <c r="G1" s="326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2844</v>
      </c>
      <c r="B1" s="2996">
        <f>SUM(B14:B23)</f>
        <v>141821.06</v>
      </c>
      <c r="C1" s="2997"/>
      <c r="D1" s="2997"/>
      <c r="E1" s="2997"/>
      <c r="F1" s="2997"/>
    </row>
    <row r="2" spans="1:9" ht="16.5">
      <c r="A2" s="2996" t="s">
        <v>2845</v>
      </c>
      <c r="B2" s="2996">
        <f>SUM(C14:C23)</f>
        <v>46262.48</v>
      </c>
      <c r="C2" s="2997"/>
      <c r="D2" s="2997"/>
      <c r="E2" s="2997"/>
      <c r="F2" s="2997"/>
    </row>
    <row r="3" spans="1:9" ht="16.5">
      <c r="A3" s="2996" t="s">
        <v>2846</v>
      </c>
      <c r="B3" s="2998">
        <f>项目基本情况!D3</f>
        <v>43768</v>
      </c>
      <c r="C3" s="2997"/>
      <c r="D3" s="2997"/>
      <c r="E3" s="2997"/>
      <c r="F3" s="2997"/>
    </row>
    <row r="4" spans="1:9" ht="33">
      <c r="A4" s="2996" t="s">
        <v>2847</v>
      </c>
      <c r="B4" s="2996" t="s">
        <v>2848</v>
      </c>
      <c r="C4" s="2996" t="s">
        <v>2849</v>
      </c>
      <c r="D4" s="2996" t="s">
        <v>2850</v>
      </c>
      <c r="E4" s="2997"/>
      <c r="F4" s="2997"/>
    </row>
    <row r="5" spans="1:9" ht="16.5">
      <c r="A5" s="2996" t="s">
        <v>2851</v>
      </c>
      <c r="B5" s="2996">
        <f ca="1">SUM(D14:D23)</f>
        <v>21373</v>
      </c>
      <c r="C5" s="2996">
        <f ca="1">ROUND(B5*10000/$B$1,0)</f>
        <v>1507</v>
      </c>
      <c r="D5" s="2996">
        <f ca="1">ROUND(B5*10000/$B$2,0)</f>
        <v>4620</v>
      </c>
      <c r="E5" s="2997"/>
      <c r="F5" s="2997"/>
    </row>
    <row r="6" spans="1:9" ht="16.5">
      <c r="A6" s="2996" t="s">
        <v>2852</v>
      </c>
      <c r="B6" s="2996">
        <f ca="1">SUM(G14:G23)</f>
        <v>21373</v>
      </c>
      <c r="C6" s="2996">
        <f t="shared" ref="C6:C8" ca="1" si="0">ROUND(B6*10000/$B$1,0)</f>
        <v>1507</v>
      </c>
      <c r="D6" s="2996">
        <f t="shared" ref="D6:D8" ca="1" si="1">ROUND(B6*10000/$B$2,0)</f>
        <v>4620</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141821.06</v>
      </c>
      <c r="C14" s="3000">
        <f>结果表!K38</f>
        <v>46262.48</v>
      </c>
      <c r="D14" s="3000">
        <f ca="1">结果表!C42</f>
        <v>21373</v>
      </c>
      <c r="E14" s="3000">
        <f ca="1">ROUND(D14*10000/B14,0)</f>
        <v>1507</v>
      </c>
      <c r="F14" s="3000">
        <f ca="1">ROUND(D14*10000/C14,0)</f>
        <v>4620</v>
      </c>
      <c r="G14" s="3000">
        <f ca="1">结果表!C44</f>
        <v>21373</v>
      </c>
      <c r="H14" s="3000" t="str">
        <f>结果表!C45</f>
        <v>——</v>
      </c>
      <c r="I14" s="3000" t="str">
        <f>结果表!C46</f>
        <v>——</v>
      </c>
    </row>
    <row r="15" spans="1:9" ht="16.5">
      <c r="A15" s="3003" t="s">
        <v>2861</v>
      </c>
      <c r="B15" s="3004"/>
      <c r="C15" s="3004"/>
      <c r="D15" s="3004"/>
      <c r="E15" s="3000" t="e">
        <f t="shared" ref="E15:E23" si="2">ROUND(D15*10000/B15,0)</f>
        <v>#DIV/0!</v>
      </c>
      <c r="F15" s="3000" t="e">
        <f t="shared" ref="F15:F23" si="3">ROUND(D15*10000/C15,0)</f>
        <v>#DIV/0!</v>
      </c>
      <c r="G15" s="3001"/>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Normal="100" zoomScaleSheetLayoutView="100" zoomScalePageLayoutView="80" workbookViewId="0">
      <selection activeCell="C51" sqref="C5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15" t="str">
        <f>项目基本情况!K2</f>
        <v>出让国有建设用地使用权</v>
      </c>
      <c r="B2" s="3316"/>
      <c r="C2" s="3317"/>
      <c r="D2" s="3317"/>
      <c r="E2" s="3317"/>
      <c r="F2" s="3317"/>
      <c r="G2" s="3316"/>
      <c r="H2" s="3316"/>
      <c r="I2" s="3318"/>
      <c r="J2" s="2015"/>
      <c r="K2" s="2014"/>
      <c r="L2" s="2014"/>
      <c r="M2" s="2014"/>
      <c r="N2" s="2014"/>
      <c r="O2" s="2014"/>
      <c r="P2" s="2014"/>
      <c r="Q2" s="2014"/>
      <c r="R2" s="2014"/>
      <c r="S2" s="2014"/>
      <c r="T2" s="2014"/>
      <c r="U2" s="2014"/>
      <c r="V2" s="2014"/>
    </row>
    <row r="3" spans="1:22" ht="14.25">
      <c r="A3" s="3326" t="s">
        <v>298</v>
      </c>
      <c r="B3" s="3327"/>
      <c r="C3" s="3327"/>
      <c r="D3" s="3327"/>
      <c r="E3" s="3327"/>
      <c r="F3" s="3327"/>
      <c r="G3" s="3327"/>
      <c r="H3" s="3327"/>
      <c r="I3" s="3327"/>
      <c r="J3" s="2015"/>
      <c r="K3" s="2014"/>
      <c r="L3" s="2014"/>
      <c r="M3" s="2014"/>
      <c r="N3" s="2014"/>
      <c r="O3" s="2014"/>
      <c r="P3" s="2014"/>
      <c r="Q3" s="2014"/>
      <c r="R3" s="2014"/>
      <c r="S3" s="2014"/>
      <c r="T3" s="2014"/>
      <c r="U3" s="2014"/>
      <c r="V3" s="2014"/>
    </row>
    <row r="4" spans="1:22" ht="14.25">
      <c r="A4" s="258" t="s">
        <v>299</v>
      </c>
      <c r="B4" s="259" t="s">
        <v>300</v>
      </c>
      <c r="C4" s="260" t="s">
        <v>3224</v>
      </c>
      <c r="D4" s="260" t="s">
        <v>3225</v>
      </c>
      <c r="E4" s="3290" t="s">
        <v>301</v>
      </c>
      <c r="F4" s="3332"/>
      <c r="G4" s="3332"/>
      <c r="H4" s="3332"/>
      <c r="I4" s="3291"/>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19" t="s">
        <v>302</v>
      </c>
      <c r="B5" s="3320">
        <v>25</v>
      </c>
      <c r="C5" s="3328"/>
      <c r="D5" s="3331"/>
      <c r="E5" s="261" t="s">
        <v>303</v>
      </c>
      <c r="F5" s="262"/>
      <c r="G5" s="262"/>
      <c r="H5" s="262"/>
      <c r="I5" s="263"/>
      <c r="J5" s="2015"/>
      <c r="K5" s="2014"/>
      <c r="L5" s="2014"/>
      <c r="M5" s="2014"/>
      <c r="N5" s="2014"/>
      <c r="O5" s="2014"/>
      <c r="P5" s="2014"/>
      <c r="Q5" s="2014"/>
      <c r="R5" s="2014"/>
      <c r="S5" s="2014"/>
      <c r="T5" s="2014"/>
      <c r="U5" s="2014"/>
      <c r="V5" s="2014"/>
    </row>
    <row r="6" spans="1:22" ht="14.25">
      <c r="A6" s="3319"/>
      <c r="B6" s="3320"/>
      <c r="C6" s="3329"/>
      <c r="D6" s="3331"/>
      <c r="E6" s="261" t="s">
        <v>304</v>
      </c>
      <c r="F6" s="262"/>
      <c r="G6" s="262"/>
      <c r="H6" s="262"/>
      <c r="I6" s="263"/>
      <c r="J6" s="2015"/>
      <c r="K6" s="2014"/>
      <c r="L6" s="2014"/>
      <c r="M6" s="2014"/>
      <c r="N6" s="2014"/>
      <c r="O6" s="2014"/>
      <c r="P6" s="2014"/>
      <c r="Q6" s="2014"/>
      <c r="R6" s="2014"/>
      <c r="S6" s="2014"/>
      <c r="T6" s="2014"/>
      <c r="U6" s="2014"/>
      <c r="V6" s="2014"/>
    </row>
    <row r="7" spans="1:22" ht="14.25">
      <c r="A7" s="3319"/>
      <c r="B7" s="3320"/>
      <c r="C7" s="3330"/>
      <c r="D7" s="3331"/>
      <c r="E7" s="261" t="s">
        <v>305</v>
      </c>
      <c r="F7" s="262"/>
      <c r="G7" s="262"/>
      <c r="H7" s="262"/>
      <c r="I7" s="263"/>
      <c r="J7" s="2015"/>
      <c r="K7" s="2014"/>
      <c r="L7" s="2014"/>
      <c r="M7" s="2014"/>
      <c r="N7" s="2014"/>
      <c r="O7" s="2014"/>
      <c r="P7" s="2014"/>
      <c r="Q7" s="2014"/>
      <c r="R7" s="2014"/>
      <c r="S7" s="2014"/>
      <c r="T7" s="2014"/>
      <c r="U7" s="2014"/>
      <c r="V7" s="2014"/>
    </row>
    <row r="8" spans="1:22" ht="14.25">
      <c r="A8" s="3319" t="s">
        <v>306</v>
      </c>
      <c r="B8" s="3320">
        <v>15</v>
      </c>
      <c r="C8" s="3328"/>
      <c r="D8" s="3331"/>
      <c r="E8" s="261" t="s">
        <v>307</v>
      </c>
      <c r="F8" s="262"/>
      <c r="G8" s="262"/>
      <c r="H8" s="262"/>
      <c r="I8" s="263"/>
      <c r="J8" s="2015"/>
      <c r="K8" s="2014"/>
      <c r="L8" s="2014"/>
      <c r="M8" s="2014"/>
      <c r="N8" s="2014"/>
      <c r="O8" s="2014"/>
      <c r="P8" s="2014"/>
      <c r="Q8" s="2014"/>
      <c r="R8" s="2014"/>
      <c r="S8" s="2014"/>
      <c r="T8" s="2014"/>
      <c r="U8" s="2014"/>
      <c r="V8" s="2014"/>
    </row>
    <row r="9" spans="1:22" ht="14.25">
      <c r="A9" s="3319"/>
      <c r="B9" s="3320"/>
      <c r="C9" s="3330"/>
      <c r="D9" s="3331"/>
      <c r="E9" s="261" t="s">
        <v>308</v>
      </c>
      <c r="F9" s="262"/>
      <c r="G9" s="262"/>
      <c r="H9" s="262"/>
      <c r="I9" s="263"/>
      <c r="J9" s="2015"/>
      <c r="K9" s="2014"/>
      <c r="L9" s="2014"/>
      <c r="M9" s="2014"/>
      <c r="N9" s="2014"/>
      <c r="O9" s="2014"/>
      <c r="P9" s="2014"/>
      <c r="Q9" s="2014"/>
      <c r="R9" s="2014"/>
      <c r="S9" s="2014"/>
      <c r="T9" s="2014"/>
      <c r="U9" s="2014"/>
      <c r="V9" s="2014"/>
    </row>
    <row r="10" spans="1:22" ht="14.25">
      <c r="A10" s="3319" t="s">
        <v>309</v>
      </c>
      <c r="B10" s="3320">
        <v>15</v>
      </c>
      <c r="C10" s="3328"/>
      <c r="D10" s="3331"/>
      <c r="E10" s="261" t="s">
        <v>310</v>
      </c>
      <c r="F10" s="262"/>
      <c r="G10" s="262"/>
      <c r="H10" s="262"/>
      <c r="I10" s="263"/>
      <c r="J10" s="2015"/>
      <c r="K10" s="2014"/>
      <c r="L10" s="2014"/>
      <c r="M10" s="2014"/>
      <c r="N10" s="2014"/>
      <c r="O10" s="2014"/>
      <c r="P10" s="2014"/>
      <c r="Q10" s="2014"/>
      <c r="R10" s="2014"/>
      <c r="S10" s="2014"/>
      <c r="T10" s="2014"/>
      <c r="U10" s="2014"/>
      <c r="V10" s="2014"/>
    </row>
    <row r="11" spans="1:22" ht="14.25">
      <c r="A11" s="3319"/>
      <c r="B11" s="3320"/>
      <c r="C11" s="3330"/>
      <c r="D11" s="3331"/>
      <c r="E11" s="261" t="s">
        <v>311</v>
      </c>
      <c r="F11" s="262"/>
      <c r="G11" s="262"/>
      <c r="H11" s="262"/>
      <c r="I11" s="263"/>
      <c r="J11" s="2015"/>
      <c r="K11" s="2014"/>
      <c r="L11" s="2014"/>
      <c r="M11" s="2014"/>
      <c r="N11" s="2014"/>
      <c r="O11" s="2014"/>
      <c r="P11" s="2014"/>
      <c r="Q11" s="2014"/>
      <c r="R11" s="2014"/>
      <c r="S11" s="2014"/>
      <c r="T11" s="2014"/>
      <c r="U11" s="2014"/>
      <c r="V11" s="2014"/>
    </row>
    <row r="12" spans="1:22" ht="14.25">
      <c r="A12" s="3319" t="s">
        <v>312</v>
      </c>
      <c r="B12" s="3320">
        <v>15</v>
      </c>
      <c r="C12" s="3328"/>
      <c r="D12" s="3331"/>
      <c r="E12" s="261" t="s">
        <v>313</v>
      </c>
      <c r="F12" s="262"/>
      <c r="G12" s="262"/>
      <c r="H12" s="262"/>
      <c r="I12" s="263"/>
      <c r="J12" s="2015"/>
      <c r="K12" s="2014"/>
      <c r="L12" s="2014"/>
      <c r="M12" s="2014"/>
      <c r="N12" s="2014"/>
      <c r="O12" s="2014"/>
      <c r="P12" s="2014"/>
      <c r="Q12" s="2014"/>
      <c r="R12" s="2014"/>
      <c r="S12" s="2014"/>
      <c r="T12" s="2014"/>
      <c r="U12" s="2014"/>
      <c r="V12" s="2014"/>
    </row>
    <row r="13" spans="1:22" ht="14.25">
      <c r="A13" s="3319"/>
      <c r="B13" s="3320"/>
      <c r="C13" s="3330"/>
      <c r="D13" s="3331"/>
      <c r="E13" s="261" t="s">
        <v>314</v>
      </c>
      <c r="F13" s="262"/>
      <c r="G13" s="262"/>
      <c r="H13" s="262"/>
      <c r="I13" s="263"/>
      <c r="J13" s="2015"/>
      <c r="K13" s="2014"/>
      <c r="L13" s="2014"/>
      <c r="M13" s="2014"/>
      <c r="N13" s="2014"/>
      <c r="O13" s="2014"/>
      <c r="P13" s="2014"/>
      <c r="Q13" s="2014"/>
      <c r="R13" s="2014"/>
      <c r="S13" s="2014"/>
      <c r="T13" s="2014"/>
      <c r="U13" s="2014"/>
      <c r="V13" s="2014"/>
    </row>
    <row r="14" spans="1:22" ht="14.25">
      <c r="A14" s="3319" t="s">
        <v>315</v>
      </c>
      <c r="B14" s="3320">
        <v>30</v>
      </c>
      <c r="C14" s="3328">
        <v>7</v>
      </c>
      <c r="D14" s="3331">
        <v>3</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19"/>
      <c r="B15" s="3320"/>
      <c r="C15" s="3329"/>
      <c r="D15" s="3331"/>
      <c r="E15" s="261" t="s">
        <v>317</v>
      </c>
      <c r="F15" s="262"/>
      <c r="G15" s="262"/>
      <c r="H15" s="262"/>
      <c r="I15" s="263"/>
      <c r="J15" s="2015"/>
      <c r="K15" s="2014"/>
      <c r="L15" s="2014"/>
      <c r="M15" s="2014"/>
      <c r="N15" s="2014"/>
      <c r="O15" s="2014"/>
      <c r="P15" s="2014"/>
      <c r="Q15" s="2014"/>
      <c r="R15" s="2014"/>
      <c r="S15" s="2014"/>
      <c r="T15" s="2014"/>
      <c r="U15" s="2014"/>
      <c r="V15" s="2014"/>
    </row>
    <row r="16" spans="1:22" ht="14.25">
      <c r="A16" s="3319"/>
      <c r="B16" s="3320"/>
      <c r="C16" s="3330"/>
      <c r="D16" s="3331"/>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7</v>
      </c>
      <c r="D17" s="265">
        <f>SUM(D5:D16)</f>
        <v>3</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0.7</v>
      </c>
      <c r="D18" s="267">
        <f>1-C18</f>
        <v>0.30000000000000004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13085</v>
      </c>
      <c r="D19" s="271">
        <f ca="1">SUMIF(INDIRECT("'"&amp;D4&amp;"'"&amp;"!A:A"),结果表!B19,INDIRECT("'"&amp;D4&amp;"'"&amp;"!B:B"))</f>
        <v>40712</v>
      </c>
      <c r="E19" s="268" t="s">
        <v>323</v>
      </c>
      <c r="F19" s="269" t="s">
        <v>322</v>
      </c>
      <c r="G19" s="272">
        <f ca="1">ROUND(C19*$C$18+D19*$D$18,0)</f>
        <v>21373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923</v>
      </c>
      <c r="D20" s="277">
        <f ca="1">SUMIF(INDIRECT("'"&amp;D4&amp;"'"&amp;"!A:A"),结果表!B20,INDIRECT("'"&amp;D4&amp;"'"&amp;"!B:B"))</f>
        <v>2871</v>
      </c>
      <c r="E20" s="274"/>
      <c r="F20" s="275" t="s">
        <v>325</v>
      </c>
      <c r="G20" s="278">
        <f ca="1">ROUND(C20*$C$18+D20*$D$18,0)</f>
        <v>1507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2828</v>
      </c>
      <c r="D21" s="151">
        <f ca="1">SUMIF(INDIRECT("'"&amp;D4&amp;"'"&amp;"!A:A"),结果表!B21,INDIRECT("'"&amp;D4&amp;"'"&amp;"!B:B"))</f>
        <v>8800</v>
      </c>
      <c r="E21" s="274"/>
      <c r="F21" s="280" t="s">
        <v>327</v>
      </c>
      <c r="G21" s="282">
        <f ca="1">ROUND(C21*$C$18+D21*$D$18,0)</f>
        <v>4620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2.1113488727550629</v>
      </c>
      <c r="E22" s="284"/>
      <c r="F22" s="285"/>
      <c r="G22" s="286">
        <f ca="1">ROUND(G19/('数据-汇总表'!D3/666.67),0)</f>
        <v>308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2"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4"/>
      <c r="B25" s="1317" t="s">
        <v>331</v>
      </c>
      <c r="C25" s="290">
        <f>IF(B30=0,0,C30)</f>
        <v>0</v>
      </c>
      <c r="D25" s="291"/>
      <c r="E25" s="311"/>
      <c r="F25" s="311"/>
      <c r="G25" s="311"/>
      <c r="H25" s="311"/>
      <c r="I25" s="311"/>
      <c r="J25" s="2014"/>
      <c r="K25" s="1251" t="str">
        <f ca="1">项目基本情况!B16&amp;"国有建设用地使用权价格："&amp;O38&amp;"万元"</f>
        <v>出让国有建设用地使用权价格：21373万元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大写金额：人民币贰亿壹仟叁佰柒拾叁万元整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单位面积地价：4620元/平方米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楼面地价：1507元/平方米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抵押价格：21373万元</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 ca="1">IF(K29="——","——","大写金额：人民币"&amp;NUMBERSTRING(INT(O39*10000),2)&amp;"元整")</f>
        <v>大写金额：人民币贰亿壹仟叁佰柒拾叁万元整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21373</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1507</v>
      </c>
      <c r="D33" s="1382" t="s">
        <v>1691</v>
      </c>
      <c r="E33" s="3292"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4620</v>
      </c>
      <c r="D34" s="1384" t="s">
        <v>1691</v>
      </c>
      <c r="E34" s="3293"/>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308</v>
      </c>
      <c r="D35" s="1387" t="s">
        <v>1693</v>
      </c>
      <c r="E35" s="3294"/>
      <c r="F35" s="301" t="s">
        <v>342</v>
      </c>
      <c r="G35" s="982"/>
      <c r="H35" s="981" t="s">
        <v>343</v>
      </c>
      <c r="I35" s="311"/>
      <c r="J35" s="2014"/>
      <c r="K35" s="3298" t="s">
        <v>350</v>
      </c>
      <c r="L35" s="3298" t="s">
        <v>351</v>
      </c>
      <c r="M35" s="1260" t="s">
        <v>352</v>
      </c>
      <c r="N35" s="3298" t="s">
        <v>353</v>
      </c>
      <c r="O35" s="3298" t="s">
        <v>354</v>
      </c>
      <c r="P35" s="2014"/>
      <c r="V35" s="2014"/>
    </row>
    <row r="36" spans="1:26" ht="16.5" customHeight="1">
      <c r="A36" s="303" t="s">
        <v>344</v>
      </c>
      <c r="B36" s="304" t="s">
        <v>333</v>
      </c>
      <c r="C36" s="305" t="s">
        <v>345</v>
      </c>
      <c r="D36" s="305" t="s">
        <v>346</v>
      </c>
      <c r="E36" s="306" t="s">
        <v>347</v>
      </c>
      <c r="F36" s="311"/>
      <c r="G36" s="311"/>
      <c r="H36" s="311"/>
      <c r="I36" s="311"/>
      <c r="J36" s="2016"/>
      <c r="K36" s="3299"/>
      <c r="L36" s="3299"/>
      <c r="M36" s="1262" t="s">
        <v>355</v>
      </c>
      <c r="N36" s="3299"/>
      <c r="O36" s="3299"/>
      <c r="P36" s="2014"/>
      <c r="V36" s="2014"/>
    </row>
    <row r="37" spans="1:26" ht="16.5" customHeight="1" thickBot="1">
      <c r="A37" s="1256" t="s">
        <v>348</v>
      </c>
      <c r="B37" s="307"/>
      <c r="C37" s="294"/>
      <c r="D37" s="294"/>
      <c r="E37" s="295"/>
      <c r="F37" s="311"/>
      <c r="G37" s="311"/>
      <c r="H37" s="311"/>
      <c r="I37" s="311"/>
      <c r="J37" s="2016"/>
      <c r="K37" s="3300"/>
      <c r="L37" s="3300"/>
      <c r="M37" s="1263"/>
      <c r="N37" s="3300"/>
      <c r="O37" s="3300"/>
      <c r="P37" s="2014"/>
      <c r="V37" s="2014"/>
    </row>
    <row r="38" spans="1:26" ht="16.5" customHeight="1" thickBot="1">
      <c r="A38" s="1256" t="s">
        <v>349</v>
      </c>
      <c r="B38" s="307"/>
      <c r="C38" s="294"/>
      <c r="D38" s="294"/>
      <c r="E38" s="295"/>
      <c r="F38" s="311"/>
      <c r="G38" s="311"/>
      <c r="H38" s="311"/>
      <c r="I38" s="311"/>
      <c r="J38" s="2016"/>
      <c r="K38" s="1264">
        <f>'数据-汇总表'!D3</f>
        <v>46262.48</v>
      </c>
      <c r="L38" s="1265">
        <f>'数据-汇总表'!E3</f>
        <v>141821.06</v>
      </c>
      <c r="M38" s="1265">
        <f ca="1">C34</f>
        <v>4620</v>
      </c>
      <c r="N38" s="1265">
        <f ca="1">C33</f>
        <v>1507</v>
      </c>
      <c r="O38" s="1266">
        <f ca="1">C32</f>
        <v>21373</v>
      </c>
      <c r="P38" s="2014"/>
      <c r="V38" s="2014"/>
    </row>
    <row r="39" spans="1:26" ht="16.5" customHeight="1" thickBot="1">
      <c r="A39" s="1261"/>
      <c r="B39" s="308"/>
      <c r="C39" s="309"/>
      <c r="D39" s="309"/>
      <c r="E39" s="310"/>
      <c r="F39" s="311"/>
      <c r="G39" s="311"/>
      <c r="H39" s="311"/>
      <c r="I39" s="311"/>
      <c r="J39" s="2016"/>
      <c r="K39" s="3275" t="str">
        <f>MID(A44,3,LEN(A44)-2)</f>
        <v>抵押价格</v>
      </c>
      <c r="L39" s="3276"/>
      <c r="M39" s="3276"/>
      <c r="N39" s="3277"/>
      <c r="O39" s="1389">
        <f ca="1">C44</f>
        <v>21373</v>
      </c>
      <c r="P39" s="2014"/>
      <c r="V39" s="2014"/>
    </row>
    <row r="40" spans="1:26" ht="19.5" thickBot="1">
      <c r="A40" s="104" t="s">
        <v>873</v>
      </c>
      <c r="B40" s="311"/>
      <c r="C40" s="311"/>
      <c r="D40" s="311"/>
      <c r="E40" s="311"/>
      <c r="F40" s="311"/>
      <c r="G40" s="311"/>
      <c r="H40" s="311"/>
      <c r="I40" s="311"/>
      <c r="J40" s="2016"/>
      <c r="K40" s="3275" t="str">
        <f t="shared" ref="K40:K41" si="0">MID(A45,3,LEN(A45)-2)</f>
        <v/>
      </c>
      <c r="L40" s="3276"/>
      <c r="M40" s="3276"/>
      <c r="N40" s="3277"/>
      <c r="O40" s="1389" t="str">
        <f>C45</f>
        <v>——</v>
      </c>
      <c r="P40" s="2014"/>
      <c r="V40" s="2014"/>
    </row>
    <row r="41" spans="1:26" ht="16.5" thickBot="1">
      <c r="A41" s="312" t="s">
        <v>356</v>
      </c>
      <c r="B41" s="313"/>
      <c r="C41" s="314" t="s">
        <v>357</v>
      </c>
      <c r="D41" s="315" t="s">
        <v>358</v>
      </c>
      <c r="E41" s="315" t="s">
        <v>359</v>
      </c>
      <c r="F41" s="316" t="s">
        <v>360</v>
      </c>
      <c r="G41" s="311"/>
      <c r="H41" s="311"/>
      <c r="I41" s="311"/>
      <c r="J41" s="2016"/>
      <c r="K41" s="3275" t="str">
        <f t="shared" si="0"/>
        <v/>
      </c>
      <c r="L41" s="3276"/>
      <c r="M41" s="3276"/>
      <c r="N41" s="3277"/>
      <c r="O41" s="1389" t="str">
        <f>C46</f>
        <v>——</v>
      </c>
      <c r="P41" s="2014"/>
      <c r="V41" s="2014"/>
    </row>
    <row r="42" spans="1:26" ht="29.25">
      <c r="A42" s="3335" t="s">
        <v>2067</v>
      </c>
      <c r="B42" s="3336"/>
      <c r="C42" s="264">
        <f ca="1">C32</f>
        <v>21373</v>
      </c>
      <c r="D42" s="317">
        <f ca="1">C33</f>
        <v>1507</v>
      </c>
      <c r="E42" s="317">
        <f ca="1">C34</f>
        <v>4620</v>
      </c>
      <c r="F42" s="318">
        <f ca="1">C35</f>
        <v>308</v>
      </c>
      <c r="G42" s="311"/>
      <c r="H42" s="311"/>
      <c r="I42" s="319"/>
      <c r="J42" s="2016"/>
      <c r="K42" s="1267" t="s">
        <v>361</v>
      </c>
      <c r="L42" s="2033" t="s">
        <v>362</v>
      </c>
      <c r="M42" s="1268" t="s">
        <v>363</v>
      </c>
      <c r="N42" s="2034" t="s">
        <v>364</v>
      </c>
      <c r="O42" s="2035" t="s">
        <v>365</v>
      </c>
      <c r="P42" s="2014"/>
      <c r="V42" s="2014"/>
    </row>
    <row r="43" spans="1:26" ht="18">
      <c r="A43" s="3345" t="s">
        <v>2730</v>
      </c>
      <c r="B43" s="3346"/>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13085</v>
      </c>
      <c r="M43" s="1271">
        <f>C18</f>
        <v>0.7</v>
      </c>
      <c r="N43" s="1272">
        <f ca="1">IF(N42="测算结果/万元",G19,G20)</f>
        <v>21373</v>
      </c>
      <c r="O43" s="1273">
        <f ca="1">IF(O42="最终结果/万元",C32,C33)</f>
        <v>21373</v>
      </c>
      <c r="P43" s="2014"/>
      <c r="V43" s="2014"/>
    </row>
    <row r="44" spans="1:26" ht="18.75" thickBot="1">
      <c r="A44" s="3335" t="str">
        <f>IF(OR(项目基本情况!E8="抵押价格",项目基本情况!E8="已注销及未注销"),"3.抵押价格","——")</f>
        <v>3.抵押价格</v>
      </c>
      <c r="B44" s="3336"/>
      <c r="C44" s="264">
        <f ca="1">IF(A44="——","——",C42-C43)</f>
        <v>21373</v>
      </c>
      <c r="D44" s="317">
        <f ca="1">ROUND(C44*10000/'数据-汇总表'!E3,0)</f>
        <v>1507</v>
      </c>
      <c r="E44" s="317">
        <f ca="1">ROUND(C44*10000/'数据-汇总表'!D3,0)</f>
        <v>4620</v>
      </c>
      <c r="F44" s="318">
        <f ca="1">ROUND(C44/('数据-汇总表'!D3/666.67),0)</f>
        <v>308</v>
      </c>
      <c r="G44" s="311"/>
      <c r="H44" s="311"/>
      <c r="I44" s="319"/>
      <c r="J44" s="2016"/>
      <c r="K44" s="1274" t="str">
        <f>D4</f>
        <v>剩余法-待开发</v>
      </c>
      <c r="L44" s="1275">
        <f ca="1">IF(L42="估价结果/万元",D19,D20)</f>
        <v>40712</v>
      </c>
      <c r="M44" s="1276">
        <f>D18</f>
        <v>0.30000000000000004</v>
      </c>
      <c r="N44" s="1277"/>
      <c r="O44" s="1278"/>
      <c r="P44" s="2014"/>
      <c r="V44" s="2014"/>
    </row>
    <row r="45" spans="1:26" ht="15">
      <c r="A45" s="3340" t="str">
        <f>IF(项目基本情况!E8="已注销及未注销","4.抵押担保权已注销时的抵押价格",IF(项目基本情况!E8="已注销","3.抵押担保权已注销时的抵押价格","——"))</f>
        <v>——</v>
      </c>
      <c r="B45" s="3341"/>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03" t="s">
        <v>374</v>
      </c>
      <c r="B63" s="3304"/>
      <c r="C63" s="3305"/>
      <c r="D63" s="341">
        <f ca="1">ROUND(C42*F63,0)</f>
        <v>12824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2" t="s">
        <v>378</v>
      </c>
      <c r="B64" s="3343"/>
      <c r="C64" s="3343"/>
      <c r="D64" s="3343"/>
      <c r="E64" s="3343"/>
      <c r="F64" s="3343"/>
      <c r="G64" s="3344"/>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39" t="s">
        <v>386</v>
      </c>
      <c r="B66" s="3310"/>
      <c r="C66" s="3310"/>
      <c r="D66" s="261">
        <f ca="1">IF(H66="情况1",0,IF(H66="情况2",D70,IF(H66="情况3",D71,IF(H66="情况4",D72))))</f>
        <v>684</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79" t="s">
        <v>385</v>
      </c>
      <c r="M66" s="3280"/>
      <c r="N66" s="2423"/>
      <c r="O66" s="2424"/>
      <c r="P66" s="2425"/>
      <c r="Q66" s="2014"/>
      <c r="R66" s="2014"/>
      <c r="S66" s="2014"/>
      <c r="T66" s="2014"/>
      <c r="U66" s="2014"/>
      <c r="V66" s="2014"/>
    </row>
    <row r="67" spans="1:22" ht="25.5" customHeight="1">
      <c r="A67" s="352" t="s">
        <v>390</v>
      </c>
      <c r="B67" s="3322" t="s">
        <v>391</v>
      </c>
      <c r="C67" s="3322"/>
      <c r="D67" s="353">
        <v>0</v>
      </c>
      <c r="E67" s="41" t="s">
        <v>392</v>
      </c>
      <c r="F67" s="62" t="s">
        <v>21</v>
      </c>
      <c r="G67" s="3306"/>
      <c r="H67" s="311"/>
      <c r="I67" s="1288"/>
      <c r="J67" s="2021"/>
      <c r="K67" s="1962">
        <v>2</v>
      </c>
      <c r="L67" s="3278" t="s">
        <v>389</v>
      </c>
      <c r="M67" s="3278"/>
      <c r="N67" s="1321">
        <f>'数据-取费表'!B2</f>
        <v>43768</v>
      </c>
      <c r="O67" s="1321"/>
      <c r="P67" s="1321"/>
      <c r="Q67" s="2014"/>
      <c r="R67" s="2014"/>
      <c r="S67" s="2014"/>
      <c r="T67" s="2014"/>
      <c r="U67" s="2014"/>
      <c r="V67" s="2014"/>
    </row>
    <row r="68" spans="1:22" ht="25.5" customHeight="1">
      <c r="A68" s="354"/>
      <c r="B68" s="3322" t="s">
        <v>394</v>
      </c>
      <c r="C68" s="3322"/>
      <c r="D68" s="355"/>
      <c r="E68" s="77"/>
      <c r="F68" s="356"/>
      <c r="G68" s="3307"/>
      <c r="H68" s="311"/>
      <c r="I68" s="1288"/>
      <c r="J68" s="2021"/>
      <c r="K68" s="1962">
        <v>3</v>
      </c>
      <c r="L68" s="3278" t="s">
        <v>393</v>
      </c>
      <c r="M68" s="3278"/>
      <c r="N68" s="1289">
        <f ca="1">C42</f>
        <v>21373</v>
      </c>
      <c r="O68" s="1289"/>
      <c r="P68" s="1289"/>
      <c r="Q68" s="2014"/>
      <c r="R68" s="2014"/>
      <c r="S68" s="2014"/>
      <c r="T68" s="2014"/>
      <c r="U68" s="2014"/>
      <c r="V68" s="2014"/>
    </row>
    <row r="69" spans="1:22" ht="12" customHeight="1">
      <c r="A69" s="357"/>
      <c r="B69" s="3322" t="s">
        <v>395</v>
      </c>
      <c r="C69" s="3322"/>
      <c r="D69" s="358"/>
      <c r="E69" s="73"/>
      <c r="F69" s="356"/>
      <c r="G69" s="3308"/>
      <c r="H69" s="311"/>
      <c r="I69" s="1288"/>
      <c r="J69" s="2021"/>
      <c r="K69" s="1290">
        <v>4</v>
      </c>
      <c r="L69" s="3284" t="s">
        <v>2883</v>
      </c>
      <c r="M69" s="3285"/>
      <c r="N69" s="1291">
        <f ca="1">C44</f>
        <v>21373</v>
      </c>
      <c r="O69" s="1291"/>
      <c r="P69" s="1291"/>
      <c r="Q69" s="2014"/>
      <c r="R69" s="2014"/>
      <c r="S69" s="2014"/>
      <c r="T69" s="2014"/>
      <c r="U69" s="2014"/>
      <c r="V69" s="2014"/>
    </row>
    <row r="70" spans="1:22" ht="24" customHeight="1">
      <c r="A70" s="359" t="s">
        <v>396</v>
      </c>
      <c r="B70" s="3322" t="s">
        <v>397</v>
      </c>
      <c r="C70" s="3322"/>
      <c r="D70" s="358">
        <f ca="1">ROUND(D63*'数据-取费表'!B41/(1+'数据-取费表'!C42),0)</f>
        <v>684</v>
      </c>
      <c r="E70" s="17" t="s">
        <v>398</v>
      </c>
      <c r="F70" s="360">
        <f>'数据-取费表'!B41</f>
        <v>5.6000000000000001E-2</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21" t="s">
        <v>405</v>
      </c>
      <c r="C71" s="3333"/>
      <c r="D71" s="358">
        <f ca="1">ROUND(D63*'数据-取费表'!B41/(1+'数据-取费表'!C42),0)</f>
        <v>684</v>
      </c>
      <c r="E71" s="17" t="s">
        <v>398</v>
      </c>
      <c r="F71" s="360">
        <f>'数据-取费表'!B41</f>
        <v>5.6000000000000001E-2</v>
      </c>
      <c r="G71" s="361"/>
      <c r="H71" s="311"/>
      <c r="I71" s="1288"/>
      <c r="J71" s="2021"/>
      <c r="K71" s="3012" t="s">
        <v>399</v>
      </c>
      <c r="L71" s="3286" t="s">
        <v>400</v>
      </c>
      <c r="M71" s="3286"/>
      <c r="N71" s="3012" t="s">
        <v>401</v>
      </c>
      <c r="O71" s="3012" t="s">
        <v>402</v>
      </c>
      <c r="P71" s="3012" t="s">
        <v>403</v>
      </c>
      <c r="Q71" s="2014"/>
      <c r="R71" s="2014"/>
      <c r="S71" s="2014"/>
      <c r="T71" s="2014"/>
      <c r="U71" s="2014"/>
      <c r="V71" s="2014"/>
    </row>
    <row r="72" spans="1:22" ht="12" customHeight="1">
      <c r="A72" s="359" t="s">
        <v>407</v>
      </c>
      <c r="B72" s="3321" t="s">
        <v>408</v>
      </c>
      <c r="C72" s="3333"/>
      <c r="D72" s="358">
        <f ca="1">C86</f>
        <v>572</v>
      </c>
      <c r="E72" s="73" t="s">
        <v>409</v>
      </c>
      <c r="F72" s="360">
        <f>'数据-取费表'!B41</f>
        <v>5.6000000000000001E-2</v>
      </c>
      <c r="G72" s="361"/>
      <c r="H72" s="1294"/>
      <c r="I72" s="1288"/>
      <c r="J72" s="2021"/>
      <c r="K72" s="1962">
        <v>1</v>
      </c>
      <c r="L72" s="3283" t="s">
        <v>406</v>
      </c>
      <c r="M72" s="3283"/>
      <c r="N72" s="1292">
        <f ca="1">D66</f>
        <v>684</v>
      </c>
      <c r="O72" s="1845" t="str">
        <f>E66</f>
        <v>销售额×税（费）率</v>
      </c>
      <c r="P72" s="1293">
        <f>F66</f>
        <v>5.6000000000000001E-2</v>
      </c>
      <c r="Q72" s="2014"/>
      <c r="R72" s="2014"/>
      <c r="S72" s="2014"/>
      <c r="T72" s="2014"/>
      <c r="U72" s="2014"/>
      <c r="V72" s="2014"/>
    </row>
    <row r="73" spans="1:22" ht="24" customHeight="1">
      <c r="A73" s="3309" t="s">
        <v>411</v>
      </c>
      <c r="B73" s="3310"/>
      <c r="C73" s="3310"/>
      <c r="D73" s="362">
        <f>IF(H73="个人住宅",0,ROUND(D63*I73,0))</f>
        <v>0</v>
      </c>
      <c r="E73" s="17" t="s">
        <v>412</v>
      </c>
      <c r="F73" s="360" t="str">
        <f>IF(H73="正常",I73,"免征")</f>
        <v>免征</v>
      </c>
      <c r="G73" s="361"/>
      <c r="H73" s="191" t="s">
        <v>2455</v>
      </c>
      <c r="I73" s="360">
        <f>'数据-取费表'!B49</f>
        <v>5.0000000000000001E-4</v>
      </c>
      <c r="J73" s="2021"/>
      <c r="K73" s="1962">
        <v>2</v>
      </c>
      <c r="L73" s="3283" t="s">
        <v>410</v>
      </c>
      <c r="M73" s="3283"/>
      <c r="N73" s="1292">
        <f t="shared" ref="N73:P74" si="1">D73</f>
        <v>0</v>
      </c>
      <c r="O73" s="1845" t="str">
        <f t="shared" si="1"/>
        <v>销售额×税（费）率</v>
      </c>
      <c r="P73" s="1293" t="str">
        <f t="shared" si="1"/>
        <v>免征</v>
      </c>
      <c r="Q73" s="2014"/>
      <c r="R73" s="2014"/>
      <c r="S73" s="2014"/>
      <c r="T73" s="2014"/>
      <c r="U73" s="2014"/>
      <c r="V73" s="2014"/>
    </row>
    <row r="74" spans="1:22" ht="24.75">
      <c r="A74" s="3309" t="s">
        <v>415</v>
      </c>
      <c r="B74" s="3310"/>
      <c r="C74" s="3310"/>
      <c r="D74" s="362">
        <f ca="1">IF(H74="个人住宅",D75,D76)</f>
        <v>6603</v>
      </c>
      <c r="E74" s="17" t="s">
        <v>416</v>
      </c>
      <c r="F74" s="360" t="str">
        <f>IF(H74="正常",F76,"免征")</f>
        <v>——</v>
      </c>
      <c r="G74" s="983" t="s">
        <v>417</v>
      </c>
      <c r="H74" s="363" t="s">
        <v>413</v>
      </c>
      <c r="I74" s="42"/>
      <c r="J74" s="2021"/>
      <c r="K74" s="1962">
        <v>3</v>
      </c>
      <c r="L74" s="3283" t="s">
        <v>414</v>
      </c>
      <c r="M74" s="3283"/>
      <c r="N74" s="1292">
        <f t="shared" ca="1" si="1"/>
        <v>6603</v>
      </c>
      <c r="O74" s="1845" t="str">
        <f t="shared" si="1"/>
        <v>增值额×税（费）率</v>
      </c>
      <c r="P74" s="1295" t="str">
        <f t="shared" si="1"/>
        <v>——</v>
      </c>
      <c r="Q74" s="2014"/>
      <c r="R74" s="2014"/>
      <c r="S74" s="2014"/>
      <c r="T74" s="2014"/>
      <c r="U74" s="2014"/>
      <c r="V74" s="2014"/>
    </row>
    <row r="75" spans="1:22" ht="24">
      <c r="A75" s="359" t="s">
        <v>418</v>
      </c>
      <c r="B75" s="3290" t="s">
        <v>419</v>
      </c>
      <c r="C75" s="3291"/>
      <c r="D75" s="364">
        <v>0</v>
      </c>
      <c r="E75" s="41" t="s">
        <v>420</v>
      </c>
      <c r="F75" s="365"/>
      <c r="G75" s="361"/>
      <c r="H75" s="42"/>
      <c r="I75" s="42"/>
      <c r="J75" s="2021"/>
      <c r="K75" s="3005">
        <f>IF(H77="非个人房产","",4)</f>
        <v>4</v>
      </c>
      <c r="L75" s="3283" t="str">
        <f>IF(H77="非个人房产","——","个人所得税")</f>
        <v>个人所得税</v>
      </c>
      <c r="M75" s="3283"/>
      <c r="N75" s="1296">
        <f ca="1">D77</f>
        <v>128</v>
      </c>
      <c r="O75" s="1858" t="str">
        <f>E77</f>
        <v>销售额×税（费）率</v>
      </c>
      <c r="P75" s="1297">
        <f>F77</f>
        <v>0.01</v>
      </c>
      <c r="Q75" s="2014"/>
      <c r="R75" s="2014"/>
      <c r="S75" s="2014"/>
      <c r="T75" s="2014"/>
      <c r="U75" s="2014"/>
      <c r="V75" s="2014"/>
    </row>
    <row r="76" spans="1:22" ht="24.75">
      <c r="A76" s="359" t="s">
        <v>396</v>
      </c>
      <c r="B76" s="3290" t="s">
        <v>422</v>
      </c>
      <c r="C76" s="3332"/>
      <c r="D76" s="362">
        <f ca="1">IF(H76="转让取得",C99,C115)</f>
        <v>6603</v>
      </c>
      <c r="E76" s="17" t="s">
        <v>423</v>
      </c>
      <c r="F76" s="53" t="s">
        <v>21</v>
      </c>
      <c r="G76" s="361"/>
      <c r="H76" s="363" t="s">
        <v>424</v>
      </c>
      <c r="I76" s="42"/>
      <c r="J76" s="2021"/>
      <c r="K76" s="3005" t="str">
        <f>IF(项目基本情况!K6="上海银行",IF(K75="",4,K75+1),"")</f>
        <v/>
      </c>
      <c r="L76" s="3271" t="str">
        <f>IF(项目基本情况!K6="上海银行","其他处置费用","")</f>
        <v/>
      </c>
      <c r="M76" s="3272"/>
      <c r="N76" s="1292" t="str">
        <f>IF(项目基本情况!K6="上海银行",N89,"")</f>
        <v/>
      </c>
      <c r="O76" s="3273" t="str">
        <f>IF(项目基本情况!K6="上海银行","包含处置中涉及的律师、诉讼、拍卖、评估等费用","")</f>
        <v/>
      </c>
      <c r="P76" s="3274"/>
      <c r="Q76" s="2014"/>
      <c r="R76" s="2014"/>
      <c r="S76" s="2014"/>
      <c r="T76" s="2014"/>
      <c r="U76" s="2014"/>
      <c r="V76" s="2014"/>
    </row>
    <row r="77" spans="1:22" ht="26.25" thickBot="1">
      <c r="A77" s="3301" t="s">
        <v>426</v>
      </c>
      <c r="B77" s="3302"/>
      <c r="C77" s="3302"/>
      <c r="D77" s="366">
        <f ca="1">IF(H77="非个人房产","——",IF(H77="个人住宅",0,ROUND(D63*I77,0)))</f>
        <v>128</v>
      </c>
      <c r="E77" s="367" t="str">
        <f>IF(H77="非个人房产","——","销售额×税（费）率")</f>
        <v>销售额×税（费）率</v>
      </c>
      <c r="F77" s="368">
        <f>IF(H77="非个人房产","——",IF(H77="个人住宅","免征",I77))</f>
        <v>0.01</v>
      </c>
      <c r="G77" s="984" t="s">
        <v>417</v>
      </c>
      <c r="H77" s="363" t="s">
        <v>2884</v>
      </c>
      <c r="I77" s="369">
        <v>0.01</v>
      </c>
      <c r="J77" s="2021"/>
      <c r="K77" s="3297">
        <f>IF(AND(K75="",K76=""),4,IF(项目基本情况!K6="上海银行",K76+1,K75+1))</f>
        <v>5</v>
      </c>
      <c r="L77" s="3283" t="s">
        <v>2885</v>
      </c>
      <c r="M77" s="3011" t="s">
        <v>421</v>
      </c>
      <c r="N77" s="1298"/>
      <c r="O77" s="1299">
        <f ca="1">SUMIF(N72:N76,"&lt;9e307")</f>
        <v>7415</v>
      </c>
      <c r="P77" s="1300"/>
      <c r="Q77" s="3009">
        <f ca="1">O77/N69</f>
        <v>0.34693304636691152</v>
      </c>
      <c r="R77" s="2014"/>
      <c r="S77" s="2014"/>
      <c r="T77" s="2014"/>
      <c r="U77" s="2014"/>
      <c r="V77" s="2014"/>
    </row>
    <row r="78" spans="1:22" ht="12" customHeight="1">
      <c r="A78" s="1301"/>
      <c r="B78" s="311"/>
      <c r="C78" s="311"/>
      <c r="D78" s="311"/>
      <c r="E78" s="42"/>
      <c r="F78" s="42"/>
      <c r="G78" s="42"/>
      <c r="H78" s="1003"/>
      <c r="I78" s="311"/>
      <c r="J78" s="2021"/>
      <c r="K78" s="3297"/>
      <c r="L78" s="3283"/>
      <c r="M78" s="3011" t="s">
        <v>425</v>
      </c>
      <c r="N78" s="1298"/>
      <c r="O78" s="1299" t="str">
        <f ca="1">NUMBERSTRING(INT(O77*10000),2)&amp;"元整"</f>
        <v>柒仟肆佰壹拾伍万元整</v>
      </c>
      <c r="P78" s="1300"/>
      <c r="Q78" s="2014"/>
      <c r="R78" s="2014"/>
      <c r="S78" s="2014"/>
      <c r="T78" s="2014"/>
      <c r="U78" s="2014"/>
      <c r="V78" s="2014"/>
    </row>
    <row r="79" spans="1:22" ht="13.5" thickBot="1">
      <c r="A79" s="3287" t="s">
        <v>427</v>
      </c>
      <c r="B79" s="3287"/>
      <c r="C79" s="3287"/>
      <c r="D79" s="3287"/>
      <c r="E79" s="3287"/>
      <c r="F79" s="42"/>
      <c r="G79" s="42"/>
      <c r="H79" s="1003"/>
      <c r="I79" s="311"/>
      <c r="J79" s="2021"/>
      <c r="K79" s="3281">
        <f>K77+1</f>
        <v>6</v>
      </c>
      <c r="L79" s="3283" t="s">
        <v>2886</v>
      </c>
      <c r="M79" s="3011" t="s">
        <v>421</v>
      </c>
      <c r="N79" s="1298"/>
      <c r="O79" s="1299">
        <f ca="1">N69-O77</f>
        <v>13958</v>
      </c>
      <c r="P79" s="1300"/>
      <c r="Q79" s="2014"/>
      <c r="R79" s="2014"/>
      <c r="S79" s="2014"/>
      <c r="T79" s="2014"/>
      <c r="U79" s="2014"/>
      <c r="V79" s="2014"/>
    </row>
    <row r="80" spans="1:22" ht="12.75">
      <c r="A80" s="3288" t="s">
        <v>428</v>
      </c>
      <c r="B80" s="3289"/>
      <c r="C80" s="994"/>
      <c r="D80" s="994" t="s">
        <v>429</v>
      </c>
      <c r="E80" s="370" t="s">
        <v>430</v>
      </c>
      <c r="F80" s="42"/>
      <c r="G80" s="42"/>
      <c r="H80" s="1003"/>
      <c r="I80" s="311"/>
      <c r="J80" s="2014"/>
      <c r="K80" s="3282"/>
      <c r="L80" s="3283"/>
      <c r="M80" s="3011" t="s">
        <v>425</v>
      </c>
      <c r="N80" s="1298"/>
      <c r="O80" s="1299" t="str">
        <f ca="1">NUMBERSTRING(INT(O79*10000),2)&amp;"元整"</f>
        <v>壹亿叁仟玖佰伍拾捌万元整</v>
      </c>
      <c r="P80" s="1300"/>
      <c r="Q80" s="2014"/>
      <c r="R80" s="2014"/>
      <c r="S80" s="2014"/>
      <c r="T80" s="2014"/>
      <c r="U80" s="2014"/>
      <c r="V80" s="2014"/>
    </row>
    <row r="81" spans="1:26" ht="13.5" thickBot="1">
      <c r="A81" s="381" t="s">
        <v>1823</v>
      </c>
      <c r="B81" s="371" t="s">
        <v>431</v>
      </c>
      <c r="C81" s="372">
        <f ca="1">ROUND((C82+C83)/(1+'数据-取费表'!C42),0)</f>
        <v>12213</v>
      </c>
      <c r="D81" s="373"/>
      <c r="E81" s="374"/>
      <c r="F81" s="42"/>
      <c r="G81" s="42"/>
      <c r="H81" s="1003"/>
      <c r="I81" s="311"/>
      <c r="J81" s="2014"/>
      <c r="K81" s="3005">
        <f>K79+1</f>
        <v>7</v>
      </c>
      <c r="L81" s="3295" t="s">
        <v>2887</v>
      </c>
      <c r="M81" s="3296"/>
      <c r="N81" s="1302"/>
      <c r="O81" s="1303">
        <f ca="1">ROUND(O79*10000/'数据-汇总表'!E3,0)</f>
        <v>984</v>
      </c>
      <c r="P81" s="1304"/>
      <c r="Q81" s="2014"/>
      <c r="R81" s="2014"/>
      <c r="S81" s="2014"/>
      <c r="T81" s="2014"/>
      <c r="U81" s="2014"/>
      <c r="V81" s="2014"/>
    </row>
    <row r="82" spans="1:26" ht="13.5" thickTop="1">
      <c r="A82" s="375" t="s">
        <v>1824</v>
      </c>
      <c r="B82" s="376" t="s">
        <v>432</v>
      </c>
      <c r="C82" s="377">
        <f ca="1">D63</f>
        <v>12824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70" t="s">
        <v>2874</v>
      </c>
      <c r="L83" s="3017" t="s">
        <v>2875</v>
      </c>
      <c r="M83" s="3007">
        <f ca="1">IF(N69&gt;10000,N69*0.5%,IF(AND(N69&gt;1000,N69&lt;=10000),N69*1%,IF(AND(N69&gt;100,N69&lt;=1000),N69*3%,IF(AND(N69&gt;10,N69&lt;=100),N69*5%,N69*8%))))</f>
        <v>106.86500000000001</v>
      </c>
      <c r="N83" s="53">
        <f ca="1">ROUND(M83,1)</f>
        <v>106.9</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270"/>
      <c r="L84" s="3017" t="s">
        <v>2876</v>
      </c>
      <c r="M84" s="3007">
        <f ca="1">IF(N69&gt;2000,N69*0.5%,IF(AND(N69&gt;1000,N69&lt;=2000),N69*0.6%,IF(AND(N69&gt;500,N69&lt;=1000),N69*0.7%,IF(AND(N69&gt;200,N69&lt;=500),N69*0.8%,IF(AND(N69&gt;100,N69&lt;=200),N69*0.9%,IF(AND(N69&gt;50,N69&lt;=100),N69*1%,IF(AND(N69&gt;20,N69&lt;=50),N69*1.5%,IF(AND(N69&gt;10,N69&lt;=20),N69*2%,IF(AND(N69&gt;1,N69&lt;=10),N69*2.5%)))))))))</f>
        <v>106.86500000000001</v>
      </c>
      <c r="N84" s="53">
        <f t="shared" ref="N84:N85" ca="1" si="2">ROUND(M84,1)</f>
        <v>106.9</v>
      </c>
      <c r="O84" s="2014" t="s">
        <v>2877</v>
      </c>
      <c r="P84" s="2014"/>
      <c r="Q84" s="2014"/>
      <c r="R84" s="2014"/>
      <c r="S84" s="2014"/>
      <c r="T84" s="2014"/>
      <c r="U84" s="2014"/>
      <c r="V84" s="2014"/>
    </row>
    <row r="85" spans="1:26" ht="12.75">
      <c r="A85" s="381" t="s">
        <v>1827</v>
      </c>
      <c r="B85" s="382" t="s">
        <v>435</v>
      </c>
      <c r="C85" s="385">
        <f ca="1">C81-C84</f>
        <v>10213</v>
      </c>
      <c r="D85" s="378" t="s">
        <v>19</v>
      </c>
      <c r="E85" s="379"/>
      <c r="F85" s="42"/>
      <c r="G85" s="42"/>
      <c r="H85" s="1003"/>
      <c r="I85" s="311"/>
      <c r="J85" s="2014"/>
      <c r="K85" s="3270"/>
      <c r="L85" s="3017" t="s">
        <v>2878</v>
      </c>
      <c r="M85" s="3007">
        <f ca="1">IF(N69&gt;1000,N69*0.1%,IF(AND(N69&gt;500,N69&lt;=1000),N69*0.5%,IF(AND(N69&gt;50,N69&lt;=500),N69*1%,IF(AND(N69&gt;1,N69&lt;=50),N69*1.5%))))</f>
        <v>21.373000000000001</v>
      </c>
      <c r="N85" s="53">
        <f t="shared" ca="1" si="2"/>
        <v>21.4</v>
      </c>
      <c r="O85" s="2014" t="s">
        <v>2877</v>
      </c>
      <c r="P85" s="2014"/>
      <c r="Q85" s="2014"/>
      <c r="R85" s="2014"/>
      <c r="S85" s="2014"/>
      <c r="T85" s="2014"/>
      <c r="U85" s="2014"/>
      <c r="V85" s="2014"/>
    </row>
    <row r="86" spans="1:26" ht="13.5" thickBot="1">
      <c r="A86" s="386" t="s">
        <v>1828</v>
      </c>
      <c r="B86" s="387" t="s">
        <v>436</v>
      </c>
      <c r="C86" s="388">
        <f ca="1">IF(C85&lt;=0,0,ROUND(C85*D86,0))</f>
        <v>572</v>
      </c>
      <c r="D86" s="389">
        <f>'数据-取费表'!B41</f>
        <v>5.6000000000000001E-2</v>
      </c>
      <c r="E86" s="390"/>
      <c r="F86" s="42"/>
      <c r="G86" s="42"/>
      <c r="H86" s="1003"/>
      <c r="I86" s="311"/>
      <c r="J86" s="2014"/>
      <c r="K86" s="3270"/>
      <c r="L86" s="3017" t="s">
        <v>2879</v>
      </c>
      <c r="M86" s="3007">
        <f ca="1">N69*0.5%</f>
        <v>106.86500000000001</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0"/>
      <c r="L87" s="3017" t="s">
        <v>2881</v>
      </c>
      <c r="M87" s="3007">
        <f ca="1">IF(N69&gt;=10000,(8.25+(N69-10000)*0.01%),IF(AND(N69&gt;=8000,N69&lt;10000),(7.85+(N69-8000)*0.02%),IF(AND(N69&gt;=5000,N69&lt;8000),(6.65+(N69-5000)*0.04%),IF(AND(N69&gt;=2000,N69&lt;5000),(4.25+(PN69-2000)*0.08%),IF(AND(N69&gt;=1000,N69&lt;2000),(2.75+(N69-1000)*0.15%),IF(AND(N69&gt;=100,N69&lt;1000),(0.5+(N69-100)*0.25%),IF(AND(N69&gt;0,N69&lt;100),N69*0.5%)))))))</f>
        <v>9.3872999999999998</v>
      </c>
      <c r="N87" s="53">
        <f ca="1">ROUND(M87*0.9,1)</f>
        <v>8.4</v>
      </c>
      <c r="O87" s="3010"/>
      <c r="P87" s="311"/>
      <c r="Q87" s="2014"/>
      <c r="R87" s="2014"/>
      <c r="S87" s="2014"/>
      <c r="T87" s="2014"/>
      <c r="U87" s="2014"/>
      <c r="V87" s="2014"/>
      <c r="W87" s="292"/>
      <c r="X87" s="292"/>
      <c r="Y87" s="292"/>
      <c r="Z87" s="292"/>
    </row>
    <row r="88" spans="1:26" s="1310" customFormat="1" ht="15" thickBot="1">
      <c r="A88" s="3324" t="s">
        <v>437</v>
      </c>
      <c r="B88" s="3325"/>
      <c r="C88" s="3325"/>
      <c r="D88" s="3325"/>
      <c r="E88" s="3325"/>
      <c r="F88" s="3325"/>
      <c r="G88" s="3325"/>
      <c r="H88" s="3325"/>
      <c r="I88" s="1311"/>
      <c r="J88" s="2022"/>
      <c r="K88" s="3270"/>
      <c r="L88" s="3017" t="s">
        <v>2882</v>
      </c>
      <c r="M88" s="3007">
        <f ca="1">IF(N69&gt;10000,N69*0.5%,IF(AND(N69&gt;5000,N69&lt;=10000),N69*1%,IF(AND(N69&gt;1000,N69&lt;=5000),N69*2%,IF(AND(N69&gt;200,N69&lt;=1000),N69*3%,N69*5%))))</f>
        <v>106.86500000000001</v>
      </c>
      <c r="N88" s="53">
        <f ca="1">ROUND(M88,1)</f>
        <v>106.9</v>
      </c>
      <c r="O88" s="3010"/>
      <c r="P88" s="11"/>
      <c r="Q88" s="2019"/>
      <c r="R88" s="2019"/>
      <c r="S88" s="2019"/>
      <c r="T88" s="2019"/>
      <c r="U88" s="2019"/>
      <c r="V88" s="2019"/>
      <c r="W88" s="2023"/>
      <c r="X88" s="2023"/>
      <c r="Y88" s="2023"/>
      <c r="Z88" s="2023"/>
    </row>
    <row r="89" spans="1:26" s="1310" customFormat="1" ht="14.25">
      <c r="A89" s="3288" t="s">
        <v>428</v>
      </c>
      <c r="B89" s="3289"/>
      <c r="C89" s="994"/>
      <c r="D89" s="994" t="s">
        <v>429</v>
      </c>
      <c r="E89" s="391" t="s">
        <v>438</v>
      </c>
      <c r="F89" s="392"/>
      <c r="G89" s="392"/>
      <c r="H89" s="393"/>
      <c r="I89" s="1312"/>
      <c r="J89" s="2024"/>
      <c r="K89" s="3270"/>
      <c r="L89" s="3017" t="s">
        <v>27</v>
      </c>
      <c r="M89" s="3008"/>
      <c r="N89" s="53">
        <f ca="1">ROUND(SUM(N83:N88),0)</f>
        <v>351</v>
      </c>
      <c r="O89" s="3018">
        <f ca="1">N89/N69</f>
        <v>1.6422589248116782E-2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12213</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2634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21" t="s">
        <v>447</v>
      </c>
      <c r="F94" s="3322"/>
      <c r="G94" s="3322"/>
      <c r="H94" s="3323"/>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73</v>
      </c>
      <c r="D96" s="406">
        <f>'数据-取费表'!B43</f>
        <v>6.000000000000001E-3</v>
      </c>
      <c r="E96" s="3311" t="s">
        <v>2428</v>
      </c>
      <c r="F96" s="3312"/>
      <c r="G96" s="3312"/>
      <c r="H96" s="3313"/>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9579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3.6366742596810933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4826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4" t="s">
        <v>454</v>
      </c>
      <c r="B101" s="3325"/>
      <c r="C101" s="3325"/>
      <c r="D101" s="3325"/>
      <c r="E101" s="3325"/>
      <c r="F101" s="3325"/>
      <c r="G101" s="3325"/>
      <c r="H101" s="332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88" t="s">
        <v>428</v>
      </c>
      <c r="B102" s="3289"/>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12213</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763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4" t="s">
        <v>462</v>
      </c>
      <c r="F109" s="3312"/>
      <c r="G109" s="3312"/>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4" t="s">
        <v>464</v>
      </c>
      <c r="F110" s="3312"/>
      <c r="G110" s="3312"/>
      <c r="H110" s="3313"/>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73</v>
      </c>
      <c r="D111" s="406">
        <f>'数据-取费表'!B43</f>
        <v>6.000000000000001E-3</v>
      </c>
      <c r="E111" s="3311" t="s">
        <v>2428</v>
      </c>
      <c r="F111" s="3312"/>
      <c r="G111" s="3312"/>
      <c r="H111" s="3313"/>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4" t="s">
        <v>2453</v>
      </c>
      <c r="F112" s="3312"/>
      <c r="G112" s="3312"/>
      <c r="H112" s="3313"/>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11450</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15.006553079947576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6603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I49" sqref="I4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13085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923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2828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189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69" t="s">
        <v>522</v>
      </c>
      <c r="D6" s="3370"/>
      <c r="E6" s="3369" t="s">
        <v>523</v>
      </c>
      <c r="F6" s="3370"/>
      <c r="G6" s="3369" t="s">
        <v>524</v>
      </c>
      <c r="H6" s="3370"/>
      <c r="I6" s="3369" t="s">
        <v>525</v>
      </c>
      <c r="J6" s="3370"/>
      <c r="K6" s="514" t="s">
        <v>526</v>
      </c>
      <c r="L6" s="2119"/>
      <c r="M6" s="2118"/>
      <c r="N6" s="2118"/>
      <c r="O6" s="2120"/>
      <c r="P6" s="3371" t="s">
        <v>527</v>
      </c>
      <c r="Q6" s="3372"/>
      <c r="R6" s="3357" t="s">
        <v>523</v>
      </c>
      <c r="S6" s="3358"/>
      <c r="T6" s="3357" t="s">
        <v>524</v>
      </c>
      <c r="U6" s="3358"/>
      <c r="V6" s="3377" t="s">
        <v>525</v>
      </c>
      <c r="W6" s="3377"/>
      <c r="X6" s="1554"/>
      <c r="Y6" s="3357" t="s">
        <v>527</v>
      </c>
      <c r="Z6" s="3358"/>
      <c r="AA6" s="3352" t="s">
        <v>523</v>
      </c>
      <c r="AB6" s="3353" t="s">
        <v>524</v>
      </c>
      <c r="AC6" s="3352" t="s">
        <v>525</v>
      </c>
    </row>
    <row r="7" spans="1:30" ht="20.25">
      <c r="A7" s="515"/>
      <c r="B7" s="516"/>
      <c r="C7" s="3380" t="s">
        <v>2931</v>
      </c>
      <c r="D7" s="3381"/>
      <c r="E7" s="3380" t="str">
        <f>Sheet1!A14</f>
        <v>西南分区,东侧为二环西路,南侧、西侧为规划河流,北侧为红丰西路。</v>
      </c>
      <c r="F7" s="3381"/>
      <c r="G7" s="3380" t="str">
        <f>Sheet1!A25</f>
        <v>位于西凤漾单元,东侧为东浜路,南侧为西塞山路</v>
      </c>
      <c r="H7" s="3381"/>
      <c r="I7" s="3380" t="str">
        <f>Sheet1!A30</f>
        <v>位于康山分区,东侧为杭宁高速、南侧为康山山体、西侧为沿山路、北侧为西塞路</v>
      </c>
      <c r="J7" s="3381"/>
      <c r="K7" s="514"/>
      <c r="L7" s="2119"/>
      <c r="M7" s="2118"/>
      <c r="N7" s="2118"/>
      <c r="O7" s="2120"/>
      <c r="P7" s="3373"/>
      <c r="Q7" s="3374"/>
      <c r="R7" s="3359"/>
      <c r="S7" s="3360"/>
      <c r="T7" s="3359"/>
      <c r="U7" s="3360"/>
      <c r="V7" s="3377"/>
      <c r="W7" s="3377"/>
      <c r="X7" s="1554"/>
      <c r="Y7" s="3359"/>
      <c r="Z7" s="3360"/>
      <c r="AA7" s="3353"/>
      <c r="AB7" s="3353"/>
      <c r="AC7" s="3353"/>
    </row>
    <row r="8" spans="1:30" ht="21" thickBot="1">
      <c r="A8" s="515"/>
      <c r="B8" s="516"/>
      <c r="C8" s="3382" t="s">
        <v>2935</v>
      </c>
      <c r="D8" s="3383"/>
      <c r="E8" s="3382" t="s">
        <v>2935</v>
      </c>
      <c r="F8" s="3383"/>
      <c r="G8" s="3378" t="s">
        <v>2935</v>
      </c>
      <c r="H8" s="3379"/>
      <c r="I8" s="3378" t="s">
        <v>2935</v>
      </c>
      <c r="J8" s="3379"/>
      <c r="K8" s="514" t="s">
        <v>528</v>
      </c>
      <c r="L8" s="2119"/>
      <c r="M8" s="2118"/>
      <c r="N8" s="2118"/>
      <c r="O8" s="2120"/>
      <c r="P8" s="3375"/>
      <c r="Q8" s="3376"/>
      <c r="R8" s="3359"/>
      <c r="S8" s="3360"/>
      <c r="T8" s="3361"/>
      <c r="U8" s="3362"/>
      <c r="V8" s="3377"/>
      <c r="W8" s="3377"/>
      <c r="X8" s="1554"/>
      <c r="Y8" s="3361"/>
      <c r="Z8" s="3362"/>
      <c r="AA8" s="3354"/>
      <c r="AB8" s="3354"/>
      <c r="AC8" s="3354"/>
    </row>
    <row r="9" spans="1:30" s="1216" customFormat="1" ht="21" thickBot="1">
      <c r="A9" s="2867"/>
      <c r="B9" s="2874" t="s">
        <v>529</v>
      </c>
      <c r="C9" s="2866">
        <f>'数据-取费表'!B2</f>
        <v>43768</v>
      </c>
      <c r="D9" s="520">
        <v>100</v>
      </c>
      <c r="E9" s="521" t="str">
        <f>Sheet1!H14</f>
        <v>2018-12-13</v>
      </c>
      <c r="F9" s="522">
        <f>SUMIF(72:72,YEAR(E9)&amp;"-"&amp;INT((MONTH(E9)+2)/3),73:73)</f>
        <v>96</v>
      </c>
      <c r="G9" s="523" t="str">
        <f>Sheet1!H25</f>
        <v>2018-05-24</v>
      </c>
      <c r="H9" s="520">
        <f>SUMIF(72:72,YEAR(G9)&amp;"-"&amp;INT((MONTH(G9)+2)/3),73:73)</f>
        <v>94</v>
      </c>
      <c r="I9" s="523" t="str">
        <f>Sheet1!H30</f>
        <v>2018-03-01</v>
      </c>
      <c r="J9" s="520">
        <f>SUMIF(72:72,YEAR(I9)&amp;"-"&amp;INT((MONTH(I9)+2)/3),73:73)</f>
        <v>93</v>
      </c>
      <c r="K9" s="524"/>
      <c r="L9" s="2121"/>
      <c r="M9" s="2118"/>
      <c r="N9" s="2118"/>
      <c r="O9" s="2122"/>
      <c r="P9" s="3355" t="s">
        <v>530</v>
      </c>
      <c r="Q9" s="3364"/>
      <c r="R9" s="1555" t="s">
        <v>8</v>
      </c>
      <c r="S9" s="1556">
        <f t="shared" ref="S9:S17" si="0">F9</f>
        <v>96</v>
      </c>
      <c r="T9" s="1555" t="s">
        <v>8</v>
      </c>
      <c r="U9" s="1556">
        <f t="shared" ref="U9:U17" si="1">H9</f>
        <v>94</v>
      </c>
      <c r="V9" s="1555" t="s">
        <v>8</v>
      </c>
      <c r="W9" s="1556">
        <f t="shared" ref="W9:W17" si="2">J9</f>
        <v>93</v>
      </c>
      <c r="X9" s="1557"/>
      <c r="Y9" s="3355" t="s">
        <v>530</v>
      </c>
      <c r="Z9" s="3356"/>
      <c r="AA9" s="1558">
        <f>D9/F9</f>
        <v>1.0416666666666667</v>
      </c>
      <c r="AB9" s="1558">
        <f>D9/H9</f>
        <v>1.0638297872340425</v>
      </c>
      <c r="AC9" s="1558">
        <f>D9/J9</f>
        <v>1.075268817204301</v>
      </c>
    </row>
    <row r="10" spans="1:30" s="1216" customFormat="1" ht="21" thickBot="1">
      <c r="A10" s="2868"/>
      <c r="B10" s="2875" t="s">
        <v>531</v>
      </c>
      <c r="C10" s="856" t="s">
        <v>532</v>
      </c>
      <c r="D10" s="520">
        <v>100</v>
      </c>
      <c r="E10" s="3481" t="s">
        <v>3212</v>
      </c>
      <c r="F10" s="522">
        <f>SUMIF(75:75,E10,76:76)-SUMIF(75:75,C10,76:76)+100</f>
        <v>100</v>
      </c>
      <c r="G10" s="3481" t="s">
        <v>3212</v>
      </c>
      <c r="H10" s="520">
        <f>SUMIF(75:75,G10,76:76)-SUMIF(75:75,C10,76:76)+100</f>
        <v>100</v>
      </c>
      <c r="I10" s="3481" t="s">
        <v>3212</v>
      </c>
      <c r="J10" s="520">
        <f>SUMIF(75:75,I10,76:76)-SUMIF(75:75,C10,76:76)+100</f>
        <v>100</v>
      </c>
      <c r="K10" s="524"/>
      <c r="L10" s="2121"/>
      <c r="M10" s="2118"/>
      <c r="N10" s="2118"/>
      <c r="O10" s="2122"/>
      <c r="P10" s="3355" t="s">
        <v>533</v>
      </c>
      <c r="Q10" s="3356"/>
      <c r="R10" s="1555" t="s">
        <v>8</v>
      </c>
      <c r="S10" s="1556">
        <f t="shared" si="0"/>
        <v>100</v>
      </c>
      <c r="T10" s="1555" t="s">
        <v>8</v>
      </c>
      <c r="U10" s="1556">
        <f t="shared" si="1"/>
        <v>100</v>
      </c>
      <c r="V10" s="1555" t="s">
        <v>8</v>
      </c>
      <c r="W10" s="1556">
        <f t="shared" si="2"/>
        <v>100</v>
      </c>
      <c r="X10" s="1557"/>
      <c r="Y10" s="3355" t="s">
        <v>533</v>
      </c>
      <c r="Z10" s="3356"/>
      <c r="AA10" s="1558">
        <f t="shared" ref="AA10:AA47" si="3">D10/F10</f>
        <v>1</v>
      </c>
      <c r="AB10" s="1558">
        <f t="shared" ref="AB10:AB47" si="4">D10/H10</f>
        <v>1</v>
      </c>
      <c r="AC10" s="1558">
        <f t="shared" ref="AC10:AC47" si="5">D10/J10</f>
        <v>1</v>
      </c>
    </row>
    <row r="11" spans="1:30" s="1216" customFormat="1" ht="20.25">
      <c r="A11" s="2869"/>
      <c r="B11" s="2876" t="s">
        <v>2756</v>
      </c>
      <c r="C11" s="3482" t="s">
        <v>3213</v>
      </c>
      <c r="D11" s="254">
        <v>100</v>
      </c>
      <c r="E11" s="3483" t="s">
        <v>3213</v>
      </c>
      <c r="F11" s="254">
        <f>SUMIF(77:77,E11,78:78)-SUMIF(77:77,C11,78:78)+100</f>
        <v>100</v>
      </c>
      <c r="G11" s="3483" t="s">
        <v>3213</v>
      </c>
      <c r="H11" s="254">
        <f>SUMIF(77:77,G11,78:78)-SUMIF(77:77,C11,78:78)+100</f>
        <v>100</v>
      </c>
      <c r="I11" s="3483" t="s">
        <v>3214</v>
      </c>
      <c r="J11" s="254">
        <f>SUMIF(77:77,I11,78:78)-SUMIF(77:77,C11,78:78)+100</f>
        <v>100</v>
      </c>
      <c r="K11" s="524"/>
      <c r="L11" s="2121"/>
      <c r="M11" s="2118"/>
      <c r="N11" s="2118"/>
      <c r="O11" s="2123"/>
      <c r="P11" s="3363" t="s">
        <v>535</v>
      </c>
      <c r="Q11" s="1147" t="str">
        <f t="shared" ref="Q11:Q17" si="6">B11</f>
        <v>用途</v>
      </c>
      <c r="R11" s="1555" t="s">
        <v>8</v>
      </c>
      <c r="S11" s="1556">
        <f t="shared" si="0"/>
        <v>100</v>
      </c>
      <c r="T11" s="1555" t="s">
        <v>8</v>
      </c>
      <c r="U11" s="1556">
        <f t="shared" si="1"/>
        <v>100</v>
      </c>
      <c r="V11" s="1555" t="s">
        <v>8</v>
      </c>
      <c r="W11" s="1556">
        <f t="shared" si="2"/>
        <v>100</v>
      </c>
      <c r="X11" s="1557"/>
      <c r="Y11" s="3320" t="s">
        <v>536</v>
      </c>
      <c r="Z11" s="1146" t="str">
        <f t="shared" ref="Z11:Z17" si="7">Q11</f>
        <v>用途</v>
      </c>
      <c r="AA11" s="1558">
        <f t="shared" si="3"/>
        <v>1</v>
      </c>
      <c r="AB11" s="1558">
        <f t="shared" si="4"/>
        <v>1</v>
      </c>
      <c r="AC11" s="1558">
        <f t="shared" si="5"/>
        <v>1</v>
      </c>
    </row>
    <row r="12" spans="1:30" s="1334" customFormat="1" ht="27">
      <c r="A12" s="2870"/>
      <c r="B12" s="2875" t="s">
        <v>2757</v>
      </c>
      <c r="C12" s="910">
        <f>项目基本情况!E19</f>
        <v>35.29</v>
      </c>
      <c r="D12" s="255">
        <v>100</v>
      </c>
      <c r="E12" s="529" t="s">
        <v>3215</v>
      </c>
      <c r="F12" s="255">
        <f>ROUND(100/'数据-取费表'!G16,0)</f>
        <v>104</v>
      </c>
      <c r="G12" s="530" t="s">
        <v>3215</v>
      </c>
      <c r="H12" s="255">
        <f>ROUND(100/'数据-取费表'!G16,0)</f>
        <v>104</v>
      </c>
      <c r="I12" s="530" t="s">
        <v>3215</v>
      </c>
      <c r="J12" s="255">
        <f>ROUND(100/'数据-取费表'!G16,0)</f>
        <v>104</v>
      </c>
      <c r="K12" s="531"/>
      <c r="L12" s="2124"/>
      <c r="M12" s="2118"/>
      <c r="N12" s="2118"/>
      <c r="O12" s="2125"/>
      <c r="P12" s="3363"/>
      <c r="Q12" s="1147" t="str">
        <f t="shared" si="6"/>
        <v>土地使用年限（年）</v>
      </c>
      <c r="R12" s="1555" t="s">
        <v>8</v>
      </c>
      <c r="S12" s="1556">
        <f t="shared" si="0"/>
        <v>104</v>
      </c>
      <c r="T12" s="1555" t="s">
        <v>8</v>
      </c>
      <c r="U12" s="1556">
        <f t="shared" si="1"/>
        <v>104</v>
      </c>
      <c r="V12" s="1555" t="s">
        <v>8</v>
      </c>
      <c r="W12" s="1556">
        <f t="shared" si="2"/>
        <v>104</v>
      </c>
      <c r="X12" s="1557"/>
      <c r="Y12" s="3320"/>
      <c r="Z12" s="1146" t="str">
        <f t="shared" si="7"/>
        <v>土地使用年限（年）</v>
      </c>
      <c r="AA12" s="1558">
        <f t="shared" si="3"/>
        <v>0.96153846153846156</v>
      </c>
      <c r="AB12" s="1558">
        <f t="shared" si="4"/>
        <v>0.96153846153846156</v>
      </c>
      <c r="AC12" s="1558">
        <f t="shared" si="5"/>
        <v>0.96153846153846156</v>
      </c>
    </row>
    <row r="13" spans="1:30" ht="20.25">
      <c r="A13" s="2871"/>
      <c r="B13" s="2875" t="s">
        <v>2758</v>
      </c>
      <c r="C13" s="534">
        <v>3.8</v>
      </c>
      <c r="D13" s="255">
        <v>100</v>
      </c>
      <c r="E13" s="533">
        <v>2.5</v>
      </c>
      <c r="F13" s="255">
        <f>LOOKUP(E13,82:82,83:83)-LOOKUP(C13,82:82,83:83)+100</f>
        <v>102</v>
      </c>
      <c r="G13" s="534">
        <v>2</v>
      </c>
      <c r="H13" s="255">
        <f>LOOKUP(G13,82:82,83:83)-LOOKUP(C13,82:82,83:83)+100</f>
        <v>102</v>
      </c>
      <c r="I13" s="533">
        <v>1.5</v>
      </c>
      <c r="J13" s="255">
        <f>LOOKUP(I13,82:82,83:83)-LOOKUP(C13,82:82,83:83)+100</f>
        <v>104</v>
      </c>
      <c r="K13" s="535">
        <v>2</v>
      </c>
      <c r="L13" s="2126"/>
      <c r="M13" s="2118"/>
      <c r="N13" s="2118"/>
      <c r="O13" s="2127"/>
      <c r="P13" s="3363"/>
      <c r="Q13" s="1147" t="str">
        <f t="shared" si="6"/>
        <v>容积率</v>
      </c>
      <c r="R13" s="1555" t="s">
        <v>8</v>
      </c>
      <c r="S13" s="1556">
        <f t="shared" si="0"/>
        <v>102</v>
      </c>
      <c r="T13" s="1555" t="s">
        <v>8</v>
      </c>
      <c r="U13" s="1556">
        <f t="shared" si="1"/>
        <v>102</v>
      </c>
      <c r="V13" s="1555" t="s">
        <v>8</v>
      </c>
      <c r="W13" s="1556">
        <f t="shared" si="2"/>
        <v>104</v>
      </c>
      <c r="X13" s="1557"/>
      <c r="Y13" s="3320"/>
      <c r="Z13" s="1146" t="str">
        <f t="shared" si="7"/>
        <v>容积率</v>
      </c>
      <c r="AA13" s="1558">
        <f t="shared" si="3"/>
        <v>0.98039215686274506</v>
      </c>
      <c r="AB13" s="1558">
        <f t="shared" si="4"/>
        <v>0.98039215686274506</v>
      </c>
      <c r="AC13" s="1558">
        <f t="shared" si="5"/>
        <v>0.96153846153846156</v>
      </c>
    </row>
    <row r="14" spans="1:30" s="1216" customFormat="1" ht="20.25">
      <c r="A14" s="2868"/>
      <c r="B14" s="2877" t="s">
        <v>2759</v>
      </c>
      <c r="C14" s="2864"/>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3"/>
      <c r="Q14" s="1147" t="str">
        <f t="shared" si="6"/>
        <v>配建</v>
      </c>
      <c r="R14" s="1555" t="s">
        <v>8</v>
      </c>
      <c r="S14" s="1556">
        <f t="shared" si="0"/>
        <v>100</v>
      </c>
      <c r="T14" s="1555" t="s">
        <v>8</v>
      </c>
      <c r="U14" s="1556">
        <f t="shared" si="1"/>
        <v>100</v>
      </c>
      <c r="V14" s="1555" t="s">
        <v>8</v>
      </c>
      <c r="W14" s="1556">
        <f t="shared" si="2"/>
        <v>100</v>
      </c>
      <c r="X14" s="1557"/>
      <c r="Y14" s="3320"/>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3"/>
      <c r="Q15" s="1147">
        <f t="shared" si="6"/>
        <v>111</v>
      </c>
      <c r="R15" s="1555" t="s">
        <v>8</v>
      </c>
      <c r="S15" s="1556">
        <f t="shared" si="0"/>
        <v>100</v>
      </c>
      <c r="T15" s="1555" t="s">
        <v>8</v>
      </c>
      <c r="U15" s="1556">
        <f t="shared" si="1"/>
        <v>100</v>
      </c>
      <c r="V15" s="1555" t="s">
        <v>8</v>
      </c>
      <c r="W15" s="1556">
        <f t="shared" si="2"/>
        <v>100</v>
      </c>
      <c r="X15" s="1557"/>
      <c r="Y15" s="3320"/>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3"/>
      <c r="Q16" s="1147">
        <f t="shared" si="6"/>
        <v>111</v>
      </c>
      <c r="R16" s="1555" t="s">
        <v>8</v>
      </c>
      <c r="S16" s="1556">
        <f t="shared" si="0"/>
        <v>100</v>
      </c>
      <c r="T16" s="1555" t="s">
        <v>8</v>
      </c>
      <c r="U16" s="1556">
        <f t="shared" si="1"/>
        <v>100</v>
      </c>
      <c r="V16" s="1555" t="s">
        <v>8</v>
      </c>
      <c r="W16" s="1556">
        <f t="shared" si="2"/>
        <v>100</v>
      </c>
      <c r="X16" s="1557"/>
      <c r="Y16" s="3320"/>
      <c r="Z16" s="1146">
        <f t="shared" si="7"/>
        <v>111</v>
      </c>
      <c r="AA16" s="1558">
        <f>D16/F16</f>
        <v>1</v>
      </c>
      <c r="AB16" s="1558">
        <f>D16/H16</f>
        <v>1</v>
      </c>
      <c r="AC16" s="1558">
        <f>D16/J16</f>
        <v>1</v>
      </c>
    </row>
    <row r="17" spans="1:29" ht="99.75" hidden="1">
      <c r="A17" s="2865"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65" t="s">
        <v>540</v>
      </c>
      <c r="Q17" s="1559" t="str">
        <f t="shared" si="6"/>
        <v>居住社区成熟度</v>
      </c>
      <c r="R17" s="1560" t="s">
        <v>8</v>
      </c>
      <c r="S17" s="1561">
        <f t="shared" si="0"/>
        <v>100</v>
      </c>
      <c r="T17" s="1560" t="s">
        <v>8</v>
      </c>
      <c r="U17" s="1561">
        <f t="shared" si="1"/>
        <v>100</v>
      </c>
      <c r="V17" s="1560" t="s">
        <v>8</v>
      </c>
      <c r="W17" s="1561">
        <f t="shared" si="2"/>
        <v>100</v>
      </c>
      <c r="X17" s="1554"/>
      <c r="Y17" s="3365" t="s">
        <v>540</v>
      </c>
      <c r="Z17" s="1562" t="str">
        <f t="shared" si="7"/>
        <v>居住社区成熟度</v>
      </c>
      <c r="AA17" s="1563">
        <f t="shared" si="3"/>
        <v>1</v>
      </c>
      <c r="AB17" s="1563">
        <f t="shared" si="4"/>
        <v>1</v>
      </c>
      <c r="AC17" s="1563">
        <f t="shared" si="5"/>
        <v>1</v>
      </c>
    </row>
    <row r="18" spans="1:29" ht="20.25" hidden="1">
      <c r="A18" s="532"/>
      <c r="B18" s="553"/>
      <c r="C18" s="554"/>
      <c r="D18" s="557"/>
      <c r="E18" s="558"/>
      <c r="F18" s="555"/>
      <c r="G18" s="556"/>
      <c r="H18" s="559"/>
      <c r="I18" s="558"/>
      <c r="J18" s="555"/>
      <c r="K18" s="531"/>
      <c r="L18" s="2128"/>
      <c r="M18" s="2118"/>
      <c r="N18" s="2118"/>
      <c r="O18" s="2127"/>
      <c r="P18" s="3366"/>
      <c r="Q18" s="1559"/>
      <c r="R18" s="1560"/>
      <c r="S18" s="1561"/>
      <c r="T18" s="1560"/>
      <c r="U18" s="1561"/>
      <c r="V18" s="1560"/>
      <c r="W18" s="1561"/>
      <c r="X18" s="1554"/>
      <c r="Y18" s="336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66"/>
      <c r="Q19" s="1559" t="str">
        <f>B19</f>
        <v>商业繁华度</v>
      </c>
      <c r="R19" s="1560" t="s">
        <v>8</v>
      </c>
      <c r="S19" s="1561">
        <f>F19</f>
        <v>100</v>
      </c>
      <c r="T19" s="1560" t="s">
        <v>8</v>
      </c>
      <c r="U19" s="1561">
        <f>H19</f>
        <v>100</v>
      </c>
      <c r="V19" s="1560" t="s">
        <v>8</v>
      </c>
      <c r="W19" s="1561">
        <f>J19</f>
        <v>100</v>
      </c>
      <c r="X19" s="1554"/>
      <c r="Y19" s="3366"/>
      <c r="Z19" s="1562" t="str">
        <f>Q19</f>
        <v>商业繁华度</v>
      </c>
      <c r="AA19" s="1563">
        <f t="shared" si="3"/>
        <v>1</v>
      </c>
      <c r="AB19" s="1563">
        <f t="shared" si="4"/>
        <v>1</v>
      </c>
      <c r="AC19" s="1563">
        <f t="shared" si="5"/>
        <v>1</v>
      </c>
    </row>
    <row r="20" spans="1:29" ht="20.25">
      <c r="A20" s="532"/>
      <c r="B20" s="566"/>
      <c r="C20" s="3484" t="s">
        <v>3216</v>
      </c>
      <c r="D20" s="563"/>
      <c r="E20" s="3485" t="s">
        <v>3216</v>
      </c>
      <c r="F20" s="559"/>
      <c r="G20" s="3486" t="s">
        <v>3216</v>
      </c>
      <c r="H20" s="555"/>
      <c r="I20" s="3485" t="s">
        <v>3216</v>
      </c>
      <c r="J20" s="555"/>
      <c r="K20" s="531"/>
      <c r="L20" s="2128"/>
      <c r="M20" s="2118"/>
      <c r="N20" s="2118"/>
      <c r="O20" s="2127"/>
      <c r="P20" s="3366"/>
      <c r="Q20" s="1559"/>
      <c r="R20" s="1560"/>
      <c r="S20" s="1561"/>
      <c r="T20" s="1560"/>
      <c r="U20" s="1561"/>
      <c r="V20" s="1560"/>
      <c r="W20" s="1561"/>
      <c r="X20" s="1554"/>
      <c r="Y20" s="3366"/>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66"/>
      <c r="Q21" s="1559" t="str">
        <f>B21</f>
        <v>办公集聚程度</v>
      </c>
      <c r="R21" s="1560" t="s">
        <v>8</v>
      </c>
      <c r="S21" s="1561">
        <f>F21</f>
        <v>100</v>
      </c>
      <c r="T21" s="1560" t="s">
        <v>8</v>
      </c>
      <c r="U21" s="1561">
        <f>H21</f>
        <v>100</v>
      </c>
      <c r="V21" s="1560" t="s">
        <v>8</v>
      </c>
      <c r="W21" s="1561">
        <f>J21</f>
        <v>100</v>
      </c>
      <c r="X21" s="1554"/>
      <c r="Y21" s="3366"/>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366"/>
      <c r="Q22" s="1559"/>
      <c r="R22" s="1560"/>
      <c r="S22" s="1561"/>
      <c r="T22" s="1560"/>
      <c r="U22" s="1561"/>
      <c r="V22" s="1560"/>
      <c r="W22" s="1561"/>
      <c r="X22" s="1554"/>
      <c r="Y22" s="336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66"/>
      <c r="Q23" s="1559" t="str">
        <f>B23</f>
        <v>交通便捷度</v>
      </c>
      <c r="R23" s="1560" t="s">
        <v>8</v>
      </c>
      <c r="S23" s="1561">
        <f>F23</f>
        <v>100</v>
      </c>
      <c r="T23" s="1560" t="s">
        <v>8</v>
      </c>
      <c r="U23" s="1561">
        <f>H23</f>
        <v>100</v>
      </c>
      <c r="V23" s="1560" t="s">
        <v>8</v>
      </c>
      <c r="W23" s="1561">
        <f>J23</f>
        <v>100</v>
      </c>
      <c r="X23" s="1554"/>
      <c r="Y23" s="3366"/>
      <c r="Z23" s="1562" t="str">
        <f>Q23</f>
        <v>交通便捷度</v>
      </c>
      <c r="AA23" s="1563">
        <f t="shared" si="3"/>
        <v>1</v>
      </c>
      <c r="AB23" s="1563">
        <f t="shared" si="4"/>
        <v>1</v>
      </c>
      <c r="AC23" s="1563">
        <f t="shared" si="5"/>
        <v>1</v>
      </c>
    </row>
    <row r="24" spans="1:29" ht="20.25">
      <c r="A24" s="532"/>
      <c r="B24" s="578"/>
      <c r="C24" s="3487" t="s">
        <v>3216</v>
      </c>
      <c r="D24" s="557"/>
      <c r="E24" s="3488" t="s">
        <v>3216</v>
      </c>
      <c r="F24" s="555"/>
      <c r="G24" s="3489" t="s">
        <v>3216</v>
      </c>
      <c r="H24" s="555"/>
      <c r="I24" s="3488" t="s">
        <v>3216</v>
      </c>
      <c r="J24" s="555"/>
      <c r="K24" s="531"/>
      <c r="L24" s="2128"/>
      <c r="M24" s="2118"/>
      <c r="N24" s="2118"/>
      <c r="O24" s="2127"/>
      <c r="P24" s="3366"/>
      <c r="Q24" s="1559"/>
      <c r="R24" s="1560"/>
      <c r="S24" s="1561"/>
      <c r="T24" s="1560"/>
      <c r="U24" s="1561"/>
      <c r="V24" s="1560"/>
      <c r="W24" s="1561"/>
      <c r="X24" s="1554"/>
      <c r="Y24" s="336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66"/>
      <c r="Q25" s="1559" t="str">
        <f t="shared" ref="Q25:Q39" si="8">B25</f>
        <v>区域土地利用方向</v>
      </c>
      <c r="R25" s="1560" t="s">
        <v>8</v>
      </c>
      <c r="S25" s="1561">
        <f>F25</f>
        <v>100</v>
      </c>
      <c r="T25" s="1560" t="s">
        <v>8</v>
      </c>
      <c r="U25" s="1561">
        <f>H25</f>
        <v>100</v>
      </c>
      <c r="V25" s="1560" t="s">
        <v>8</v>
      </c>
      <c r="W25" s="1561">
        <f>J25</f>
        <v>100</v>
      </c>
      <c r="X25" s="1554"/>
      <c r="Y25" s="3366"/>
      <c r="Z25" s="1562" t="str">
        <f>Q25</f>
        <v>区域土地利用方向</v>
      </c>
      <c r="AA25" s="1563">
        <f t="shared" si="3"/>
        <v>1</v>
      </c>
      <c r="AB25" s="1563">
        <f t="shared" si="4"/>
        <v>1</v>
      </c>
      <c r="AC25" s="1563">
        <f t="shared" si="5"/>
        <v>1</v>
      </c>
    </row>
    <row r="26" spans="1:29" ht="20.25">
      <c r="A26" s="515"/>
      <c r="B26" s="1007"/>
      <c r="C26" s="3487" t="s">
        <v>3217</v>
      </c>
      <c r="D26" s="557"/>
      <c r="E26" s="3488" t="s">
        <v>3218</v>
      </c>
      <c r="F26" s="555"/>
      <c r="G26" s="3489" t="s">
        <v>3217</v>
      </c>
      <c r="H26" s="555"/>
      <c r="I26" s="3488" t="s">
        <v>3217</v>
      </c>
      <c r="J26" s="555"/>
      <c r="K26" s="531"/>
      <c r="L26" s="2128"/>
      <c r="M26" s="2118"/>
      <c r="N26" s="2118"/>
      <c r="O26" s="2127"/>
      <c r="P26" s="3366"/>
      <c r="Q26" s="1559"/>
      <c r="R26" s="1560"/>
      <c r="S26" s="1561"/>
      <c r="T26" s="1560"/>
      <c r="U26" s="1561"/>
      <c r="V26" s="1560"/>
      <c r="W26" s="1561"/>
      <c r="X26" s="1554"/>
      <c r="Y26" s="336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66"/>
      <c r="Q27" s="1559" t="str">
        <f t="shared" si="8"/>
        <v>自然及人文环境状况</v>
      </c>
      <c r="R27" s="1560" t="s">
        <v>8</v>
      </c>
      <c r="S27" s="1561">
        <f>F27</f>
        <v>100</v>
      </c>
      <c r="T27" s="1560" t="s">
        <v>8</v>
      </c>
      <c r="U27" s="1561">
        <f>H27</f>
        <v>100</v>
      </c>
      <c r="V27" s="1560" t="s">
        <v>8</v>
      </c>
      <c r="W27" s="1561">
        <f>J27</f>
        <v>100</v>
      </c>
      <c r="X27" s="1554"/>
      <c r="Y27" s="3366"/>
      <c r="Z27" s="1562" t="str">
        <f>Q27</f>
        <v>自然及人文环境状况</v>
      </c>
      <c r="AA27" s="1563">
        <f t="shared" si="3"/>
        <v>1</v>
      </c>
      <c r="AB27" s="1563">
        <f t="shared" si="4"/>
        <v>1</v>
      </c>
      <c r="AC27" s="1563">
        <f t="shared" si="5"/>
        <v>1</v>
      </c>
    </row>
    <row r="28" spans="1:29" ht="20.25">
      <c r="A28" s="515"/>
      <c r="B28" s="566"/>
      <c r="C28" s="3487" t="s">
        <v>3216</v>
      </c>
      <c r="D28" s="557"/>
      <c r="E28" s="3490" t="s">
        <v>3219</v>
      </c>
      <c r="F28" s="555"/>
      <c r="G28" s="3487" t="s">
        <v>3219</v>
      </c>
      <c r="H28" s="555"/>
      <c r="I28" s="3490" t="s">
        <v>3216</v>
      </c>
      <c r="J28" s="555"/>
      <c r="K28" s="531"/>
      <c r="L28" s="2128"/>
      <c r="M28" s="2118"/>
      <c r="N28" s="2118"/>
      <c r="O28" s="2127"/>
      <c r="P28" s="3366"/>
      <c r="Q28" s="1559"/>
      <c r="R28" s="1560"/>
      <c r="S28" s="1561"/>
      <c r="T28" s="1560"/>
      <c r="U28" s="1561"/>
      <c r="V28" s="1560"/>
      <c r="W28" s="1561"/>
      <c r="X28" s="1554"/>
      <c r="Y28" s="336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66"/>
      <c r="Q29" s="1147" t="str">
        <f t="shared" si="8"/>
        <v>公共配套设施</v>
      </c>
      <c r="R29" s="1555" t="s">
        <v>8</v>
      </c>
      <c r="S29" s="1556">
        <f>F29</f>
        <v>100</v>
      </c>
      <c r="T29" s="1555" t="s">
        <v>8</v>
      </c>
      <c r="U29" s="1556">
        <f>H29</f>
        <v>100</v>
      </c>
      <c r="V29" s="1555" t="s">
        <v>8</v>
      </c>
      <c r="W29" s="1556">
        <f>J29</f>
        <v>100</v>
      </c>
      <c r="X29" s="1557"/>
      <c r="Y29" s="3366"/>
      <c r="Z29" s="1146" t="str">
        <f>Q29</f>
        <v>公共配套设施</v>
      </c>
      <c r="AA29" s="1563">
        <f>D29/F29</f>
        <v>1</v>
      </c>
      <c r="AB29" s="1563">
        <f>D29/H29</f>
        <v>1</v>
      </c>
      <c r="AC29" s="1563">
        <f>D29/J29</f>
        <v>1</v>
      </c>
    </row>
    <row r="30" spans="1:29" s="1216" customFormat="1" ht="20.25">
      <c r="A30" s="577"/>
      <c r="B30" s="566"/>
      <c r="C30" s="3491" t="s">
        <v>3216</v>
      </c>
      <c r="D30" s="557"/>
      <c r="E30" s="3490" t="s">
        <v>3219</v>
      </c>
      <c r="F30" s="555"/>
      <c r="G30" s="3487" t="s">
        <v>3219</v>
      </c>
      <c r="H30" s="555"/>
      <c r="I30" s="3490" t="s">
        <v>3216</v>
      </c>
      <c r="J30" s="555"/>
      <c r="K30" s="531"/>
      <c r="L30" s="2121"/>
      <c r="M30" s="2118"/>
      <c r="N30" s="2118"/>
      <c r="O30" s="2123"/>
      <c r="P30" s="3366"/>
      <c r="Q30" s="1147"/>
      <c r="R30" s="1555"/>
      <c r="S30" s="1556"/>
      <c r="T30" s="1555"/>
      <c r="U30" s="1556"/>
      <c r="V30" s="1555"/>
      <c r="W30" s="1556"/>
      <c r="X30" s="1557"/>
      <c r="Y30" s="336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66"/>
      <c r="Q31" s="2543" t="str">
        <f t="shared" ref="Q31" si="9">B31</f>
        <v>基础设施水平</v>
      </c>
      <c r="R31" s="1555" t="s">
        <v>8</v>
      </c>
      <c r="S31" s="1556">
        <f>F31</f>
        <v>100</v>
      </c>
      <c r="T31" s="1555" t="s">
        <v>8</v>
      </c>
      <c r="U31" s="1556">
        <f>H31</f>
        <v>100</v>
      </c>
      <c r="V31" s="1555" t="s">
        <v>8</v>
      </c>
      <c r="W31" s="1556">
        <f>J31</f>
        <v>100</v>
      </c>
      <c r="X31" s="1557"/>
      <c r="Y31" s="3366"/>
      <c r="Z31" s="2540" t="str">
        <f>Q31</f>
        <v>基础设施水平</v>
      </c>
      <c r="AA31" s="1563">
        <f>D31/F31</f>
        <v>1</v>
      </c>
      <c r="AB31" s="1563">
        <f>D31/H31</f>
        <v>1</v>
      </c>
      <c r="AC31" s="1563">
        <f>D31/J31</f>
        <v>1</v>
      </c>
    </row>
    <row r="32" spans="1:29" s="1216" customFormat="1" ht="20.25">
      <c r="A32" s="577"/>
      <c r="B32" s="566"/>
      <c r="C32" s="3491" t="s">
        <v>3220</v>
      </c>
      <c r="D32" s="557"/>
      <c r="E32" s="3492" t="s">
        <v>3220</v>
      </c>
      <c r="F32" s="555"/>
      <c r="G32" s="3491" t="s">
        <v>3220</v>
      </c>
      <c r="H32" s="555"/>
      <c r="I32" s="3491" t="s">
        <v>3220</v>
      </c>
      <c r="J32" s="555"/>
      <c r="K32" s="531"/>
      <c r="L32" s="2121"/>
      <c r="M32" s="2118"/>
      <c r="N32" s="2118"/>
      <c r="O32" s="2123"/>
      <c r="P32" s="3366"/>
      <c r="Q32" s="2543"/>
      <c r="R32" s="1555"/>
      <c r="S32" s="1556"/>
      <c r="T32" s="1555"/>
      <c r="U32" s="1556"/>
      <c r="V32" s="1555"/>
      <c r="W32" s="1556"/>
      <c r="X32" s="1557"/>
      <c r="Y32" s="3366"/>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6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66"/>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66"/>
      <c r="Q34" s="1559" t="str">
        <f t="shared" si="8"/>
        <v>毗邻道路的类型与等级</v>
      </c>
      <c r="R34" s="1560" t="s">
        <v>8</v>
      </c>
      <c r="S34" s="1561">
        <f t="shared" si="10"/>
        <v>100</v>
      </c>
      <c r="T34" s="1560" t="s">
        <v>8</v>
      </c>
      <c r="U34" s="1561">
        <f t="shared" si="11"/>
        <v>100</v>
      </c>
      <c r="V34" s="1560" t="s">
        <v>8</v>
      </c>
      <c r="W34" s="1561">
        <f t="shared" si="12"/>
        <v>100</v>
      </c>
      <c r="X34" s="1554"/>
      <c r="Y34" s="3366"/>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66"/>
      <c r="Q35" s="1559"/>
      <c r="R35" s="1560"/>
      <c r="S35" s="1561"/>
      <c r="T35" s="1560"/>
      <c r="U35" s="1561"/>
      <c r="V35" s="1560"/>
      <c r="W35" s="1561"/>
      <c r="X35" s="1554"/>
      <c r="Y35" s="3366"/>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66"/>
      <c r="Q36" s="1559" t="str">
        <f t="shared" si="8"/>
        <v>土地级别</v>
      </c>
      <c r="R36" s="1560" t="s">
        <v>8</v>
      </c>
      <c r="S36" s="1561">
        <f t="shared" si="10"/>
        <v>100</v>
      </c>
      <c r="T36" s="1560" t="s">
        <v>8</v>
      </c>
      <c r="U36" s="1561">
        <f t="shared" si="11"/>
        <v>100</v>
      </c>
      <c r="V36" s="1560" t="s">
        <v>8</v>
      </c>
      <c r="W36" s="1561">
        <f t="shared" si="12"/>
        <v>100</v>
      </c>
      <c r="X36" s="1554"/>
      <c r="Y36" s="3366"/>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66"/>
      <c r="Q37" s="1559">
        <f t="shared" si="8"/>
        <v>111</v>
      </c>
      <c r="R37" s="1560" t="s">
        <v>8</v>
      </c>
      <c r="S37" s="1561">
        <f t="shared" si="10"/>
        <v>100</v>
      </c>
      <c r="T37" s="1560" t="s">
        <v>8</v>
      </c>
      <c r="U37" s="1561">
        <f t="shared" si="11"/>
        <v>100</v>
      </c>
      <c r="V37" s="1560" t="s">
        <v>8</v>
      </c>
      <c r="W37" s="1561">
        <f t="shared" si="12"/>
        <v>100</v>
      </c>
      <c r="X37" s="1554"/>
      <c r="Y37" s="3366"/>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67" t="s">
        <v>550</v>
      </c>
      <c r="Q38" s="1559">
        <f t="shared" si="8"/>
        <v>111</v>
      </c>
      <c r="R38" s="1560" t="s">
        <v>8</v>
      </c>
      <c r="S38" s="1561">
        <f t="shared" si="10"/>
        <v>100</v>
      </c>
      <c r="T38" s="1560" t="s">
        <v>8</v>
      </c>
      <c r="U38" s="1561">
        <f t="shared" si="11"/>
        <v>100</v>
      </c>
      <c r="V38" s="1560" t="s">
        <v>8</v>
      </c>
      <c r="W38" s="1561">
        <f t="shared" si="12"/>
        <v>100</v>
      </c>
      <c r="X38" s="1554"/>
      <c r="Y38" s="3368"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68"/>
      <c r="Q39" s="1559">
        <f t="shared" si="8"/>
        <v>111</v>
      </c>
      <c r="R39" s="1564" t="s">
        <v>8</v>
      </c>
      <c r="S39" s="1565">
        <f t="shared" si="10"/>
        <v>100</v>
      </c>
      <c r="T39" s="1564" t="s">
        <v>8</v>
      </c>
      <c r="U39" s="1565">
        <f t="shared" si="11"/>
        <v>100</v>
      </c>
      <c r="V39" s="1564" t="s">
        <v>8</v>
      </c>
      <c r="W39" s="1565">
        <f t="shared" si="12"/>
        <v>100</v>
      </c>
      <c r="X39" s="1566"/>
      <c r="Y39" s="3368"/>
      <c r="Z39" s="1567">
        <f t="shared" si="13"/>
        <v>111</v>
      </c>
      <c r="AA39" s="1563">
        <f t="shared" si="3"/>
        <v>1</v>
      </c>
      <c r="AB39" s="1563">
        <f t="shared" si="4"/>
        <v>1</v>
      </c>
      <c r="AC39" s="1563">
        <f t="shared" si="5"/>
        <v>1</v>
      </c>
    </row>
    <row r="40" spans="1:29" ht="20.25">
      <c r="A40" s="2863" t="s">
        <v>2755</v>
      </c>
      <c r="B40" s="595" t="s">
        <v>552</v>
      </c>
      <c r="C40" s="596">
        <v>53054</v>
      </c>
      <c r="D40" s="597">
        <v>100</v>
      </c>
      <c r="E40" s="596">
        <f>Sheet1!D14</f>
        <v>17089</v>
      </c>
      <c r="F40" s="597">
        <f>LOOKUP(E40,119:119,120:120)-LOOKUP(C40,119:119,120:120)+100</f>
        <v>96</v>
      </c>
      <c r="G40" s="596">
        <f>Sheet1!D25</f>
        <v>82385</v>
      </c>
      <c r="H40" s="597">
        <f>LOOKUP(G40,119:119,120:120)-LOOKUP(C40,119:119,120:120)+100</f>
        <v>104</v>
      </c>
      <c r="I40" s="598">
        <f>Sheet1!D30</f>
        <v>83845</v>
      </c>
      <c r="J40" s="597">
        <f>LOOKUP(I40,119:119,120:120)-LOOKUP(C40,119:119,120:120)+100</f>
        <v>104</v>
      </c>
      <c r="K40" s="581"/>
      <c r="L40" s="2128"/>
      <c r="M40" s="2118"/>
      <c r="N40" s="2118"/>
      <c r="O40" s="2127"/>
      <c r="P40" s="3368"/>
      <c r="Q40" s="1559" t="str">
        <f>B40</f>
        <v>宗地面积</v>
      </c>
      <c r="R40" s="1560" t="s">
        <v>8</v>
      </c>
      <c r="S40" s="1561">
        <f t="shared" si="10"/>
        <v>96</v>
      </c>
      <c r="T40" s="1560" t="s">
        <v>8</v>
      </c>
      <c r="U40" s="1561">
        <f t="shared" si="11"/>
        <v>104</v>
      </c>
      <c r="V40" s="1560" t="s">
        <v>8</v>
      </c>
      <c r="W40" s="1561">
        <f t="shared" si="12"/>
        <v>104</v>
      </c>
      <c r="X40" s="1554"/>
      <c r="Y40" s="3368"/>
      <c r="Z40" s="1562" t="str">
        <f t="shared" si="13"/>
        <v>宗地面积</v>
      </c>
      <c r="AA40" s="1563">
        <f t="shared" si="3"/>
        <v>1.0416666666666667</v>
      </c>
      <c r="AB40" s="1563">
        <f t="shared" si="4"/>
        <v>0.96153846153846156</v>
      </c>
      <c r="AC40" s="1563">
        <f t="shared" si="5"/>
        <v>0.96153846153846156</v>
      </c>
    </row>
    <row r="41" spans="1:29" ht="20.25">
      <c r="A41" s="594"/>
      <c r="B41" s="527" t="s">
        <v>553</v>
      </c>
      <c r="C41" s="3493" t="s">
        <v>3221</v>
      </c>
      <c r="D41" s="540">
        <v>100</v>
      </c>
      <c r="E41" s="3493" t="s">
        <v>3221</v>
      </c>
      <c r="F41" s="540">
        <f>SUMIF(121:121,E41,122:122)-SUMIF(121:121,C41,122:122)+100</f>
        <v>100</v>
      </c>
      <c r="G41" s="3493" t="s">
        <v>3221</v>
      </c>
      <c r="H41" s="540">
        <f>SUMIF(121:121,G41,122:122)-SUMIF(121:121,C41,122:122)+100</f>
        <v>100</v>
      </c>
      <c r="I41" s="3493" t="s">
        <v>3221</v>
      </c>
      <c r="J41" s="540">
        <f>SUMIF(121:121,I41,122:122)-SUMIF(121:121,C41,122:122)+100</f>
        <v>100</v>
      </c>
      <c r="K41" s="584"/>
      <c r="L41" s="2128"/>
      <c r="M41" s="2118"/>
      <c r="N41" s="2118"/>
      <c r="O41" s="2127"/>
      <c r="P41" s="3368"/>
      <c r="Q41" s="1559" t="str">
        <f t="shared" ref="Q41:Q47" si="14">B41</f>
        <v>宗地形状</v>
      </c>
      <c r="R41" s="1560" t="s">
        <v>8</v>
      </c>
      <c r="S41" s="1561">
        <f t="shared" si="10"/>
        <v>100</v>
      </c>
      <c r="T41" s="1560" t="s">
        <v>8</v>
      </c>
      <c r="U41" s="1561">
        <f t="shared" si="11"/>
        <v>100</v>
      </c>
      <c r="V41" s="1560" t="s">
        <v>8</v>
      </c>
      <c r="W41" s="1561">
        <f t="shared" si="12"/>
        <v>100</v>
      </c>
      <c r="X41" s="1554"/>
      <c r="Y41" s="3368"/>
      <c r="Z41" s="1562" t="str">
        <f t="shared" si="13"/>
        <v>宗地形状</v>
      </c>
      <c r="AA41" s="1563">
        <f t="shared" si="3"/>
        <v>1</v>
      </c>
      <c r="AB41" s="1563">
        <f t="shared" si="4"/>
        <v>1</v>
      </c>
      <c r="AC41" s="1563">
        <f t="shared" si="5"/>
        <v>1</v>
      </c>
    </row>
    <row r="42" spans="1:29" ht="20.25">
      <c r="A42" s="594"/>
      <c r="B42" s="527" t="s">
        <v>554</v>
      </c>
      <c r="C42" s="3493" t="s">
        <v>3217</v>
      </c>
      <c r="D42" s="540">
        <v>100</v>
      </c>
      <c r="E42" s="3493" t="s">
        <v>3217</v>
      </c>
      <c r="F42" s="540">
        <f>SUMIF(123:123,E42,124:124)-SUMIF(123:123,C42,124:124)+100</f>
        <v>100</v>
      </c>
      <c r="G42" s="3493" t="s">
        <v>3217</v>
      </c>
      <c r="H42" s="540">
        <f>SUMIF(123:123,G42,124:124)-SUMIF(123:123,C42,124:124)+100</f>
        <v>100</v>
      </c>
      <c r="I42" s="3493" t="s">
        <v>3217</v>
      </c>
      <c r="J42" s="540">
        <f>SUMIF(123:123,I42,124:124)-SUMIF(123:123,C42,124:124)+100</f>
        <v>100</v>
      </c>
      <c r="K42" s="584"/>
      <c r="L42" s="2128"/>
      <c r="M42" s="2118"/>
      <c r="N42" s="2118"/>
      <c r="O42" s="2127"/>
      <c r="P42" s="3368"/>
      <c r="Q42" s="1559" t="str">
        <f t="shared" si="14"/>
        <v>临街宽度及深度</v>
      </c>
      <c r="R42" s="1560" t="s">
        <v>8</v>
      </c>
      <c r="S42" s="1561">
        <f t="shared" si="10"/>
        <v>100</v>
      </c>
      <c r="T42" s="1560" t="s">
        <v>8</v>
      </c>
      <c r="U42" s="1561">
        <f t="shared" si="11"/>
        <v>100</v>
      </c>
      <c r="V42" s="1560" t="s">
        <v>8</v>
      </c>
      <c r="W42" s="1561">
        <f t="shared" si="12"/>
        <v>100</v>
      </c>
      <c r="X42" s="1554"/>
      <c r="Y42" s="3368"/>
      <c r="Z42" s="1562" t="str">
        <f t="shared" si="13"/>
        <v>临街宽度及深度</v>
      </c>
      <c r="AA42" s="1563">
        <f t="shared" si="3"/>
        <v>1</v>
      </c>
      <c r="AB42" s="1563">
        <f t="shared" si="4"/>
        <v>1</v>
      </c>
      <c r="AC42" s="1563">
        <f t="shared" si="5"/>
        <v>1</v>
      </c>
    </row>
    <row r="43" spans="1:29" s="1216" customFormat="1" ht="20.25">
      <c r="A43" s="600"/>
      <c r="B43" s="1881" t="s">
        <v>2424</v>
      </c>
      <c r="C43" s="3494" t="s">
        <v>3222</v>
      </c>
      <c r="D43" s="255">
        <v>100</v>
      </c>
      <c r="E43" s="3494" t="s">
        <v>3222</v>
      </c>
      <c r="F43" s="540">
        <f>SUMIF(125:125,E43,126:126)-SUMIF(125:125,C43,126:126)+100</f>
        <v>100</v>
      </c>
      <c r="G43" s="3494" t="s">
        <v>3222</v>
      </c>
      <c r="H43" s="540">
        <f>SUMIF(125:125,G43,126:126)-SUMIF(125:125,C43,126:126)+100</f>
        <v>100</v>
      </c>
      <c r="I43" s="3494" t="s">
        <v>3222</v>
      </c>
      <c r="J43" s="540">
        <f>SUMIF(125:125,I43,126:126)-SUMIF(125:125,C43,126:126)+100</f>
        <v>100</v>
      </c>
      <c r="K43" s="584"/>
      <c r="L43" s="2121"/>
      <c r="M43" s="2118"/>
      <c r="N43" s="2118"/>
      <c r="O43" s="2123"/>
      <c r="P43" s="3368"/>
      <c r="Q43" s="1559" t="str">
        <f t="shared" si="14"/>
        <v>宗地开发程度</v>
      </c>
      <c r="R43" s="1555" t="s">
        <v>8</v>
      </c>
      <c r="S43" s="1556">
        <f t="shared" si="10"/>
        <v>100</v>
      </c>
      <c r="T43" s="1555" t="s">
        <v>8</v>
      </c>
      <c r="U43" s="1556">
        <f t="shared" si="11"/>
        <v>100</v>
      </c>
      <c r="V43" s="1555" t="s">
        <v>8</v>
      </c>
      <c r="W43" s="1556">
        <f t="shared" si="12"/>
        <v>100</v>
      </c>
      <c r="X43" s="1557"/>
      <c r="Y43" s="3368"/>
      <c r="Z43" s="1146" t="str">
        <f t="shared" si="13"/>
        <v>宗地开发程度</v>
      </c>
      <c r="AA43" s="1558">
        <f t="shared" si="3"/>
        <v>1</v>
      </c>
      <c r="AB43" s="1558">
        <f t="shared" si="4"/>
        <v>1</v>
      </c>
      <c r="AC43" s="1558">
        <f t="shared" si="5"/>
        <v>1</v>
      </c>
    </row>
    <row r="44" spans="1:29" ht="20.25">
      <c r="A44" s="594"/>
      <c r="B44" s="527" t="s">
        <v>555</v>
      </c>
      <c r="C44" s="3493" t="s">
        <v>3217</v>
      </c>
      <c r="D44" s="540">
        <v>100</v>
      </c>
      <c r="E44" s="3493" t="s">
        <v>3217</v>
      </c>
      <c r="F44" s="540">
        <f>SUMIF(127:127,E44,128:128)-SUMIF(127:127,C44,128:128)+100</f>
        <v>100</v>
      </c>
      <c r="G44" s="3493" t="s">
        <v>3217</v>
      </c>
      <c r="H44" s="540">
        <f>SUMIF(127:127,G44,128:128)-SUMIF(127:127,C44,128:128)+100</f>
        <v>100</v>
      </c>
      <c r="I44" s="3493" t="s">
        <v>3217</v>
      </c>
      <c r="J44" s="540">
        <f>SUMIF(127:127,I44,128:128)-SUMIF(127:127,C44,128:128)+100</f>
        <v>100</v>
      </c>
      <c r="K44" s="584"/>
      <c r="L44" s="2128"/>
      <c r="M44" s="2118"/>
      <c r="N44" s="2118"/>
      <c r="O44" s="2127"/>
      <c r="P44" s="3368" t="s">
        <v>550</v>
      </c>
      <c r="Q44" s="1559" t="str">
        <f t="shared" si="14"/>
        <v>工程地质条件</v>
      </c>
      <c r="R44" s="1560" t="s">
        <v>8</v>
      </c>
      <c r="S44" s="1561">
        <f t="shared" si="10"/>
        <v>100</v>
      </c>
      <c r="T44" s="1560" t="s">
        <v>8</v>
      </c>
      <c r="U44" s="1561">
        <f t="shared" si="11"/>
        <v>100</v>
      </c>
      <c r="V44" s="1560" t="s">
        <v>8</v>
      </c>
      <c r="W44" s="1561">
        <f t="shared" si="12"/>
        <v>100</v>
      </c>
      <c r="X44" s="1554"/>
      <c r="Y44" s="3368"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68"/>
      <c r="Q45" s="1559">
        <f t="shared" si="14"/>
        <v>111</v>
      </c>
      <c r="R45" s="1560" t="s">
        <v>8</v>
      </c>
      <c r="S45" s="1561">
        <f t="shared" si="10"/>
        <v>100</v>
      </c>
      <c r="T45" s="1560" t="s">
        <v>8</v>
      </c>
      <c r="U45" s="1561">
        <f t="shared" si="11"/>
        <v>100</v>
      </c>
      <c r="V45" s="1560" t="s">
        <v>8</v>
      </c>
      <c r="W45" s="1561">
        <f t="shared" si="12"/>
        <v>100</v>
      </c>
      <c r="X45" s="1554"/>
      <c r="Y45" s="3368"/>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68"/>
      <c r="Q46" s="1559">
        <f t="shared" si="14"/>
        <v>111</v>
      </c>
      <c r="R46" s="1560" t="s">
        <v>8</v>
      </c>
      <c r="S46" s="1561">
        <f t="shared" si="10"/>
        <v>100</v>
      </c>
      <c r="T46" s="1560" t="s">
        <v>8</v>
      </c>
      <c r="U46" s="1561">
        <f t="shared" si="11"/>
        <v>100</v>
      </c>
      <c r="V46" s="1560" t="s">
        <v>8</v>
      </c>
      <c r="W46" s="1561">
        <f t="shared" si="12"/>
        <v>100</v>
      </c>
      <c r="X46" s="1554"/>
      <c r="Y46" s="3368"/>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68"/>
      <c r="Q47" s="1559">
        <f t="shared" si="14"/>
        <v>111</v>
      </c>
      <c r="R47" s="1564" t="s">
        <v>8</v>
      </c>
      <c r="S47" s="1565">
        <f t="shared" si="10"/>
        <v>100</v>
      </c>
      <c r="T47" s="1564" t="s">
        <v>8</v>
      </c>
      <c r="U47" s="1565">
        <f t="shared" si="11"/>
        <v>100</v>
      </c>
      <c r="V47" s="1564" t="s">
        <v>8</v>
      </c>
      <c r="W47" s="1565">
        <f t="shared" si="12"/>
        <v>100</v>
      </c>
      <c r="X47" s="1566"/>
      <c r="Y47" s="3368"/>
      <c r="Z47" s="1567">
        <f t="shared" si="13"/>
        <v>111</v>
      </c>
      <c r="AA47" s="1563">
        <f t="shared" si="3"/>
        <v>1</v>
      </c>
      <c r="AB47" s="1563">
        <f t="shared" si="4"/>
        <v>1</v>
      </c>
      <c r="AC47" s="1563">
        <f t="shared" si="5"/>
        <v>1</v>
      </c>
    </row>
    <row r="48" spans="1:29" ht="20.25">
      <c r="A48" s="607" t="s">
        <v>556</v>
      </c>
      <c r="B48" s="608" t="s">
        <v>3223</v>
      </c>
      <c r="C48" s="609" t="s">
        <v>1</v>
      </c>
      <c r="D48" s="610"/>
      <c r="E48" s="611">
        <v>900</v>
      </c>
      <c r="F48" s="612"/>
      <c r="G48" s="613">
        <v>1499</v>
      </c>
      <c r="H48" s="614"/>
      <c r="I48" s="611">
        <v>1256</v>
      </c>
      <c r="J48" s="614"/>
      <c r="K48" s="1336"/>
      <c r="L48" s="2130"/>
      <c r="M48" s="2118"/>
      <c r="N48" s="2118"/>
      <c r="O48" s="2131"/>
      <c r="P48" s="3363" t="str">
        <f>A48</f>
        <v>成交单价</v>
      </c>
      <c r="Q48" s="3363"/>
      <c r="R48" s="3377">
        <f>E48</f>
        <v>900</v>
      </c>
      <c r="S48" s="3377"/>
      <c r="T48" s="3377">
        <f>G48</f>
        <v>1499</v>
      </c>
      <c r="U48" s="3377"/>
      <c r="V48" s="3377">
        <f>I48</f>
        <v>1256</v>
      </c>
      <c r="W48" s="3377"/>
      <c r="X48" s="1546"/>
      <c r="Y48" s="1568"/>
      <c r="Z48" s="1546"/>
      <c r="AA48" s="1546"/>
      <c r="AB48" s="1546"/>
      <c r="AC48" s="1546"/>
    </row>
    <row r="49" spans="1:29" ht="21" thickBot="1">
      <c r="A49" s="615" t="s">
        <v>2693</v>
      </c>
      <c r="B49" s="616"/>
      <c r="C49" s="617">
        <f>R50</f>
        <v>1189</v>
      </c>
      <c r="D49" s="618"/>
      <c r="E49" s="617">
        <f>R49</f>
        <v>921</v>
      </c>
      <c r="F49" s="619"/>
      <c r="G49" s="620">
        <f>T49</f>
        <v>1445</v>
      </c>
      <c r="H49" s="618"/>
      <c r="I49" s="617">
        <f>V49</f>
        <v>1201</v>
      </c>
      <c r="J49" s="618"/>
      <c r="K49" s="1337"/>
      <c r="L49" s="2130"/>
      <c r="M49" s="2118"/>
      <c r="N49" s="2118"/>
      <c r="O49" s="2131"/>
      <c r="P49" s="3363" t="str">
        <f>A49</f>
        <v>比较价格（元/平方米）</v>
      </c>
      <c r="Q49" s="3363"/>
      <c r="R49" s="3387">
        <f>ROUND(PRODUCT(R48,AA9:AA47),0)</f>
        <v>921</v>
      </c>
      <c r="S49" s="3387"/>
      <c r="T49" s="3387">
        <f>ROUND(PRODUCT(T48,AB9:AB47),0)</f>
        <v>1445</v>
      </c>
      <c r="U49" s="3387"/>
      <c r="V49" s="3387">
        <f>ROUND(PRODUCT(V48,AC9:AC47),0)</f>
        <v>1201</v>
      </c>
      <c r="W49" s="3387"/>
      <c r="X49" s="1546"/>
      <c r="Y49" s="1546"/>
      <c r="Z49" s="1546"/>
      <c r="AA49" s="1546"/>
      <c r="AB49" s="1546"/>
      <c r="AC49" s="1546"/>
    </row>
    <row r="50" spans="1:29" ht="21" thickBot="1">
      <c r="A50" s="621" t="s">
        <v>2937</v>
      </c>
      <c r="B50" s="622"/>
      <c r="C50" s="623">
        <f>R50</f>
        <v>1189</v>
      </c>
      <c r="D50" s="623"/>
      <c r="E50" s="623"/>
      <c r="F50" s="623"/>
      <c r="G50" s="623"/>
      <c r="H50" s="623"/>
      <c r="I50" s="623"/>
      <c r="J50" s="623"/>
      <c r="K50" s="1338"/>
      <c r="L50" s="2130"/>
      <c r="M50" s="2118"/>
      <c r="N50" s="2118"/>
      <c r="O50" s="2131"/>
      <c r="P50" s="3384" t="str">
        <f>A50</f>
        <v>估价对象XX用房的比较价格（楼面单价，元/平方米）</v>
      </c>
      <c r="Q50" s="3385"/>
      <c r="R50" s="3386">
        <f>ROUND(AVERAGE(R49:V49),0)</f>
        <v>1189</v>
      </c>
      <c r="S50" s="3386"/>
      <c r="T50" s="3386"/>
      <c r="U50" s="3386"/>
      <c r="V50" s="3386"/>
      <c r="W50" s="3386"/>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2.3333333333333428E-2</v>
      </c>
      <c r="F53" s="627" t="str">
        <f>IF(OR(E53&gt;=0.3,E53&lt;=-0.3),"超过30%","")</f>
        <v/>
      </c>
      <c r="G53" s="626">
        <f>IF(G48&lt;G49,G49/G48-1,G48/G49-1)</f>
        <v>3.7370242214532778E-2</v>
      </c>
      <c r="H53" s="627" t="str">
        <f>IF(OR(G53&gt;=0.3,G53&lt;=-0.3),"超过30%","")</f>
        <v/>
      </c>
      <c r="I53" s="626">
        <f>IF(I48&lt;I49,I49/I48-1,I48/I49-1)</f>
        <v>4.5795170691090847E-2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0.56894679695982631</v>
      </c>
      <c r="F54" s="627" t="str">
        <f>IF(OR(E54&gt;=0.2,E54&lt;=-0.2),"超过20%","")</f>
        <v>超过20%</v>
      </c>
      <c r="G54" s="626">
        <f>IF(G49&lt;I49,I49/G49-1,G49/I49-1)</f>
        <v>0.20316402997502081</v>
      </c>
      <c r="H54" s="627" t="str">
        <f>IF(OR(G54&gt;=0.2,G54&lt;=-0.2),"超过20%","")</f>
        <v>超过20%</v>
      </c>
      <c r="I54" s="626">
        <f>IF(I49&lt;E49,E49/I49-1,I49/E49-1)</f>
        <v>0.30401737242128113</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0.66555555555555546</v>
      </c>
      <c r="F55" s="627" t="str">
        <f>IF(OR(E55&gt;=0.3,E55&lt;=-0.3),"超过30%","")</f>
        <v>超过30%</v>
      </c>
      <c r="G55" s="626">
        <f>IF(G48&lt;I48,I48/G48-1,G48/I48-1)</f>
        <v>0.19347133757961776</v>
      </c>
      <c r="H55" s="627" t="str">
        <f>IF(OR(G55&gt;=0.3,G55&lt;=-0.3),"超过30%","")</f>
        <v/>
      </c>
      <c r="I55" s="626">
        <f>IF(I48&lt;E48,E48/I48-1,I48/E48-1)</f>
        <v>0.39555555555555566</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47" t="s">
        <v>2281</v>
      </c>
      <c r="H57" s="334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1189</v>
      </c>
      <c r="C58" s="635">
        <v>1</v>
      </c>
      <c r="D58" s="2214">
        <v>1</v>
      </c>
      <c r="E58" s="635">
        <f>'数据-汇总表'!E8+'数据-汇总表'!E9</f>
        <v>110054.14</v>
      </c>
      <c r="F58" s="636">
        <f t="shared" ref="F58:F67" si="15">ROUND(B58*E58/10000,0)</f>
        <v>13085</v>
      </c>
      <c r="G58" s="3349"/>
      <c r="H58" s="335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5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5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5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5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30153.729999999996</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140207.87</v>
      </c>
      <c r="F68" s="644">
        <f>IF(B48="楼面地价",SUM(F58:F67),ROUND(C50*E68/10000,0))</f>
        <v>13085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2019-10-1</v>
      </c>
      <c r="D70" s="2755">
        <f>EDATE(C70,-3)</f>
        <v>43647</v>
      </c>
      <c r="E70" s="2755">
        <f t="shared" ref="E70:N70" si="18">EDATE(D70,-3)</f>
        <v>43556</v>
      </c>
      <c r="F70" s="2755">
        <f t="shared" si="18"/>
        <v>43466</v>
      </c>
      <c r="G70" s="2755">
        <f t="shared" si="18"/>
        <v>43374</v>
      </c>
      <c r="H70" s="2755">
        <f t="shared" si="18"/>
        <v>43282</v>
      </c>
      <c r="I70" s="2755">
        <f t="shared" si="18"/>
        <v>43191</v>
      </c>
      <c r="J70" s="2755">
        <f t="shared" si="18"/>
        <v>43101</v>
      </c>
      <c r="K70" s="2755">
        <f t="shared" si="18"/>
        <v>43009</v>
      </c>
      <c r="L70" s="2755">
        <f t="shared" si="18"/>
        <v>42917</v>
      </c>
      <c r="M70" s="2755">
        <f t="shared" si="18"/>
        <v>42826</v>
      </c>
      <c r="N70" s="2755">
        <f t="shared" si="18"/>
        <v>42736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北京市平均增长率1.98%</v>
      </c>
      <c r="C73" s="894">
        <v>100</v>
      </c>
      <c r="D73" s="730">
        <v>99</v>
      </c>
      <c r="E73" s="730">
        <v>98</v>
      </c>
      <c r="F73" s="730">
        <v>97</v>
      </c>
      <c r="G73" s="730">
        <v>96</v>
      </c>
      <c r="H73" s="730">
        <v>95</v>
      </c>
      <c r="I73" s="730">
        <v>94</v>
      </c>
      <c r="J73" s="730">
        <v>93</v>
      </c>
      <c r="K73" s="730">
        <v>92</v>
      </c>
      <c r="L73" s="730">
        <v>91</v>
      </c>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20000</v>
      </c>
      <c r="E119" s="730">
        <v>40000</v>
      </c>
      <c r="F119" s="730">
        <v>60000</v>
      </c>
      <c r="G119" s="730">
        <v>80000</v>
      </c>
      <c r="H119" s="730">
        <v>100000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40712</v>
      </c>
      <c r="C2" s="2090"/>
      <c r="D2" s="2090"/>
      <c r="E2" s="2090"/>
      <c r="F2" s="2090"/>
      <c r="G2" s="2090"/>
      <c r="H2" s="2090"/>
      <c r="I2" s="2090"/>
      <c r="J2" s="2090"/>
      <c r="K2" s="2090"/>
    </row>
    <row r="3" spans="1:31" s="2027" customFormat="1" ht="18" customHeight="1">
      <c r="A3" s="2092" t="s">
        <v>1684</v>
      </c>
      <c r="B3" s="2093">
        <f ca="1">ROUND(B2*10000/IF(B1="",'数据-汇总表'!E3,INDIRECT("'数据-取费表'!K"&amp;$K$1)),0)</f>
        <v>2871</v>
      </c>
      <c r="C3" s="2090"/>
      <c r="D3" s="2090"/>
      <c r="E3" s="2090"/>
      <c r="F3" s="2090"/>
      <c r="G3" s="2090"/>
      <c r="H3" s="2090"/>
      <c r="I3" s="2090"/>
      <c r="J3" s="2090"/>
      <c r="K3" s="2090"/>
    </row>
    <row r="4" spans="1:31" s="2027" customFormat="1" ht="18" customHeight="1">
      <c r="A4" s="426" t="s">
        <v>468</v>
      </c>
      <c r="B4" s="427">
        <f ca="1">ROUND(B2*10000/IF(B1="",'数据-汇总表'!D3,INDIRECT("'数据-取费表'!R"&amp;$K$1)),0)</f>
        <v>8800</v>
      </c>
      <c r="C4" s="428"/>
      <c r="D4" s="422"/>
      <c r="E4" s="422"/>
      <c r="F4" s="422"/>
      <c r="G4" s="422"/>
      <c r="H4" s="422"/>
      <c r="I4" s="422"/>
      <c r="J4" s="422"/>
      <c r="K4" s="422"/>
    </row>
    <row r="5" spans="1:31" s="2027" customFormat="1" ht="18" customHeight="1" thickBot="1">
      <c r="A5" s="429"/>
      <c r="B5" s="430">
        <f ca="1">ROUND(B2/(IF(B1="",'数据-汇总表'!D3,INDIRECT("'数据-取费表'!R"&amp;$K$1))/666.67),0)</f>
        <v>587</v>
      </c>
      <c r="C5" s="431" t="s">
        <v>469</v>
      </c>
      <c r="D5" s="422"/>
      <c r="E5" s="422"/>
      <c r="F5" s="422"/>
      <c r="G5" s="422"/>
      <c r="H5" s="422"/>
      <c r="I5" s="422"/>
      <c r="J5" s="422"/>
      <c r="K5" s="422"/>
    </row>
    <row r="6" spans="1:31" s="2097" customFormat="1" ht="16.5" customHeight="1">
      <c r="A6" s="2784" t="s">
        <v>1842</v>
      </c>
      <c r="B6" s="2785"/>
      <c r="C6" s="2786">
        <f ca="1">SUM(C10:K10)</f>
        <v>140054</v>
      </c>
      <c r="D6" s="2785"/>
      <c r="E6" s="2785"/>
      <c r="F6" s="2785"/>
      <c r="G6" s="2785"/>
      <c r="H6" s="2785"/>
      <c r="I6" s="2785"/>
      <c r="J6" s="2785"/>
      <c r="K6" s="2787"/>
    </row>
    <row r="7" spans="1:31" s="2099" customFormat="1" ht="15">
      <c r="A7" s="2788" t="s">
        <v>470</v>
      </c>
      <c r="B7" s="2789" t="s">
        <v>471</v>
      </c>
      <c r="C7" s="436" t="s">
        <v>3005</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9989</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140207.87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f ca="1">不动产收益法!B2</f>
        <v>140054</v>
      </c>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42417</v>
      </c>
      <c r="D13" s="2800"/>
      <c r="E13" s="2801"/>
      <c r="F13" s="2802"/>
      <c r="G13" s="2768"/>
      <c r="H13" s="2769"/>
      <c r="I13" s="2769"/>
      <c r="J13" s="2769"/>
      <c r="K13" s="2770"/>
    </row>
    <row r="14" spans="1:31" s="2102" customFormat="1" ht="13.5" customHeight="1">
      <c r="A14" s="2798" t="s">
        <v>1849</v>
      </c>
      <c r="B14" s="2799" t="s">
        <v>480</v>
      </c>
      <c r="C14" s="53">
        <f ca="1">ROUND(C13*F14,0)</f>
        <v>1273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2127</v>
      </c>
      <c r="D16" s="2800">
        <f ca="1">IF(B1="",'数据-汇总表'!E3,INDIRECT("'数据-取费表'!K"&amp;$K$1)+INDIRECT("'数据-取费表'!S"&amp;$K$1))</f>
        <v>141821.06</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636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46453</v>
      </c>
      <c r="D18" s="2809"/>
      <c r="E18" s="468"/>
      <c r="F18" s="468"/>
      <c r="G18" s="2772" t="s">
        <v>2430</v>
      </c>
      <c r="H18" s="2773"/>
      <c r="I18" s="2773"/>
      <c r="J18" s="2773"/>
      <c r="K18" s="2774"/>
    </row>
    <row r="19" spans="1:14" s="2102" customFormat="1" ht="13.5" customHeight="1">
      <c r="A19" s="2806" t="s">
        <v>1854</v>
      </c>
      <c r="B19" s="2807" t="s">
        <v>488</v>
      </c>
      <c r="C19" s="2764">
        <f ca="1">ROUND(D19*E19/10000,0)</f>
        <v>1276</v>
      </c>
      <c r="D19" s="2810">
        <f ca="1">D16</f>
        <v>141821.06</v>
      </c>
      <c r="E19" s="2764">
        <f>'数据-取费表'!B32</f>
        <v>90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141821.06</v>
      </c>
      <c r="E22" s="53">
        <f>'数据-取费表'!B28</f>
        <v>0</v>
      </c>
      <c r="F22" s="2803"/>
      <c r="G22" s="26"/>
      <c r="H22" s="51"/>
      <c r="I22" s="51"/>
      <c r="J22" s="51"/>
      <c r="K22" s="2775"/>
    </row>
    <row r="23" spans="1:14" s="2102" customFormat="1" ht="13.5" customHeight="1">
      <c r="A23" s="2806" t="s">
        <v>1858</v>
      </c>
      <c r="B23" s="2987" t="s">
        <v>2834</v>
      </c>
      <c r="C23" s="2808">
        <f ca="1">ROUND((C18+C19+C20)*F23,0)</f>
        <v>955</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7" t="s">
        <v>2837</v>
      </c>
      <c r="C24" s="2808">
        <f ca="1">ROUND(C6*F24,0)</f>
        <v>2801</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7"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8" t="s">
        <v>2836</v>
      </c>
      <c r="C26" s="2813">
        <f ca="1">C28</f>
        <v>2446</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2446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7470</v>
      </c>
      <c r="D29" s="468"/>
      <c r="E29" s="468"/>
      <c r="F29" s="2989">
        <f>'数据-取费表'!B41</f>
        <v>5.6000000000000001E-2</v>
      </c>
      <c r="G29" s="2777" t="s">
        <v>498</v>
      </c>
      <c r="H29" s="2769"/>
      <c r="I29" s="2769"/>
      <c r="J29" s="2769"/>
      <c r="K29" s="2770"/>
    </row>
    <row r="30" spans="1:14" s="2107" customFormat="1" ht="13.5" customHeight="1">
      <c r="A30" s="1621" t="s">
        <v>1863</v>
      </c>
      <c r="B30" s="2818" t="s">
        <v>500</v>
      </c>
      <c r="C30" s="2813">
        <f ca="1">C31</f>
        <v>61401</v>
      </c>
      <c r="D30" s="477">
        <f ca="1">C32</f>
        <v>0.12909999999999999</v>
      </c>
      <c r="E30" s="469" t="s">
        <v>495</v>
      </c>
      <c r="F30" s="471"/>
      <c r="G30" s="2776" t="s">
        <v>2973</v>
      </c>
      <c r="H30" s="2769"/>
      <c r="I30" s="2769"/>
      <c r="J30" s="2769"/>
      <c r="K30" s="2770"/>
    </row>
    <row r="31" spans="1:14" s="2106" customFormat="1" ht="13.5" customHeight="1">
      <c r="A31" s="803" t="s">
        <v>1856</v>
      </c>
      <c r="B31" s="2814"/>
      <c r="C31" s="450">
        <f ca="1">C18+C19+C20+C23+C24+C26+C29</f>
        <v>61401</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6" t="s">
        <v>2833</v>
      </c>
      <c r="B33" s="2984" t="s">
        <v>2831</v>
      </c>
      <c r="C33" s="478">
        <f ca="1">C35</f>
        <v>18020</v>
      </c>
      <c r="D33" s="467">
        <f ca="1">C34</f>
        <v>0.36020000000000002</v>
      </c>
      <c r="E33" s="469" t="s">
        <v>495</v>
      </c>
      <c r="F33" s="479">
        <f ca="1">IF(B1="",'数据-取费表'!Q16,INDIRECT("'数据-取费表'!q"&amp;$K$1))</f>
        <v>0.35</v>
      </c>
      <c r="G33" s="2772"/>
      <c r="H33" s="2773"/>
      <c r="I33" s="2773"/>
      <c r="J33" s="2773"/>
      <c r="K33" s="2774"/>
    </row>
    <row r="34" spans="1:11" s="2109" customFormat="1" ht="13.5" customHeight="1">
      <c r="A34" s="375" t="s">
        <v>1856</v>
      </c>
      <c r="B34" s="2819" t="s">
        <v>501</v>
      </c>
      <c r="C34" s="472">
        <f ca="1">ROUND((1+C25)*F33,4)</f>
        <v>0.36020000000000002</v>
      </c>
      <c r="D34" s="472"/>
      <c r="E34" s="473"/>
      <c r="F34" s="480"/>
      <c r="G34" s="261" t="s">
        <v>2290</v>
      </c>
      <c r="H34" s="2771"/>
      <c r="I34" s="2771"/>
      <c r="J34" s="2771"/>
      <c r="K34" s="279"/>
    </row>
    <row r="35" spans="1:11" s="2109" customFormat="1" ht="13.5" customHeight="1" thickBot="1">
      <c r="A35" s="1622" t="s">
        <v>1857</v>
      </c>
      <c r="B35" s="2985" t="s">
        <v>2839</v>
      </c>
      <c r="C35" s="1614">
        <f ca="1">ROUND((C18+C19+C20+C23+C24)*F33,0)</f>
        <v>18020</v>
      </c>
      <c r="D35" s="1615"/>
      <c r="E35" s="2820"/>
      <c r="F35" s="1616"/>
      <c r="G35" s="2778"/>
      <c r="H35" s="2779"/>
      <c r="I35" s="2779"/>
      <c r="J35" s="2779"/>
      <c r="K35" s="2780"/>
    </row>
    <row r="36" spans="1:11" s="2071" customFormat="1" ht="13.5" customHeight="1" thickBot="1">
      <c r="A36" s="284" t="s">
        <v>1844</v>
      </c>
      <c r="B36" s="2782"/>
      <c r="C36" s="2821">
        <f ca="1">ROUND((C6-C30-C33)/(1+D30+D33),0)</f>
        <v>40712</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82" t="str">
        <f>项目基本情况!B1</f>
        <v>出让国有建设用地使用权抵押价格预评估</v>
      </c>
      <c r="C37" s="3182"/>
      <c r="D37" s="3182"/>
      <c r="E37" s="3182"/>
      <c r="F37" s="3182"/>
      <c r="G37" s="3182"/>
      <c r="H37" s="3182"/>
      <c r="I37" s="318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42417</v>
      </c>
      <c r="D13" s="451"/>
      <c r="E13" s="365"/>
      <c r="F13" s="452"/>
      <c r="G13" s="444"/>
      <c r="H13" s="447"/>
      <c r="I13" s="447"/>
      <c r="J13" s="447"/>
      <c r="K13" s="448"/>
    </row>
    <row r="14" spans="1:41" s="2102" customFormat="1" ht="13.5" customHeight="1">
      <c r="A14" s="1619" t="s">
        <v>1849</v>
      </c>
      <c r="B14" s="449" t="s">
        <v>480</v>
      </c>
      <c r="C14" s="53">
        <f ca="1">ROUND(C13*F14,0)</f>
        <v>1273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2127</v>
      </c>
      <c r="D16" s="451">
        <f ca="1">IF(B1="",'数据-汇总表'!E3,INDIRECT("'数据-取费表'!K"&amp;$K$1)+INDIRECT("'数据-取费表'!S"&amp;$K$1))</f>
        <v>141821.06</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636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46453</v>
      </c>
      <c r="D18" s="461"/>
      <c r="E18" s="462"/>
      <c r="F18" s="462"/>
      <c r="G18" s="1323" t="s">
        <v>2432</v>
      </c>
      <c r="H18" s="447"/>
      <c r="I18" s="447"/>
      <c r="J18" s="447"/>
      <c r="K18" s="448"/>
    </row>
    <row r="19" spans="1:14" s="2105" customFormat="1" ht="13.5" customHeight="1">
      <c r="A19" s="1620" t="s">
        <v>1854</v>
      </c>
      <c r="B19" s="459" t="s">
        <v>493</v>
      </c>
      <c r="C19" s="460">
        <f ca="1">ROUND(C18*F19,0)</f>
        <v>929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2">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2251</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2251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4" t="s">
        <v>2832</v>
      </c>
      <c r="C24" s="478">
        <f ca="1">C25</f>
        <v>16584</v>
      </c>
      <c r="D24" s="489">
        <f ca="1">C26</f>
        <v>7.0000000000000001E-3</v>
      </c>
      <c r="E24" s="469" t="s">
        <v>507</v>
      </c>
      <c r="F24" s="479">
        <f ca="1">IF(B1="",'数据-取费表'!Q16,INDIRECT("'数据-取费表'!q"&amp;$K$1))</f>
        <v>0.35</v>
      </c>
      <c r="G24" s="444"/>
      <c r="H24" s="447"/>
      <c r="I24" s="447"/>
      <c r="J24" s="447"/>
      <c r="K24" s="448"/>
    </row>
    <row r="25" spans="1:14" s="2106" customFormat="1" ht="13.5" customHeight="1">
      <c r="A25" s="1619" t="s">
        <v>1848</v>
      </c>
      <c r="B25" s="1324" t="s">
        <v>2436</v>
      </c>
      <c r="C25" s="490">
        <f ca="1">ROUND((C18+C19)*F24,0)</f>
        <v>16584</v>
      </c>
      <c r="D25" s="472"/>
      <c r="E25" s="473"/>
      <c r="F25" s="480"/>
      <c r="G25" s="1322" t="s">
        <v>2433</v>
      </c>
      <c r="H25" s="457"/>
      <c r="I25" s="457"/>
      <c r="J25" s="457"/>
      <c r="K25" s="458"/>
    </row>
    <row r="26" spans="1:14" s="2106" customFormat="1" ht="13.5" customHeight="1">
      <c r="A26" s="1619" t="s">
        <v>1849</v>
      </c>
      <c r="B26" s="1324" t="s">
        <v>509</v>
      </c>
      <c r="C26" s="491">
        <f ca="1">ROUND(F20*F24,4)</f>
        <v>7.0000000000000001E-3</v>
      </c>
      <c r="D26" s="472"/>
      <c r="E26" s="481"/>
      <c r="F26" s="480"/>
      <c r="G26" s="1322" t="s">
        <v>510</v>
      </c>
      <c r="H26" s="457"/>
      <c r="I26" s="457"/>
      <c r="J26" s="457"/>
      <c r="K26" s="458"/>
    </row>
    <row r="27" spans="1:14" s="2106" customFormat="1" ht="13.5" customHeight="1">
      <c r="A27" s="1623" t="s">
        <v>1867</v>
      </c>
      <c r="B27" s="459" t="s">
        <v>511</v>
      </c>
      <c r="C27" s="2983">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72077</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9" t="s">
        <v>522</v>
      </c>
      <c r="D6" s="3370"/>
      <c r="E6" s="3393" t="s">
        <v>523</v>
      </c>
      <c r="F6" s="3394"/>
      <c r="G6" s="3369" t="s">
        <v>524</v>
      </c>
      <c r="H6" s="3370"/>
      <c r="I6" s="3369" t="s">
        <v>525</v>
      </c>
      <c r="J6" s="3370"/>
      <c r="K6" s="514" t="s">
        <v>526</v>
      </c>
      <c r="L6" s="2119"/>
      <c r="M6" s="2120"/>
      <c r="N6" s="2120"/>
      <c r="O6" s="2120"/>
      <c r="P6" s="3371" t="s">
        <v>527</v>
      </c>
      <c r="Q6" s="3372"/>
      <c r="R6" s="3357" t="s">
        <v>523</v>
      </c>
      <c r="S6" s="3358"/>
      <c r="T6" s="3357" t="s">
        <v>524</v>
      </c>
      <c r="U6" s="3358"/>
      <c r="V6" s="3377" t="s">
        <v>525</v>
      </c>
      <c r="W6" s="3377"/>
      <c r="X6" s="1554"/>
      <c r="Y6" s="3357" t="s">
        <v>527</v>
      </c>
      <c r="Z6" s="3358"/>
      <c r="AA6" s="3352" t="s">
        <v>523</v>
      </c>
      <c r="AB6" s="3353" t="s">
        <v>524</v>
      </c>
      <c r="AC6" s="3352" t="s">
        <v>525</v>
      </c>
    </row>
    <row r="7" spans="1:29" ht="15">
      <c r="A7" s="515"/>
      <c r="B7" s="516"/>
      <c r="C7" s="3380" t="s">
        <v>2931</v>
      </c>
      <c r="D7" s="3381"/>
      <c r="E7" s="3395" t="s">
        <v>2932</v>
      </c>
      <c r="F7" s="3396"/>
      <c r="G7" s="3380" t="s">
        <v>2933</v>
      </c>
      <c r="H7" s="3381"/>
      <c r="I7" s="3380" t="s">
        <v>2934</v>
      </c>
      <c r="J7" s="3381"/>
      <c r="K7" s="514"/>
      <c r="L7" s="2119"/>
      <c r="M7" s="2120"/>
      <c r="N7" s="2120"/>
      <c r="O7" s="2120"/>
      <c r="P7" s="3373"/>
      <c r="Q7" s="3374"/>
      <c r="R7" s="3359"/>
      <c r="S7" s="3360"/>
      <c r="T7" s="3359"/>
      <c r="U7" s="3360"/>
      <c r="V7" s="3377"/>
      <c r="W7" s="3377"/>
      <c r="X7" s="1554"/>
      <c r="Y7" s="3359"/>
      <c r="Z7" s="3360"/>
      <c r="AA7" s="3353"/>
      <c r="AB7" s="3353"/>
      <c r="AC7" s="3353"/>
    </row>
    <row r="8" spans="1:29" ht="15.75" thickBot="1">
      <c r="A8" s="517"/>
      <c r="B8" s="518"/>
      <c r="C8" s="3378" t="s">
        <v>2935</v>
      </c>
      <c r="D8" s="3379"/>
      <c r="E8" s="3397" t="s">
        <v>2935</v>
      </c>
      <c r="F8" s="3398"/>
      <c r="G8" s="3378" t="s">
        <v>2935</v>
      </c>
      <c r="H8" s="3379"/>
      <c r="I8" s="3378" t="s">
        <v>2935</v>
      </c>
      <c r="J8" s="3379"/>
      <c r="K8" s="514" t="s">
        <v>528</v>
      </c>
      <c r="L8" s="2119"/>
      <c r="M8" s="2120"/>
      <c r="N8" s="2120"/>
      <c r="O8" s="2120"/>
      <c r="P8" s="3375"/>
      <c r="Q8" s="3376"/>
      <c r="R8" s="3359"/>
      <c r="S8" s="3360"/>
      <c r="T8" s="3361"/>
      <c r="U8" s="3362"/>
      <c r="V8" s="3377"/>
      <c r="W8" s="3377"/>
      <c r="X8" s="1554"/>
      <c r="Y8" s="3361"/>
      <c r="Z8" s="3362"/>
      <c r="AA8" s="3354"/>
      <c r="AB8" s="3354"/>
      <c r="AC8" s="3354"/>
    </row>
    <row r="9" spans="1:29" s="1216" customFormat="1" ht="15.75" thickBot="1">
      <c r="A9" s="2867"/>
      <c r="B9" s="2874" t="s">
        <v>529</v>
      </c>
      <c r="C9" s="519">
        <f>'数据-取费表'!B2</f>
        <v>43768</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55" t="s">
        <v>530</v>
      </c>
      <c r="Q9" s="3364"/>
      <c r="R9" s="1555" t="s">
        <v>8</v>
      </c>
      <c r="S9" s="1556">
        <f t="shared" ref="S9:S17" si="0">F9</f>
        <v>0</v>
      </c>
      <c r="T9" s="1555" t="s">
        <v>8</v>
      </c>
      <c r="U9" s="1556">
        <f t="shared" ref="U9:U17" si="1">H9</f>
        <v>0</v>
      </c>
      <c r="V9" s="1555" t="s">
        <v>8</v>
      </c>
      <c r="W9" s="1556">
        <f t="shared" ref="W9:W17" si="2">J9</f>
        <v>0</v>
      </c>
      <c r="X9" s="1557"/>
      <c r="Y9" s="3355" t="s">
        <v>530</v>
      </c>
      <c r="Z9" s="3356"/>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55" t="s">
        <v>533</v>
      </c>
      <c r="Q10" s="3356"/>
      <c r="R10" s="1555" t="s">
        <v>8</v>
      </c>
      <c r="S10" s="1556">
        <f t="shared" si="0"/>
        <v>0</v>
      </c>
      <c r="T10" s="1555" t="s">
        <v>8</v>
      </c>
      <c r="U10" s="1556">
        <f t="shared" si="1"/>
        <v>0</v>
      </c>
      <c r="V10" s="1555" t="s">
        <v>8</v>
      </c>
      <c r="W10" s="1556">
        <f t="shared" si="2"/>
        <v>0</v>
      </c>
      <c r="X10" s="1557"/>
      <c r="Y10" s="3355" t="s">
        <v>533</v>
      </c>
      <c r="Z10" s="3356"/>
      <c r="AA10" s="1558" t="e">
        <f t="shared" ref="AA10:AA42" si="3">D10/F10</f>
        <v>#DIV/0!</v>
      </c>
      <c r="AB10" s="1558" t="e">
        <f t="shared" ref="AB10:AB42" si="4">D10/H10</f>
        <v>#DIV/0!</v>
      </c>
      <c r="AC10" s="1558" t="e">
        <f t="shared" ref="AC10:AC42" si="5">D10/J10</f>
        <v>#DIV/0!</v>
      </c>
    </row>
    <row r="11" spans="1:29" s="1216" customFormat="1" ht="15">
      <c r="A11" s="2869"/>
      <c r="B11" s="2876"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3" t="s">
        <v>535</v>
      </c>
      <c r="Q11" s="1147" t="str">
        <f t="shared" ref="Q11:Q17" si="6">B11</f>
        <v>用途</v>
      </c>
      <c r="R11" s="1555" t="s">
        <v>8</v>
      </c>
      <c r="S11" s="1556">
        <f t="shared" si="0"/>
        <v>100</v>
      </c>
      <c r="T11" s="1555" t="s">
        <v>8</v>
      </c>
      <c r="U11" s="1556">
        <f t="shared" si="1"/>
        <v>100</v>
      </c>
      <c r="V11" s="1555" t="s">
        <v>8</v>
      </c>
      <c r="W11" s="1556">
        <f t="shared" si="2"/>
        <v>100</v>
      </c>
      <c r="X11" s="1557"/>
      <c r="Y11" s="3320" t="s">
        <v>536</v>
      </c>
      <c r="Z11" s="1146" t="str">
        <f t="shared" ref="Z11:Z17" si="7">Q11</f>
        <v>用途</v>
      </c>
      <c r="AA11" s="1558">
        <f t="shared" si="3"/>
        <v>1</v>
      </c>
      <c r="AB11" s="1558">
        <f t="shared" si="4"/>
        <v>1</v>
      </c>
      <c r="AC11" s="1558">
        <f t="shared" si="5"/>
        <v>1</v>
      </c>
    </row>
    <row r="12" spans="1:29" s="1334" customFormat="1" ht="27">
      <c r="A12" s="2870"/>
      <c r="B12" s="2875" t="s">
        <v>2757</v>
      </c>
      <c r="C12" s="528"/>
      <c r="D12" s="255">
        <v>100</v>
      </c>
      <c r="E12" s="528"/>
      <c r="F12" s="255">
        <f>ROUND(100/'数据-取费表'!G16,0)</f>
        <v>104</v>
      </c>
      <c r="G12" s="528"/>
      <c r="H12" s="255">
        <f>ROUND(100/'数据-取费表'!G16,0)</f>
        <v>104</v>
      </c>
      <c r="I12" s="528"/>
      <c r="J12" s="255">
        <f>ROUND(100/'数据-取费表'!G16,0)</f>
        <v>104</v>
      </c>
      <c r="K12" s="531"/>
      <c r="L12" s="2124"/>
      <c r="M12" s="2164"/>
      <c r="N12" s="2164"/>
      <c r="O12" s="2125"/>
      <c r="P12" s="3363"/>
      <c r="Q12" s="1147" t="str">
        <f t="shared" si="6"/>
        <v>土地使用年限（年）</v>
      </c>
      <c r="R12" s="1555" t="s">
        <v>8</v>
      </c>
      <c r="S12" s="1556">
        <f t="shared" si="0"/>
        <v>104</v>
      </c>
      <c r="T12" s="1555" t="s">
        <v>8</v>
      </c>
      <c r="U12" s="1556">
        <f t="shared" si="1"/>
        <v>104</v>
      </c>
      <c r="V12" s="1555" t="s">
        <v>8</v>
      </c>
      <c r="W12" s="1556">
        <f t="shared" si="2"/>
        <v>104</v>
      </c>
      <c r="X12" s="1557"/>
      <c r="Y12" s="3320"/>
      <c r="Z12" s="1146" t="str">
        <f t="shared" si="7"/>
        <v>土地使用年限（年）</v>
      </c>
      <c r="AA12" s="1558">
        <f t="shared" si="3"/>
        <v>0.96153846153846156</v>
      </c>
      <c r="AB12" s="1558">
        <f t="shared" si="4"/>
        <v>0.96153846153846156</v>
      </c>
      <c r="AC12" s="1558">
        <f t="shared" si="5"/>
        <v>0.96153846153846156</v>
      </c>
    </row>
    <row r="13" spans="1:29" ht="15">
      <c r="A13" s="2871"/>
      <c r="B13" s="2875"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3"/>
      <c r="Q13" s="1147" t="str">
        <f t="shared" si="6"/>
        <v>容积率</v>
      </c>
      <c r="R13" s="1555" t="s">
        <v>8</v>
      </c>
      <c r="S13" s="1556" t="e">
        <f t="shared" si="0"/>
        <v>#N/A</v>
      </c>
      <c r="T13" s="1555" t="s">
        <v>8</v>
      </c>
      <c r="U13" s="1556" t="e">
        <f t="shared" si="1"/>
        <v>#N/A</v>
      </c>
      <c r="V13" s="1555" t="s">
        <v>8</v>
      </c>
      <c r="W13" s="1556" t="e">
        <f t="shared" si="2"/>
        <v>#N/A</v>
      </c>
      <c r="X13" s="1557"/>
      <c r="Y13" s="3320"/>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3"/>
      <c r="Q14" s="1147">
        <f t="shared" si="6"/>
        <v>111</v>
      </c>
      <c r="R14" s="1555" t="s">
        <v>8</v>
      </c>
      <c r="S14" s="1556">
        <f t="shared" si="0"/>
        <v>100</v>
      </c>
      <c r="T14" s="1555" t="s">
        <v>8</v>
      </c>
      <c r="U14" s="1556">
        <f t="shared" si="1"/>
        <v>100</v>
      </c>
      <c r="V14" s="1555" t="s">
        <v>8</v>
      </c>
      <c r="W14" s="1556">
        <f t="shared" si="2"/>
        <v>100</v>
      </c>
      <c r="X14" s="1557"/>
      <c r="Y14" s="3320"/>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3"/>
      <c r="Q15" s="1147">
        <f t="shared" si="6"/>
        <v>111</v>
      </c>
      <c r="R15" s="1555" t="s">
        <v>8</v>
      </c>
      <c r="S15" s="1556">
        <f t="shared" si="0"/>
        <v>100</v>
      </c>
      <c r="T15" s="1555" t="s">
        <v>8</v>
      </c>
      <c r="U15" s="1556">
        <f t="shared" si="1"/>
        <v>100</v>
      </c>
      <c r="V15" s="1555" t="s">
        <v>8</v>
      </c>
      <c r="W15" s="1556">
        <f t="shared" si="2"/>
        <v>100</v>
      </c>
      <c r="X15" s="1557"/>
      <c r="Y15" s="3320"/>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3"/>
      <c r="Q16" s="1147">
        <f t="shared" si="6"/>
        <v>111</v>
      </c>
      <c r="R16" s="1555" t="s">
        <v>8</v>
      </c>
      <c r="S16" s="1556">
        <f t="shared" si="0"/>
        <v>100</v>
      </c>
      <c r="T16" s="1555" t="s">
        <v>8</v>
      </c>
      <c r="U16" s="1556">
        <f t="shared" si="1"/>
        <v>100</v>
      </c>
      <c r="V16" s="1555" t="s">
        <v>8</v>
      </c>
      <c r="W16" s="1556">
        <f t="shared" si="2"/>
        <v>100</v>
      </c>
      <c r="X16" s="1557"/>
      <c r="Y16" s="3320"/>
      <c r="Z16" s="1146">
        <f t="shared" si="7"/>
        <v>111</v>
      </c>
      <c r="AA16" s="1558">
        <f t="shared" si="3"/>
        <v>1</v>
      </c>
      <c r="AB16" s="1558">
        <f t="shared" si="4"/>
        <v>1</v>
      </c>
      <c r="AC16" s="1558">
        <f t="shared" si="5"/>
        <v>1</v>
      </c>
    </row>
    <row r="17" spans="1:29" ht="57">
      <c r="A17" s="2865"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65" t="s">
        <v>540</v>
      </c>
      <c r="Q17" s="1559" t="str">
        <f t="shared" si="6"/>
        <v>产业集聚程度</v>
      </c>
      <c r="R17" s="1560" t="s">
        <v>8</v>
      </c>
      <c r="S17" s="1561">
        <f t="shared" si="0"/>
        <v>100</v>
      </c>
      <c r="T17" s="1560" t="s">
        <v>8</v>
      </c>
      <c r="U17" s="1561">
        <f t="shared" si="1"/>
        <v>100</v>
      </c>
      <c r="V17" s="1560" t="s">
        <v>8</v>
      </c>
      <c r="W17" s="1561">
        <f t="shared" si="2"/>
        <v>100</v>
      </c>
      <c r="X17" s="1554"/>
      <c r="Y17" s="336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66"/>
      <c r="Q18" s="1559"/>
      <c r="R18" s="1560"/>
      <c r="S18" s="1561"/>
      <c r="T18" s="1560"/>
      <c r="U18" s="1561"/>
      <c r="V18" s="1560"/>
      <c r="W18" s="1561"/>
      <c r="X18" s="1554"/>
      <c r="Y18" s="336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66"/>
      <c r="Q19" s="1559" t="str">
        <f>B19</f>
        <v>交通便捷度</v>
      </c>
      <c r="R19" s="1560" t="s">
        <v>8</v>
      </c>
      <c r="S19" s="1561">
        <f>F19</f>
        <v>100</v>
      </c>
      <c r="T19" s="1560" t="s">
        <v>8</v>
      </c>
      <c r="U19" s="1561">
        <f>H19</f>
        <v>100</v>
      </c>
      <c r="V19" s="1560" t="s">
        <v>8</v>
      </c>
      <c r="W19" s="1561">
        <f>J19</f>
        <v>100</v>
      </c>
      <c r="X19" s="1554"/>
      <c r="Y19" s="336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66"/>
      <c r="Q20" s="1559"/>
      <c r="R20" s="1560"/>
      <c r="S20" s="1561"/>
      <c r="T20" s="1560"/>
      <c r="U20" s="1561"/>
      <c r="V20" s="1560"/>
      <c r="W20" s="1561"/>
      <c r="X20" s="1554"/>
      <c r="Y20" s="336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66"/>
      <c r="Q21" s="1559" t="str">
        <f t="shared" ref="Q21:Q35" si="8">B21</f>
        <v>区域土地利用方向</v>
      </c>
      <c r="R21" s="1560" t="s">
        <v>8</v>
      </c>
      <c r="S21" s="1561">
        <f>F21</f>
        <v>100</v>
      </c>
      <c r="T21" s="1560" t="s">
        <v>8</v>
      </c>
      <c r="U21" s="1561">
        <f>H21</f>
        <v>100</v>
      </c>
      <c r="V21" s="1560" t="s">
        <v>8</v>
      </c>
      <c r="W21" s="1561">
        <f>J21</f>
        <v>100</v>
      </c>
      <c r="X21" s="1554"/>
      <c r="Y21" s="336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66"/>
      <c r="Q22" s="1559"/>
      <c r="R22" s="1560"/>
      <c r="S22" s="1561"/>
      <c r="T22" s="1560"/>
      <c r="U22" s="1561"/>
      <c r="V22" s="1560"/>
      <c r="W22" s="1561"/>
      <c r="X22" s="1554"/>
      <c r="Y22" s="336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66"/>
      <c r="Q23" s="1559" t="str">
        <f t="shared" si="8"/>
        <v>环境状况</v>
      </c>
      <c r="R23" s="1560" t="s">
        <v>8</v>
      </c>
      <c r="S23" s="1561">
        <f>F23</f>
        <v>100</v>
      </c>
      <c r="T23" s="1560" t="s">
        <v>8</v>
      </c>
      <c r="U23" s="1561">
        <f>H23</f>
        <v>100</v>
      </c>
      <c r="V23" s="1560" t="s">
        <v>8</v>
      </c>
      <c r="W23" s="1561">
        <f>J23</f>
        <v>100</v>
      </c>
      <c r="X23" s="1554"/>
      <c r="Y23" s="336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66"/>
      <c r="Q24" s="1559"/>
      <c r="R24" s="1560"/>
      <c r="S24" s="1561"/>
      <c r="T24" s="1560"/>
      <c r="U24" s="1561"/>
      <c r="V24" s="1560"/>
      <c r="W24" s="1561"/>
      <c r="X24" s="1554"/>
      <c r="Y24" s="336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66"/>
      <c r="Q25" s="1147" t="str">
        <f t="shared" si="8"/>
        <v>公共配套设施</v>
      </c>
      <c r="R25" s="1555" t="s">
        <v>8</v>
      </c>
      <c r="S25" s="1556">
        <f>F25</f>
        <v>100</v>
      </c>
      <c r="T25" s="1555" t="s">
        <v>8</v>
      </c>
      <c r="U25" s="1556">
        <f>H25</f>
        <v>100</v>
      </c>
      <c r="V25" s="1555" t="s">
        <v>8</v>
      </c>
      <c r="W25" s="1556">
        <f>J25</f>
        <v>100</v>
      </c>
      <c r="X25" s="1557"/>
      <c r="Y25" s="336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66"/>
      <c r="Q26" s="1147"/>
      <c r="R26" s="1555"/>
      <c r="S26" s="1556"/>
      <c r="T26" s="1555"/>
      <c r="U26" s="1556"/>
      <c r="V26" s="1555"/>
      <c r="W26" s="1556"/>
      <c r="X26" s="1557"/>
      <c r="Y26" s="336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66"/>
      <c r="Q27" s="2543" t="str">
        <f t="shared" ref="Q27" si="9">B27</f>
        <v>基础设施水平</v>
      </c>
      <c r="R27" s="1555" t="s">
        <v>8</v>
      </c>
      <c r="S27" s="1556">
        <f>F27</f>
        <v>100</v>
      </c>
      <c r="T27" s="1555" t="s">
        <v>8</v>
      </c>
      <c r="U27" s="1556">
        <f>H27</f>
        <v>100</v>
      </c>
      <c r="V27" s="1555" t="s">
        <v>8</v>
      </c>
      <c r="W27" s="1556">
        <f>J27</f>
        <v>100</v>
      </c>
      <c r="X27" s="1557"/>
      <c r="Y27" s="336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66"/>
      <c r="Q28" s="2543"/>
      <c r="R28" s="1555"/>
      <c r="S28" s="1556"/>
      <c r="T28" s="1555"/>
      <c r="U28" s="1556"/>
      <c r="V28" s="1555"/>
      <c r="W28" s="1556"/>
      <c r="X28" s="1557"/>
      <c r="Y28" s="336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6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6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66"/>
      <c r="Q30" s="1559" t="str">
        <f t="shared" si="8"/>
        <v>毗邻道路的类型与等级</v>
      </c>
      <c r="R30" s="1560" t="s">
        <v>8</v>
      </c>
      <c r="S30" s="1561">
        <f t="shared" si="10"/>
        <v>100</v>
      </c>
      <c r="T30" s="1560" t="s">
        <v>8</v>
      </c>
      <c r="U30" s="1561">
        <f t="shared" si="11"/>
        <v>100</v>
      </c>
      <c r="V30" s="1560" t="s">
        <v>8</v>
      </c>
      <c r="W30" s="1561">
        <f t="shared" si="12"/>
        <v>100</v>
      </c>
      <c r="X30" s="1554"/>
      <c r="Y30" s="336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66"/>
      <c r="Q31" s="1559"/>
      <c r="R31" s="1560"/>
      <c r="S31" s="1561"/>
      <c r="T31" s="1560"/>
      <c r="U31" s="1561"/>
      <c r="V31" s="1560"/>
      <c r="W31" s="1561"/>
      <c r="X31" s="1554"/>
      <c r="Y31" s="336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66"/>
      <c r="Q32" s="1559" t="str">
        <f t="shared" si="8"/>
        <v>土地级别</v>
      </c>
      <c r="R32" s="1560" t="s">
        <v>8</v>
      </c>
      <c r="S32" s="1561">
        <f t="shared" si="10"/>
        <v>100</v>
      </c>
      <c r="T32" s="1560" t="s">
        <v>8</v>
      </c>
      <c r="U32" s="1561">
        <f t="shared" si="11"/>
        <v>100</v>
      </c>
      <c r="V32" s="1560" t="s">
        <v>8</v>
      </c>
      <c r="W32" s="1561">
        <f t="shared" si="12"/>
        <v>100</v>
      </c>
      <c r="X32" s="1554"/>
      <c r="Y32" s="336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66"/>
      <c r="Q33" s="1559">
        <f t="shared" si="8"/>
        <v>111</v>
      </c>
      <c r="R33" s="1560" t="s">
        <v>8</v>
      </c>
      <c r="S33" s="1561">
        <f t="shared" si="10"/>
        <v>100</v>
      </c>
      <c r="T33" s="1560" t="s">
        <v>8</v>
      </c>
      <c r="U33" s="1561">
        <f t="shared" si="11"/>
        <v>100</v>
      </c>
      <c r="V33" s="1560" t="s">
        <v>8</v>
      </c>
      <c r="W33" s="1561">
        <f t="shared" si="12"/>
        <v>100</v>
      </c>
      <c r="X33" s="1554"/>
      <c r="Y33" s="336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67" t="s">
        <v>550</v>
      </c>
      <c r="Q34" s="1559">
        <f t="shared" si="8"/>
        <v>111</v>
      </c>
      <c r="R34" s="1560" t="s">
        <v>8</v>
      </c>
      <c r="S34" s="1561">
        <f t="shared" si="10"/>
        <v>100</v>
      </c>
      <c r="T34" s="1560" t="s">
        <v>8</v>
      </c>
      <c r="U34" s="1561">
        <f t="shared" si="11"/>
        <v>100</v>
      </c>
      <c r="V34" s="1560" t="s">
        <v>8</v>
      </c>
      <c r="W34" s="1561">
        <f t="shared" si="12"/>
        <v>100</v>
      </c>
      <c r="X34" s="1554"/>
      <c r="Y34" s="336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68"/>
      <c r="Q35" s="1559">
        <f t="shared" si="8"/>
        <v>111</v>
      </c>
      <c r="R35" s="1564" t="s">
        <v>8</v>
      </c>
      <c r="S35" s="1565">
        <f t="shared" si="10"/>
        <v>100</v>
      </c>
      <c r="T35" s="1564" t="s">
        <v>8</v>
      </c>
      <c r="U35" s="1565">
        <f t="shared" si="11"/>
        <v>100</v>
      </c>
      <c r="V35" s="1564" t="s">
        <v>8</v>
      </c>
      <c r="W35" s="1565">
        <f t="shared" si="12"/>
        <v>100</v>
      </c>
      <c r="X35" s="1566"/>
      <c r="Y35" s="336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68"/>
      <c r="Q36" s="1559" t="str">
        <f>B36</f>
        <v>宗地面积</v>
      </c>
      <c r="R36" s="1560" t="s">
        <v>8</v>
      </c>
      <c r="S36" s="1561" t="e">
        <f t="shared" si="10"/>
        <v>#N/A</v>
      </c>
      <c r="T36" s="1560" t="s">
        <v>8</v>
      </c>
      <c r="U36" s="1561" t="e">
        <f t="shared" si="11"/>
        <v>#N/A</v>
      </c>
      <c r="V36" s="1560" t="s">
        <v>8</v>
      </c>
      <c r="W36" s="1561" t="e">
        <f t="shared" si="12"/>
        <v>#N/A</v>
      </c>
      <c r="X36" s="1554"/>
      <c r="Y36" s="336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68"/>
      <c r="Q37" s="1559" t="str">
        <f t="shared" ref="Q37:Q42" si="14">B37</f>
        <v>宗地形状</v>
      </c>
      <c r="R37" s="1560" t="s">
        <v>8</v>
      </c>
      <c r="S37" s="1561">
        <f t="shared" si="10"/>
        <v>100</v>
      </c>
      <c r="T37" s="1560" t="s">
        <v>8</v>
      </c>
      <c r="U37" s="1561">
        <f t="shared" si="11"/>
        <v>100</v>
      </c>
      <c r="V37" s="1560" t="s">
        <v>8</v>
      </c>
      <c r="W37" s="1561">
        <f t="shared" si="12"/>
        <v>100</v>
      </c>
      <c r="X37" s="1554"/>
      <c r="Y37" s="336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68"/>
      <c r="Q38" s="1559" t="str">
        <f t="shared" si="14"/>
        <v>宗地开发程度</v>
      </c>
      <c r="R38" s="1555" t="s">
        <v>8</v>
      </c>
      <c r="S38" s="1556">
        <f t="shared" si="10"/>
        <v>100</v>
      </c>
      <c r="T38" s="1555" t="s">
        <v>8</v>
      </c>
      <c r="U38" s="1556">
        <f t="shared" si="11"/>
        <v>100</v>
      </c>
      <c r="V38" s="1555" t="s">
        <v>8</v>
      </c>
      <c r="W38" s="1556">
        <f t="shared" si="12"/>
        <v>100</v>
      </c>
      <c r="X38" s="1557"/>
      <c r="Y38" s="336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8" t="s">
        <v>601</v>
      </c>
      <c r="Q39" s="1559" t="str">
        <f t="shared" si="14"/>
        <v>工程地质条件</v>
      </c>
      <c r="R39" s="1560" t="s">
        <v>8</v>
      </c>
      <c r="S39" s="1561">
        <f t="shared" si="10"/>
        <v>100</v>
      </c>
      <c r="T39" s="1560" t="s">
        <v>8</v>
      </c>
      <c r="U39" s="1561">
        <f t="shared" si="11"/>
        <v>100</v>
      </c>
      <c r="V39" s="1560" t="s">
        <v>8</v>
      </c>
      <c r="W39" s="1561">
        <f t="shared" si="12"/>
        <v>100</v>
      </c>
      <c r="X39" s="1554"/>
      <c r="Y39" s="336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68"/>
      <c r="Q40" s="1559">
        <f t="shared" si="14"/>
        <v>111</v>
      </c>
      <c r="R40" s="1560" t="s">
        <v>8</v>
      </c>
      <c r="S40" s="1561">
        <f t="shared" si="10"/>
        <v>100</v>
      </c>
      <c r="T40" s="1560" t="s">
        <v>8</v>
      </c>
      <c r="U40" s="1561">
        <f t="shared" si="11"/>
        <v>100</v>
      </c>
      <c r="V40" s="1560" t="s">
        <v>8</v>
      </c>
      <c r="W40" s="1561">
        <f t="shared" si="12"/>
        <v>100</v>
      </c>
      <c r="X40" s="1554"/>
      <c r="Y40" s="336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68"/>
      <c r="Q41" s="1559">
        <f t="shared" si="14"/>
        <v>111</v>
      </c>
      <c r="R41" s="1560" t="s">
        <v>8</v>
      </c>
      <c r="S41" s="1561">
        <f t="shared" si="10"/>
        <v>100</v>
      </c>
      <c r="T41" s="1560" t="s">
        <v>8</v>
      </c>
      <c r="U41" s="1561">
        <f t="shared" si="11"/>
        <v>100</v>
      </c>
      <c r="V41" s="1560" t="s">
        <v>8</v>
      </c>
      <c r="W41" s="1561">
        <f t="shared" si="12"/>
        <v>100</v>
      </c>
      <c r="X41" s="1554"/>
      <c r="Y41" s="336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68"/>
      <c r="Q42" s="1559">
        <f t="shared" si="14"/>
        <v>111</v>
      </c>
      <c r="R42" s="1564" t="s">
        <v>8</v>
      </c>
      <c r="S42" s="1565">
        <f t="shared" si="10"/>
        <v>100</v>
      </c>
      <c r="T42" s="1564" t="s">
        <v>8</v>
      </c>
      <c r="U42" s="1565">
        <f t="shared" si="11"/>
        <v>100</v>
      </c>
      <c r="V42" s="1564" t="s">
        <v>8</v>
      </c>
      <c r="W42" s="1565">
        <f t="shared" si="12"/>
        <v>100</v>
      </c>
      <c r="X42" s="1566"/>
      <c r="Y42" s="336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3" t="str">
        <f>A43</f>
        <v>成交单价</v>
      </c>
      <c r="Q43" s="3363"/>
      <c r="R43" s="3377">
        <f>E43</f>
        <v>0</v>
      </c>
      <c r="S43" s="3377"/>
      <c r="T43" s="3377">
        <f>G43</f>
        <v>0</v>
      </c>
      <c r="U43" s="3377"/>
      <c r="V43" s="3377">
        <f>I43</f>
        <v>0</v>
      </c>
      <c r="W43" s="3377"/>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3" t="str">
        <f>A44</f>
        <v>比较价格（元/平方米）</v>
      </c>
      <c r="Q44" s="3363"/>
      <c r="R44" s="3387" t="e">
        <f>ROUND(PRODUCT(R43,AA9:AA42),0)</f>
        <v>#DIV/0!</v>
      </c>
      <c r="S44" s="3387"/>
      <c r="T44" s="3387" t="e">
        <f>ROUND(PRODUCT(T43,AB9:AB42),0)</f>
        <v>#DIV/0!</v>
      </c>
      <c r="U44" s="3387"/>
      <c r="V44" s="3387" t="e">
        <f>ROUND(PRODUCT(V43,AC9:AC42),0)</f>
        <v>#DIV/0!</v>
      </c>
      <c r="W44" s="338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84" t="str">
        <f>A45</f>
        <v>估价对象XX用房的比较价格（楼面单价，元/平方米）</v>
      </c>
      <c r="Q45" s="3385"/>
      <c r="R45" s="3386" t="e">
        <f>ROUND(AVERAGE(R44:V44),0)</f>
        <v>#DIV/0!</v>
      </c>
      <c r="S45" s="3386"/>
      <c r="T45" s="3386"/>
      <c r="U45" s="3386"/>
      <c r="V45" s="3386"/>
      <c r="W45" s="3386"/>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388" t="s">
        <v>2284</v>
      </c>
      <c r="H52" s="3389"/>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110054.14</v>
      </c>
      <c r="F53" s="1936" t="e">
        <f t="shared" ref="F53:F62" si="15">ROUND(B53*E53/10000,0)</f>
        <v>#DIV/0!</v>
      </c>
      <c r="G53" s="3390"/>
      <c r="H53" s="3391"/>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392"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392"/>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392"/>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392"/>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30153.729999999996</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46262.48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2019-10-1</v>
      </c>
      <c r="D65" s="2755">
        <f>EDATE(C65,-3)</f>
        <v>43647</v>
      </c>
      <c r="E65" s="2755">
        <f t="shared" ref="E65:N65" si="18">EDATE(D65,-3)</f>
        <v>43556</v>
      </c>
      <c r="F65" s="2755">
        <f t="shared" si="18"/>
        <v>43466</v>
      </c>
      <c r="G65" s="2755">
        <f t="shared" si="18"/>
        <v>43374</v>
      </c>
      <c r="H65" s="2755">
        <f t="shared" si="18"/>
        <v>43282</v>
      </c>
      <c r="I65" s="2755">
        <f t="shared" si="18"/>
        <v>43191</v>
      </c>
      <c r="J65" s="2755">
        <f t="shared" si="18"/>
        <v>43101</v>
      </c>
      <c r="K65" s="2755">
        <f t="shared" si="18"/>
        <v>43009</v>
      </c>
      <c r="L65" s="2755">
        <f t="shared" si="18"/>
        <v>42917</v>
      </c>
      <c r="M65" s="2755">
        <f t="shared" si="18"/>
        <v>42826</v>
      </c>
      <c r="N65" s="2755">
        <f t="shared" si="18"/>
        <v>42736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1" t="s">
        <v>2762</v>
      </c>
      <c r="S1" s="2891" t="s">
        <v>2763</v>
      </c>
      <c r="T1" s="2891" t="s">
        <v>2784</v>
      </c>
      <c r="U1" s="2891" t="s">
        <v>2785</v>
      </c>
      <c r="V1" s="2891"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3.8</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2">
        <v>3</v>
      </c>
      <c r="S4" s="2892">
        <f>ROUND(IF(G3&gt;1,IF(R4&lt;7,SUMPRODUCT((B93:B98=R4)*(C92:N92=G2)*(C93:N98)),SUMIF(C92:N92,G2,C100:N100)),IF(R4&lt;7,SUMPRODUCT((B102:B107=R4)*(C92:N92=G2)*(C102:N107)),SUMIF(C92:N92,G2,C109:N109))),4)</f>
        <v>0</v>
      </c>
      <c r="T4" s="2892" t="e">
        <f t="shared" si="0"/>
        <v>#DIV/0!</v>
      </c>
      <c r="U4" s="2881"/>
      <c r="V4" s="2892"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2">
        <v>4</v>
      </c>
      <c r="S5" s="2892">
        <f>ROUND(IF(G3&gt;1,IF(R5&lt;7,SUMPRODUCT((B93:B98=R5)*(C92:N92=G2)*(C93:N98)),SUMIF(C92:N92,G2,C100:N100)),IF(R5&lt;7,SUMPRODUCT((B102:B107=R5)*(C92:N92=G2)*(C102:N107)),SUMIF(C92:N92,G2,C109:N109))),4)</f>
        <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2">
        <v>5</v>
      </c>
      <c r="S6" s="2892">
        <f>ROUND(IF(G3&gt;1,IF(R6&lt;7,SUMPRODUCT((B93:B98=R6)*(C92:N92=G2)*(C93:N98)),SUMIF(C92:N92,G2,C100:N100)),IF(R6&lt;7,SUMPRODUCT((B102:B107=R6)*(C92:N92=G2)*(C102:N107)),SUMIF(C92:N92,G2,C109:N109))),4)</f>
        <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0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2765</v>
      </c>
      <c r="X7" s="2882">
        <f>G2</f>
        <v>0</v>
      </c>
      <c r="Y7" s="2882" t="s">
        <v>2766</v>
      </c>
      <c r="Z7" s="2883">
        <f>G3</f>
        <v>3.8</v>
      </c>
      <c r="AA7" s="2178"/>
      <c r="AB7" s="2178"/>
      <c r="AC7" s="2179"/>
      <c r="AD7" s="2884"/>
      <c r="AE7" s="2884"/>
      <c r="AF7" s="2884"/>
      <c r="AG7" s="2884"/>
      <c r="AH7" s="2884"/>
      <c r="AI7" s="2884"/>
      <c r="AJ7" s="2885"/>
    </row>
    <row r="8" spans="1:39" ht="15">
      <c r="A8" s="340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11" t="s">
        <v>2783</v>
      </c>
      <c r="X8" s="341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0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10" t="s">
        <v>2779</v>
      </c>
      <c r="X9" s="2886" t="s">
        <v>2780</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0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1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0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10" t="s">
        <v>2781</v>
      </c>
      <c r="X11" s="1048" t="s">
        <v>2766</v>
      </c>
      <c r="Y11" s="1639">
        <f>$G$3</f>
        <v>3.8</v>
      </c>
      <c r="Z11" s="1639">
        <f t="shared" ref="Z11:AJ11" si="3">$G$3</f>
        <v>3.8</v>
      </c>
      <c r="AA11" s="1639">
        <f t="shared" si="3"/>
        <v>3.8</v>
      </c>
      <c r="AB11" s="1639">
        <f t="shared" si="3"/>
        <v>3.8</v>
      </c>
      <c r="AC11" s="1639">
        <f t="shared" si="3"/>
        <v>3.8</v>
      </c>
      <c r="AD11" s="1639">
        <f t="shared" si="3"/>
        <v>3.8</v>
      </c>
      <c r="AE11" s="1639">
        <f t="shared" si="3"/>
        <v>3.8</v>
      </c>
      <c r="AF11" s="1639">
        <f t="shared" si="3"/>
        <v>3.8</v>
      </c>
      <c r="AG11" s="1639">
        <f t="shared" si="3"/>
        <v>3.8</v>
      </c>
      <c r="AH11" s="1639">
        <f t="shared" si="3"/>
        <v>3.8</v>
      </c>
      <c r="AI11" s="1639">
        <f t="shared" si="3"/>
        <v>3.8</v>
      </c>
      <c r="AJ11" s="1639">
        <f t="shared" si="3"/>
        <v>3.8</v>
      </c>
    </row>
    <row r="12" spans="1:39" ht="25.5" thickBot="1">
      <c r="A12" s="340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10"/>
      <c r="X12" s="2889" t="s">
        <v>2782</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02"/>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2">
        <v>12</v>
      </c>
      <c r="S13" s="2881"/>
      <c r="T13" s="2892" t="e">
        <f t="shared" si="0"/>
        <v>#DIV/0!</v>
      </c>
      <c r="U13" s="2881"/>
      <c r="V13" s="2892" t="e">
        <f t="shared" si="1"/>
        <v>#DIV/0!</v>
      </c>
      <c r="W13" s="3410"/>
      <c r="X13" s="2889"/>
      <c r="Y13" s="2888">
        <f>(-0.163*(Y12^2)-0.59*Y12+7617)*(10^(-4))/Y11</f>
        <v>0.20044736842105265</v>
      </c>
      <c r="Z13" s="2888">
        <f t="shared" ref="Z13:AJ13" si="5">(-0.163*(Z12^2)-0.59*Z12+7617)*(10^(-4))/Z11</f>
        <v>0.20044736842105265</v>
      </c>
      <c r="AA13" s="2888">
        <f t="shared" si="5"/>
        <v>0.20044736842105265</v>
      </c>
      <c r="AB13" s="2888">
        <f t="shared" si="5"/>
        <v>0.20044736842105265</v>
      </c>
      <c r="AC13" s="2888">
        <f t="shared" si="5"/>
        <v>0.20044736842105265</v>
      </c>
      <c r="AD13" s="2888">
        <f t="shared" si="5"/>
        <v>0.20044736842105265</v>
      </c>
      <c r="AE13" s="2888">
        <f t="shared" si="5"/>
        <v>0.20044736842105265</v>
      </c>
      <c r="AF13" s="2888">
        <f t="shared" si="5"/>
        <v>0.20044736842105265</v>
      </c>
      <c r="AG13" s="2888">
        <f t="shared" si="5"/>
        <v>0.20044736842105265</v>
      </c>
      <c r="AH13" s="2888">
        <f t="shared" si="5"/>
        <v>0.20044736842105265</v>
      </c>
      <c r="AI13" s="2888">
        <f t="shared" si="5"/>
        <v>0.20044736842105265</v>
      </c>
      <c r="AJ13" s="2888">
        <f t="shared" si="5"/>
        <v>0.20044736842105265</v>
      </c>
    </row>
    <row r="14" spans="1:39" ht="12.75" customHeight="1">
      <c r="A14" s="3402"/>
      <c r="B14" s="1448"/>
      <c r="C14" s="1449"/>
      <c r="D14" s="1450"/>
      <c r="E14" s="1450"/>
      <c r="F14" s="1451"/>
      <c r="G14" s="1452" t="s">
        <v>949</v>
      </c>
      <c r="H14" s="1453"/>
      <c r="I14" s="1454"/>
      <c r="J14" s="1455"/>
      <c r="K14" s="3150"/>
      <c r="L14" s="3150"/>
      <c r="M14" s="3150"/>
      <c r="N14" s="3150"/>
      <c r="O14" s="3150"/>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03"/>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00" t="s">
        <v>1838</v>
      </c>
      <c r="B16" s="1424" t="s">
        <v>950</v>
      </c>
      <c r="C16" s="1052" t="e">
        <f>ROUND(IF(F17="与级别开发程度一致",0,(G17-E17)/C17),0)</f>
        <v>#DIV/0!</v>
      </c>
      <c r="D16" s="3418" t="s">
        <v>954</v>
      </c>
      <c r="E16" s="3419"/>
      <c r="F16" s="3418" t="s">
        <v>951</v>
      </c>
      <c r="G16" s="3419"/>
      <c r="H16" s="1456"/>
      <c r="I16" s="1456"/>
      <c r="J16" s="1456"/>
      <c r="K16" s="1456"/>
      <c r="L16" s="1456"/>
      <c r="M16" s="1456"/>
      <c r="N16" s="1456"/>
      <c r="O16" s="3174"/>
      <c r="P16" s="1398"/>
      <c r="Q16" s="2178"/>
      <c r="R16" s="2892">
        <v>15</v>
      </c>
      <c r="S16" s="2881"/>
      <c r="T16" s="2892" t="e">
        <f t="shared" si="0"/>
        <v>#DIV/0!</v>
      </c>
      <c r="U16" s="2881"/>
      <c r="V16" s="2892" t="e">
        <f t="shared" si="1"/>
        <v>#DIV/0!</v>
      </c>
      <c r="W16" s="2178"/>
      <c r="X16" s="2178"/>
      <c r="Y16" s="2178"/>
      <c r="Z16" s="2178"/>
      <c r="AA16" s="2178"/>
      <c r="AB16" s="2178"/>
      <c r="AC16" s="2179"/>
    </row>
    <row r="17" spans="1:40" ht="13.5" thickBot="1">
      <c r="A17" s="3404"/>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43768</v>
      </c>
      <c r="H19" s="1464" t="s">
        <v>2995</v>
      </c>
      <c r="I19" s="2741" t="str">
        <f>IF(H19="季度增幅（自定义）",SUMIF(N21:N24,E2,O21:O24),"")</f>
        <v/>
      </c>
      <c r="J19" s="1460"/>
      <c r="K19" s="3149"/>
      <c r="L19" s="2992" t="s">
        <v>2841</v>
      </c>
      <c r="M19" s="2993">
        <f>ROUND(SUMIF(地价!B2:F2,E2,地价!B28:F28),0)</f>
        <v>0</v>
      </c>
      <c r="N19" s="2743" t="s">
        <v>1676</v>
      </c>
      <c r="O19" s="2742">
        <f>ROUNDDOWN(DATEDIF(E19,G19,"M")/3,0)</f>
        <v>23</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4" t="s">
        <v>2842</v>
      </c>
      <c r="M20" s="3158">
        <f>ROUND(SUMPRODUCT((地价!A4:A28=YEAR(G19)&amp;"-"&amp;ROUNDUP(MONTH(G19)/3,0))*(地价!B2:F2=E2)*(地价!B4:F28)),0)</f>
        <v>0</v>
      </c>
      <c r="N20" s="2746" t="s">
        <v>2645</v>
      </c>
      <c r="O20" s="2744" t="s">
        <v>2644</v>
      </c>
      <c r="P20" s="2745" t="s">
        <v>2650</v>
      </c>
      <c r="Q20" s="2880"/>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SUMPRODUCT((地价!A3:A28=YEAR(G19)&amp;"-"&amp;ROUNDUP(MONTH(G19)/3,0))*(地价!AD2:AH2=N21)*(地价!AD3:AH28))</f>
        <v>1.41E-2</v>
      </c>
      <c r="Q21" s="2880"/>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3.8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SUMPRODUCT((地价!A3:A28=YEAR(G19)&amp;"-"&amp;ROUNDUP(MONTH(G19)/3,0))*(地价!AD2:AH2=N22)*(地价!AD3:AH28))</f>
        <v>1.41E-2</v>
      </c>
      <c r="Q22" s="2880"/>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SUMPRODUCT((地价!A3:A28=YEAR(G19)&amp;"-"&amp;ROUNDUP(MONTH(G19)/3,0))*(地价!AD2:AH2=N23)*(地价!AD3:AH28))</f>
        <v>2.1600000000000001E-2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SUMPRODUCT((地价!A3:A28=YEAR(G19)&amp;"-"&amp;ROUNDUP(MONTH(G19)/3,0))*(地价!AD2:AH2=N24)*(地价!AD3:AH28))</f>
        <v>1.38E-2</v>
      </c>
      <c r="Q24" s="2880"/>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SUMPRODUCT((地价!A3:A28=YEAR(G19)&amp;"-"&amp;ROUNDUP(MONTH(G19)/3,0))*(地价!AD2:AH2=N25)*(地价!AD3:AH28))</f>
        <v>1.9800000000000002E-2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07"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0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0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0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05" t="s">
        <v>1633</v>
      </c>
      <c r="B90" s="3405"/>
      <c r="C90" s="3405"/>
      <c r="D90" s="3405"/>
      <c r="E90" s="3405"/>
      <c r="F90" s="3405"/>
      <c r="G90" s="3405"/>
      <c r="H90" s="3405"/>
      <c r="I90" s="3405"/>
      <c r="J90" s="3405"/>
      <c r="K90" s="2415"/>
      <c r="L90" s="2415"/>
      <c r="M90" s="2415"/>
      <c r="N90" s="2415"/>
    </row>
    <row r="91" spans="1:40">
      <c r="A91" s="3406" t="s">
        <v>1443</v>
      </c>
      <c r="B91" s="3406" t="s">
        <v>1634</v>
      </c>
      <c r="C91" s="1136" t="s">
        <v>1635</v>
      </c>
      <c r="D91" s="1137"/>
      <c r="E91" s="1137"/>
      <c r="F91" s="1137"/>
      <c r="G91" s="1137"/>
      <c r="H91" s="1137"/>
      <c r="I91" s="1137"/>
      <c r="J91" s="1138"/>
      <c r="K91" s="1130"/>
      <c r="L91" s="1130"/>
      <c r="M91" s="1130"/>
      <c r="N91" s="1130"/>
    </row>
    <row r="92" spans="1:40">
      <c r="A92" s="3406"/>
      <c r="B92" s="340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3" t="s">
        <v>1637</v>
      </c>
      <c r="B101" s="1143" t="s">
        <v>906</v>
      </c>
      <c r="C101" s="1144">
        <f>$G$3</f>
        <v>3.8</v>
      </c>
      <c r="D101" s="1144">
        <f t="shared" ref="D101:N101" si="31">$G$3</f>
        <v>3.8</v>
      </c>
      <c r="E101" s="1144">
        <f t="shared" si="31"/>
        <v>3.8</v>
      </c>
      <c r="F101" s="1144">
        <f t="shared" si="31"/>
        <v>3.8</v>
      </c>
      <c r="G101" s="1144">
        <f t="shared" si="31"/>
        <v>3.8</v>
      </c>
      <c r="H101" s="1144">
        <f t="shared" si="31"/>
        <v>3.8</v>
      </c>
      <c r="I101" s="1144">
        <f t="shared" si="31"/>
        <v>3.8</v>
      </c>
      <c r="J101" s="1144">
        <f t="shared" si="31"/>
        <v>3.8</v>
      </c>
      <c r="K101" s="1144">
        <f t="shared" si="31"/>
        <v>3.8</v>
      </c>
      <c r="L101" s="1144">
        <f t="shared" si="31"/>
        <v>3.8</v>
      </c>
      <c r="M101" s="1144">
        <f t="shared" si="31"/>
        <v>3.8</v>
      </c>
      <c r="N101" s="1144">
        <f t="shared" si="31"/>
        <v>3.8</v>
      </c>
    </row>
    <row r="102" spans="1:14">
      <c r="A102" s="3414"/>
      <c r="B102" s="1139">
        <v>1</v>
      </c>
      <c r="C102" s="1140">
        <f>1.9362/C101</f>
        <v>0.50952631578947372</v>
      </c>
      <c r="D102" s="1140">
        <f>1.9362/D101</f>
        <v>0.50952631578947372</v>
      </c>
      <c r="E102" s="1140">
        <f>1.8629/E101</f>
        <v>0.49023684210526319</v>
      </c>
      <c r="F102" s="1140">
        <f>1.8629/F101</f>
        <v>0.49023684210526319</v>
      </c>
      <c r="G102" s="1140">
        <f>1.8629/G101</f>
        <v>0.49023684210526319</v>
      </c>
      <c r="H102" s="1140">
        <f>1.8629/H101</f>
        <v>0.49023684210526319</v>
      </c>
      <c r="I102" s="1140">
        <f>1.8629/I101</f>
        <v>0.49023684210526319</v>
      </c>
      <c r="J102" s="1140">
        <f>1.942/J101</f>
        <v>0.51105263157894742</v>
      </c>
      <c r="K102" s="1140">
        <f>1.942/K101</f>
        <v>0.51105263157894742</v>
      </c>
      <c r="L102" s="1140">
        <f>1.942/L101</f>
        <v>0.51105263157894742</v>
      </c>
      <c r="M102" s="1140">
        <f>1.942/M101</f>
        <v>0.51105263157894742</v>
      </c>
      <c r="N102" s="1140">
        <f>1.942/N101</f>
        <v>0.51105263157894742</v>
      </c>
    </row>
    <row r="103" spans="1:14">
      <c r="A103" s="3414"/>
      <c r="B103" s="1139">
        <v>2</v>
      </c>
      <c r="C103" s="1140">
        <f>1.4198/C101</f>
        <v>0.37363157894736843</v>
      </c>
      <c r="D103" s="1140">
        <f>1.4198/D101</f>
        <v>0.37363157894736843</v>
      </c>
      <c r="E103" s="1140">
        <f>1.3372/E101</f>
        <v>0.35189473684210526</v>
      </c>
      <c r="F103" s="1140">
        <f>1.3372/F101</f>
        <v>0.35189473684210526</v>
      </c>
      <c r="G103" s="1140">
        <f>1.3372/G101</f>
        <v>0.35189473684210526</v>
      </c>
      <c r="H103" s="1140">
        <f>1.3372/H101</f>
        <v>0.35189473684210526</v>
      </c>
      <c r="I103" s="1140">
        <f>1.3372/I101</f>
        <v>0.35189473684210526</v>
      </c>
      <c r="J103" s="1140">
        <f>1.2799/J101</f>
        <v>0.33681578947368424</v>
      </c>
      <c r="K103" s="1140">
        <f>1.2799/K101</f>
        <v>0.33681578947368424</v>
      </c>
      <c r="L103" s="1140">
        <f>1.2799/L101</f>
        <v>0.33681578947368424</v>
      </c>
      <c r="M103" s="1140">
        <f>1.2799/M101</f>
        <v>0.33681578947368424</v>
      </c>
      <c r="N103" s="1140">
        <f>1.2799/N101</f>
        <v>0.33681578947368424</v>
      </c>
    </row>
    <row r="104" spans="1:14">
      <c r="A104" s="3414"/>
      <c r="B104" s="1139">
        <v>3</v>
      </c>
      <c r="C104" s="1140">
        <f>1.1594/C101</f>
        <v>0.30510526315789477</v>
      </c>
      <c r="D104" s="1140">
        <f>1.1594/D101</f>
        <v>0.30510526315789477</v>
      </c>
      <c r="E104" s="1140">
        <f>1.0788/E101</f>
        <v>0.28389473684210526</v>
      </c>
      <c r="F104" s="1140">
        <f>1.0788/F101</f>
        <v>0.28389473684210526</v>
      </c>
      <c r="G104" s="1140">
        <f>1.0788/G101</f>
        <v>0.28389473684210526</v>
      </c>
      <c r="H104" s="1140">
        <f>1.0788/H101</f>
        <v>0.28389473684210526</v>
      </c>
      <c r="I104" s="1140">
        <f>1.0788/I101</f>
        <v>0.28389473684210526</v>
      </c>
      <c r="J104" s="1140">
        <f>1.0072/J101</f>
        <v>0.26505263157894743</v>
      </c>
      <c r="K104" s="1140">
        <f>1.0072/K101</f>
        <v>0.26505263157894743</v>
      </c>
      <c r="L104" s="1140">
        <f>1.0072/L101</f>
        <v>0.26505263157894743</v>
      </c>
      <c r="M104" s="1140">
        <f>1.0072/M101</f>
        <v>0.26505263157894743</v>
      </c>
      <c r="N104" s="1140">
        <f>1.0072/N101</f>
        <v>0.26505263157894743</v>
      </c>
    </row>
    <row r="105" spans="1:14">
      <c r="A105" s="3414"/>
      <c r="B105" s="1139">
        <v>4</v>
      </c>
      <c r="C105" s="1140">
        <f>0.9622/C101</f>
        <v>0.2532105263157895</v>
      </c>
      <c r="D105" s="1140">
        <f>0.9622/D101</f>
        <v>0.2532105263157895</v>
      </c>
      <c r="E105" s="1140">
        <f>0.8656/E101</f>
        <v>0.22778947368421054</v>
      </c>
      <c r="F105" s="1140">
        <f>0.8656/F101</f>
        <v>0.22778947368421054</v>
      </c>
      <c r="G105" s="1140">
        <f>0.8656/G101</f>
        <v>0.22778947368421054</v>
      </c>
      <c r="H105" s="1140">
        <f>0.8656/H101</f>
        <v>0.22778947368421054</v>
      </c>
      <c r="I105" s="1140">
        <f>0.8656/I101</f>
        <v>0.22778947368421054</v>
      </c>
      <c r="J105" s="1140">
        <f>0.7525/J101</f>
        <v>0.19802631578947369</v>
      </c>
      <c r="K105" s="1140">
        <f>0.7525/K101</f>
        <v>0.19802631578947369</v>
      </c>
      <c r="L105" s="1140">
        <f>0.7525/L101</f>
        <v>0.19802631578947369</v>
      </c>
      <c r="M105" s="1140">
        <f>0.7525/M101</f>
        <v>0.19802631578947369</v>
      </c>
      <c r="N105" s="1140">
        <f>0.7525/N101</f>
        <v>0.19802631578947369</v>
      </c>
    </row>
    <row r="106" spans="1:14">
      <c r="A106" s="3414"/>
      <c r="B106" s="1139">
        <v>5</v>
      </c>
      <c r="C106" s="1140">
        <f>0.8417/C101</f>
        <v>0.2215</v>
      </c>
      <c r="D106" s="1140">
        <f>0.8417/D101</f>
        <v>0.2215</v>
      </c>
      <c r="E106" s="1140">
        <f>0.7371/E101</f>
        <v>0.19397368421052633</v>
      </c>
      <c r="F106" s="1140">
        <f>0.7371/F101</f>
        <v>0.19397368421052633</v>
      </c>
      <c r="G106" s="1140">
        <f>0.7371/G101</f>
        <v>0.19397368421052633</v>
      </c>
      <c r="H106" s="1140">
        <f>0.7371/H101</f>
        <v>0.19397368421052633</v>
      </c>
      <c r="I106" s="1140">
        <f>0.7371/I101</f>
        <v>0.19397368421052633</v>
      </c>
      <c r="J106" s="1140">
        <f>0.5659/J101</f>
        <v>0.14892105263157895</v>
      </c>
      <c r="K106" s="1140">
        <f>0.5659/K101</f>
        <v>0.14892105263157895</v>
      </c>
      <c r="L106" s="1140">
        <f>0.5659/L101</f>
        <v>0.14892105263157895</v>
      </c>
      <c r="M106" s="1140">
        <f>0.5659/M101</f>
        <v>0.14892105263157895</v>
      </c>
      <c r="N106" s="1140">
        <f>0.5659/N101</f>
        <v>0.14892105263157895</v>
      </c>
    </row>
    <row r="107" spans="1:14">
      <c r="A107" s="3414"/>
      <c r="B107" s="1139">
        <v>6</v>
      </c>
      <c r="C107" s="1140">
        <f>0.7608/C101</f>
        <v>0.20021052631578948</v>
      </c>
      <c r="D107" s="1140">
        <f>0.7608/D101</f>
        <v>0.20021052631578948</v>
      </c>
      <c r="E107" s="1140">
        <f>0.6482/E101</f>
        <v>0.17057894736842105</v>
      </c>
      <c r="F107" s="1140">
        <f>0.6482/F101</f>
        <v>0.17057894736842105</v>
      </c>
      <c r="G107" s="1140">
        <f>0.6482/G101</f>
        <v>0.17057894736842105</v>
      </c>
      <c r="H107" s="1140">
        <f>0.6482/H101</f>
        <v>0.17057894736842105</v>
      </c>
      <c r="I107" s="1140">
        <f>0.6482/I101</f>
        <v>0.17057894736842105</v>
      </c>
      <c r="J107" s="1140">
        <f>0.4525/J101</f>
        <v>0.11907894736842106</v>
      </c>
      <c r="K107" s="1140">
        <f>0.4525/K101</f>
        <v>0.11907894736842106</v>
      </c>
      <c r="L107" s="1140">
        <f>0.4525/L101</f>
        <v>0.11907894736842106</v>
      </c>
      <c r="M107" s="1140">
        <f>0.4525/M101</f>
        <v>0.11907894736842106</v>
      </c>
      <c r="N107" s="1140">
        <f>0.4525/N101</f>
        <v>0.11907894736842106</v>
      </c>
    </row>
    <row r="108" spans="1:14">
      <c r="A108" s="3414"/>
      <c r="B108" s="341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5"/>
      <c r="B109" s="3417"/>
      <c r="C109" s="1142">
        <f>(-0.163*(C108^2)-0.59*C108+7617)*(10^(-4))/C101</f>
        <v>0.20004863157894737</v>
      </c>
      <c r="D109" s="1142">
        <f>(-0.163*(D108^2)-0.59*D108+7617)*(10^(-4))/D101</f>
        <v>0.20004863157894737</v>
      </c>
      <c r="E109" s="1142">
        <f>(-0.161*(E108^2)-7.509*E108+6533)*(10^(-4))/E101</f>
        <v>0.17006905263157895</v>
      </c>
      <c r="F109" s="1142">
        <f>(-0.161*(F108^2)-7.509*F108+6533)*(10^(-4))/F101</f>
        <v>0.17006905263157895</v>
      </c>
      <c r="G109" s="1142">
        <f>(-0.161*(G108^2)-7.509*G108+6533)*(10^(-4))/G101</f>
        <v>0.17006905263157895</v>
      </c>
      <c r="H109" s="1142">
        <f>(-0.161*(H108^2)-7.509*H108+6533)*(10^(-4))/H101</f>
        <v>0.17006905263157895</v>
      </c>
      <c r="I109" s="1142">
        <f>(-0.161*(I108^2)-7.509*I108+6533)*(10^(-4))/I101</f>
        <v>0.17006905263157895</v>
      </c>
      <c r="J109" s="1142">
        <f>(-0.214*(J108^2)-21.991*J108+4665)*(10^(-4))/J101</f>
        <v>0.11777305263157896</v>
      </c>
      <c r="K109" s="1142">
        <f>(-0.214*(K108^2)-21.991*K108+4665)*(10^(-4))/K101</f>
        <v>0.11777305263157896</v>
      </c>
      <c r="L109" s="1142">
        <f>(-0.214*(L108^2)-21.991*L108+4665)*(10^(-4))/L101</f>
        <v>0.11777305263157896</v>
      </c>
      <c r="M109" s="1142">
        <f>(-0.214*(M108^2)-21.991*M108+4665)*(10^(-4))/M101</f>
        <v>0.11777305263157896</v>
      </c>
      <c r="N109" s="1142">
        <f>(-0.214*(N108^2)-21.991*N108+4665)*(10^(-4))/N101</f>
        <v>0.11777305263157896</v>
      </c>
    </row>
    <row r="110" spans="1:14">
      <c r="A110" s="3399" t="s">
        <v>1639</v>
      </c>
      <c r="B110" s="3399"/>
      <c r="C110" s="3399"/>
      <c r="D110" s="3399"/>
      <c r="E110" s="3399"/>
      <c r="F110" s="3399"/>
      <c r="G110" s="3399"/>
      <c r="H110" s="3399"/>
      <c r="I110" s="3399"/>
      <c r="J110" s="3399"/>
      <c r="K110" s="2413"/>
      <c r="L110" s="2413"/>
      <c r="M110" s="2413"/>
      <c r="N110" s="2413"/>
    </row>
    <row r="112" spans="1:14" ht="12.75" thickBot="1"/>
    <row r="113" spans="1:13" ht="25.5" thickBot="1">
      <c r="A113" s="1016" t="s">
        <v>896</v>
      </c>
      <c r="B113" s="2416">
        <f>G3</f>
        <v>3.8</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0.89780000000000004</v>
      </c>
      <c r="C115" s="1030">
        <f>B115</f>
        <v>0.89780000000000004</v>
      </c>
      <c r="D115" s="1030">
        <f>ROUND(0.8331-0.0109*B113,4)</f>
        <v>0.79169999999999996</v>
      </c>
      <c r="E115" s="1030">
        <f>D115</f>
        <v>0.79169999999999996</v>
      </c>
      <c r="F115" s="1030">
        <f>E115</f>
        <v>0.79169999999999996</v>
      </c>
      <c r="G115" s="1030">
        <f>F115</f>
        <v>0.79169999999999996</v>
      </c>
      <c r="H115" s="1030">
        <f>G115</f>
        <v>0.79169999999999996</v>
      </c>
      <c r="I115" s="1030">
        <f>ROUND(0.689-0.0155*B113,4)</f>
        <v>0.63009999999999999</v>
      </c>
      <c r="J115" s="1030">
        <f t="shared" ref="J115:M118" si="33">I115</f>
        <v>0.63009999999999999</v>
      </c>
      <c r="K115" s="1030">
        <f t="shared" si="33"/>
        <v>0.63009999999999999</v>
      </c>
      <c r="L115" s="1030">
        <f t="shared" si="33"/>
        <v>0.63009999999999999</v>
      </c>
      <c r="M115" s="1031">
        <f t="shared" si="33"/>
        <v>0.63009999999999999</v>
      </c>
    </row>
    <row r="116" spans="1:13" ht="12.75">
      <c r="A116" s="1029" t="s">
        <v>901</v>
      </c>
      <c r="B116" s="1030">
        <f>ROUND(0.949-0.012*B113,4)</f>
        <v>0.90339999999999998</v>
      </c>
      <c r="C116" s="1030">
        <f>B116</f>
        <v>0.90339999999999998</v>
      </c>
      <c r="D116" s="1030">
        <f>ROUND(0.8567-0.013*B113,4)</f>
        <v>0.80730000000000002</v>
      </c>
      <c r="E116" s="1030">
        <f t="shared" ref="E116:H117" si="34">D116</f>
        <v>0.80730000000000002</v>
      </c>
      <c r="F116" s="1030">
        <f t="shared" si="34"/>
        <v>0.80730000000000002</v>
      </c>
      <c r="G116" s="1030">
        <f t="shared" si="34"/>
        <v>0.80730000000000002</v>
      </c>
      <c r="H116" s="1030">
        <f t="shared" si="34"/>
        <v>0.80730000000000002</v>
      </c>
      <c r="I116" s="1030">
        <f>ROUND(0.7694-0.014*B113,4)</f>
        <v>0.71619999999999995</v>
      </c>
      <c r="J116" s="1030">
        <f t="shared" si="33"/>
        <v>0.71619999999999995</v>
      </c>
      <c r="K116" s="1030">
        <f t="shared" si="33"/>
        <v>0.71619999999999995</v>
      </c>
      <c r="L116" s="1030">
        <f t="shared" si="33"/>
        <v>0.71619999999999995</v>
      </c>
      <c r="M116" s="1031">
        <f t="shared" si="33"/>
        <v>0.71619999999999995</v>
      </c>
    </row>
    <row r="117" spans="1:13" ht="12.75">
      <c r="A117" s="1032" t="s">
        <v>902</v>
      </c>
      <c r="B117" s="1030">
        <f>ROUND(0.8808-0.006*B113,4)</f>
        <v>0.85799999999999998</v>
      </c>
      <c r="C117" s="1030">
        <f>B117</f>
        <v>0.85799999999999998</v>
      </c>
      <c r="D117" s="1030">
        <f>ROUND(0.8748-0.008*B113,4)</f>
        <v>0.84440000000000004</v>
      </c>
      <c r="E117" s="1030">
        <f t="shared" si="34"/>
        <v>0.84440000000000004</v>
      </c>
      <c r="F117" s="1030">
        <f t="shared" si="34"/>
        <v>0.84440000000000004</v>
      </c>
      <c r="G117" s="1030">
        <f t="shared" si="34"/>
        <v>0.84440000000000004</v>
      </c>
      <c r="H117" s="1030">
        <f t="shared" si="34"/>
        <v>0.84440000000000004</v>
      </c>
      <c r="I117" s="1030">
        <f>ROUND(0.7412-0.0095*B113,4)</f>
        <v>0.70509999999999995</v>
      </c>
      <c r="J117" s="1030">
        <f t="shared" si="33"/>
        <v>0.70509999999999995</v>
      </c>
      <c r="K117" s="1030">
        <f t="shared" si="33"/>
        <v>0.70509999999999995</v>
      </c>
      <c r="L117" s="1030">
        <f t="shared" si="33"/>
        <v>0.70509999999999995</v>
      </c>
      <c r="M117" s="1031">
        <f t="shared" si="33"/>
        <v>0.70509999999999995</v>
      </c>
    </row>
    <row r="118" spans="1:13" ht="13.5" thickBot="1">
      <c r="A118" s="1033" t="s">
        <v>903</v>
      </c>
      <c r="B118" s="1034">
        <f>ROUND(0.7275-0.01*B113,4)</f>
        <v>0.6895</v>
      </c>
      <c r="C118" s="1034">
        <f>B118</f>
        <v>0.6895</v>
      </c>
      <c r="D118" s="1034">
        <f>ROUND(0.7043-0.012*B113,4)</f>
        <v>0.65869999999999995</v>
      </c>
      <c r="E118" s="1034">
        <f>D118</f>
        <v>0.65869999999999995</v>
      </c>
      <c r="F118" s="1034">
        <f>E118</f>
        <v>0.65869999999999995</v>
      </c>
      <c r="G118" s="1034">
        <f>ROUND(0.6299-0.0122*B113,4)</f>
        <v>0.58350000000000002</v>
      </c>
      <c r="H118" s="1034">
        <f>G118</f>
        <v>0.58350000000000002</v>
      </c>
      <c r="I118" s="1034">
        <f>ROUND(0.5667-0.0136*B113,4)</f>
        <v>0.51500000000000001</v>
      </c>
      <c r="J118" s="1034">
        <f t="shared" si="33"/>
        <v>0.51500000000000001</v>
      </c>
      <c r="K118" s="1034">
        <f t="shared" si="33"/>
        <v>0.51500000000000001</v>
      </c>
      <c r="L118" s="1034">
        <f t="shared" si="33"/>
        <v>0.51500000000000001</v>
      </c>
      <c r="M118" s="1035">
        <f t="shared" si="33"/>
        <v>0.51500000000000001</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06" t="s">
        <v>1007</v>
      </c>
      <c r="B18" s="1150" t="s">
        <v>1446</v>
      </c>
      <c r="C18" s="1127" t="s">
        <v>1447</v>
      </c>
      <c r="D18" s="1128"/>
      <c r="E18" s="1150">
        <v>1</v>
      </c>
      <c r="F18" s="1129" t="s">
        <v>1448</v>
      </c>
      <c r="G18" s="1130"/>
      <c r="H18" s="1101"/>
      <c r="I18" s="1101"/>
    </row>
    <row r="19" spans="1:9" s="1585" customFormat="1" ht="19.5" customHeight="1">
      <c r="A19" s="3406"/>
      <c r="B19" s="3406" t="s">
        <v>1449</v>
      </c>
      <c r="C19" s="1127" t="s">
        <v>1450</v>
      </c>
      <c r="D19" s="1128"/>
      <c r="E19" s="1150">
        <v>0.9</v>
      </c>
      <c r="F19" s="1129" t="s">
        <v>1451</v>
      </c>
      <c r="G19" s="1130"/>
      <c r="H19" s="1101"/>
      <c r="I19" s="1101"/>
    </row>
    <row r="20" spans="1:9" s="1585" customFormat="1" ht="19.5" customHeight="1">
      <c r="A20" s="3406"/>
      <c r="B20" s="3406"/>
      <c r="C20" s="1127" t="s">
        <v>1452</v>
      </c>
      <c r="D20" s="1128"/>
      <c r="E20" s="1150">
        <v>1.1000000000000001</v>
      </c>
      <c r="F20" s="1129" t="s">
        <v>1453</v>
      </c>
      <c r="G20" s="1130"/>
      <c r="H20" s="1101"/>
      <c r="I20" s="1101"/>
    </row>
    <row r="21" spans="1:9" s="1585" customFormat="1" ht="19.5" customHeight="1">
      <c r="A21" s="3406"/>
      <c r="B21" s="3406"/>
      <c r="C21" s="1127" t="s">
        <v>1454</v>
      </c>
      <c r="D21" s="1128"/>
      <c r="E21" s="1150">
        <v>0.8</v>
      </c>
      <c r="F21" s="1129" t="s">
        <v>1455</v>
      </c>
      <c r="G21" s="1130"/>
      <c r="H21" s="1101"/>
      <c r="I21" s="1101"/>
    </row>
    <row r="22" spans="1:9" s="1585" customFormat="1" ht="19.5" customHeight="1">
      <c r="A22" s="3406"/>
      <c r="B22" s="3406"/>
      <c r="C22" s="1127" t="s">
        <v>1456</v>
      </c>
      <c r="D22" s="1128"/>
      <c r="E22" s="1150">
        <v>0.5</v>
      </c>
      <c r="F22" s="1129"/>
      <c r="G22" s="1130"/>
      <c r="H22" s="1101"/>
      <c r="I22" s="1101"/>
    </row>
    <row r="23" spans="1:9" s="1585" customFormat="1" ht="19.5" customHeight="1">
      <c r="A23" s="3406" t="s">
        <v>1029</v>
      </c>
      <c r="B23" s="1150" t="s">
        <v>1446</v>
      </c>
      <c r="C23" s="1127" t="s">
        <v>1457</v>
      </c>
      <c r="D23" s="1128"/>
      <c r="E23" s="1150">
        <v>1</v>
      </c>
      <c r="F23" s="1129" t="s">
        <v>1458</v>
      </c>
      <c r="G23" s="1130"/>
      <c r="H23" s="1101"/>
      <c r="I23" s="1101"/>
    </row>
    <row r="24" spans="1:9" s="1585" customFormat="1" ht="19.5" customHeight="1">
      <c r="A24" s="3406"/>
      <c r="B24" s="3406" t="s">
        <v>1449</v>
      </c>
      <c r="C24" s="1127" t="s">
        <v>1459</v>
      </c>
      <c r="D24" s="1128"/>
      <c r="E24" s="1150">
        <v>0.5</v>
      </c>
      <c r="F24" s="1129"/>
      <c r="G24" s="1130"/>
      <c r="H24" s="1101"/>
      <c r="I24" s="1101"/>
    </row>
    <row r="25" spans="1:9" s="1585" customFormat="1" ht="19.5" customHeight="1">
      <c r="A25" s="3406"/>
      <c r="B25" s="3406"/>
      <c r="C25" s="1127" t="s">
        <v>1460</v>
      </c>
      <c r="D25" s="1128"/>
      <c r="E25" s="1150">
        <v>1.1000000000000001</v>
      </c>
      <c r="F25" s="1129"/>
      <c r="G25" s="1130"/>
      <c r="H25" s="1101"/>
      <c r="I25" s="1101"/>
    </row>
    <row r="26" spans="1:9" s="1585" customFormat="1" ht="19.5" customHeight="1">
      <c r="A26" s="3406"/>
      <c r="B26" s="3406"/>
      <c r="C26" s="1127" t="s">
        <v>1461</v>
      </c>
      <c r="D26" s="1128"/>
      <c r="E26" s="1150">
        <v>1.1000000000000001</v>
      </c>
      <c r="F26" s="1129"/>
      <c r="G26" s="1130"/>
      <c r="H26" s="1101"/>
      <c r="I26" s="1101"/>
    </row>
    <row r="27" spans="1:9" s="1585" customFormat="1" ht="19.5" customHeight="1">
      <c r="A27" s="3406"/>
      <c r="B27" s="3406"/>
      <c r="C27" s="1127" t="s">
        <v>1462</v>
      </c>
      <c r="D27" s="1128"/>
      <c r="E27" s="1150">
        <v>0.9</v>
      </c>
      <c r="F27" s="1129" t="s">
        <v>1463</v>
      </c>
      <c r="G27" s="1130"/>
      <c r="H27" s="1101"/>
      <c r="I27" s="1101"/>
    </row>
    <row r="28" spans="1:9" s="1585" customFormat="1" ht="19.5" customHeight="1">
      <c r="A28" s="3406"/>
      <c r="B28" s="3406"/>
      <c r="C28" s="1127" t="s">
        <v>1464</v>
      </c>
      <c r="D28" s="1128"/>
      <c r="E28" s="1150">
        <v>0.9</v>
      </c>
      <c r="F28" s="1129" t="s">
        <v>1465</v>
      </c>
      <c r="G28" s="1130"/>
      <c r="H28" s="1101"/>
      <c r="I28" s="1101"/>
    </row>
    <row r="29" spans="1:9" s="1585" customFormat="1" ht="19.5" customHeight="1">
      <c r="A29" s="3406"/>
      <c r="B29" s="3406"/>
      <c r="C29" s="1127" t="s">
        <v>1466</v>
      </c>
      <c r="D29" s="1128"/>
      <c r="E29" s="1150">
        <v>0.9</v>
      </c>
      <c r="F29" s="1129" t="s">
        <v>1467</v>
      </c>
      <c r="G29" s="1130"/>
      <c r="H29" s="1101"/>
      <c r="I29" s="1101"/>
    </row>
    <row r="30" spans="1:9" s="1585" customFormat="1" ht="19.5" customHeight="1">
      <c r="A30" s="3406"/>
      <c r="B30" s="3406"/>
      <c r="C30" s="1127" t="s">
        <v>1468</v>
      </c>
      <c r="D30" s="1128"/>
      <c r="E30" s="1150">
        <v>0.9</v>
      </c>
      <c r="F30" s="1129" t="s">
        <v>1469</v>
      </c>
      <c r="G30" s="1130"/>
      <c r="H30" s="1101"/>
      <c r="I30" s="1101"/>
    </row>
    <row r="31" spans="1:9" s="1585" customFormat="1" ht="19.5" customHeight="1">
      <c r="A31" s="3406"/>
      <c r="B31" s="3406"/>
      <c r="C31" s="1127" t="s">
        <v>1470</v>
      </c>
      <c r="D31" s="1128"/>
      <c r="E31" s="1150">
        <v>0.8</v>
      </c>
      <c r="F31" s="1129" t="s">
        <v>1471</v>
      </c>
      <c r="G31" s="1130"/>
      <c r="H31" s="1101"/>
      <c r="I31" s="1101"/>
    </row>
    <row r="32" spans="1:9" s="1585" customFormat="1" ht="19.5" customHeight="1">
      <c r="A32" s="3406"/>
      <c r="B32" s="3406"/>
      <c r="C32" s="1127" t="s">
        <v>1472</v>
      </c>
      <c r="D32" s="1128"/>
      <c r="E32" s="1150">
        <v>0.8</v>
      </c>
      <c r="F32" s="1129" t="s">
        <v>1473</v>
      </c>
      <c r="G32" s="1130"/>
      <c r="H32" s="1101"/>
      <c r="I32" s="1101"/>
    </row>
    <row r="33" spans="1:9" s="1585" customFormat="1" ht="19.5" customHeight="1">
      <c r="A33" s="3406" t="s">
        <v>1474</v>
      </c>
      <c r="B33" s="1150" t="s">
        <v>1446</v>
      </c>
      <c r="C33" s="1127" t="s">
        <v>1475</v>
      </c>
      <c r="D33" s="1128"/>
      <c r="E33" s="1150">
        <v>1</v>
      </c>
      <c r="F33" s="1129" t="s">
        <v>1476</v>
      </c>
      <c r="G33" s="1130"/>
      <c r="H33" s="1101"/>
      <c r="I33" s="1101"/>
    </row>
    <row r="34" spans="1:9" s="1585" customFormat="1" ht="19.5" customHeight="1">
      <c r="A34" s="3406"/>
      <c r="B34" s="1150" t="s">
        <v>1449</v>
      </c>
      <c r="C34" s="1127" t="s">
        <v>1477</v>
      </c>
      <c r="D34" s="1128"/>
      <c r="E34" s="1150">
        <v>1.5</v>
      </c>
      <c r="F34" s="1129" t="s">
        <v>1478</v>
      </c>
      <c r="G34" s="1130"/>
      <c r="H34" s="1101"/>
      <c r="I34" s="1101"/>
    </row>
    <row r="35" spans="1:9" s="1585" customFormat="1" ht="19.5" customHeight="1">
      <c r="A35" s="3406" t="s">
        <v>1432</v>
      </c>
      <c r="B35" s="1150" t="s">
        <v>1446</v>
      </c>
      <c r="C35" s="1127" t="s">
        <v>1479</v>
      </c>
      <c r="D35" s="1128"/>
      <c r="E35" s="1150">
        <v>1</v>
      </c>
      <c r="F35" s="1129" t="s">
        <v>1480</v>
      </c>
      <c r="G35" s="1130"/>
      <c r="H35" s="1101"/>
      <c r="I35" s="1101"/>
    </row>
    <row r="36" spans="1:9" s="1585" customFormat="1" ht="19.5" customHeight="1">
      <c r="A36" s="3406"/>
      <c r="B36" s="3406" t="s">
        <v>1449</v>
      </c>
      <c r="C36" s="1127" t="s">
        <v>1481</v>
      </c>
      <c r="D36" s="1128"/>
      <c r="E36" s="1150">
        <v>1</v>
      </c>
      <c r="F36" s="1129" t="s">
        <v>1482</v>
      </c>
      <c r="G36" s="1130"/>
      <c r="H36" s="1101"/>
      <c r="I36" s="1101"/>
    </row>
    <row r="37" spans="1:9" s="1585" customFormat="1" ht="19.5" customHeight="1">
      <c r="A37" s="3406"/>
      <c r="B37" s="3406"/>
      <c r="C37" s="1127" t="s">
        <v>1483</v>
      </c>
      <c r="D37" s="1128"/>
      <c r="E37" s="1150">
        <v>1.5</v>
      </c>
      <c r="F37" s="1129" t="s">
        <v>1484</v>
      </c>
      <c r="G37" s="1130"/>
      <c r="H37" s="1101"/>
      <c r="I37" s="1101"/>
    </row>
    <row r="38" spans="1:9" s="1585" customFormat="1" ht="19.5" customHeight="1">
      <c r="A38" s="3406"/>
      <c r="B38" s="3406"/>
      <c r="C38" s="1127" t="s">
        <v>1485</v>
      </c>
      <c r="D38" s="1128"/>
      <c r="E38" s="1150">
        <v>1</v>
      </c>
      <c r="F38" s="1129" t="s">
        <v>1486</v>
      </c>
      <c r="G38" s="1130"/>
      <c r="H38" s="1101"/>
      <c r="I38" s="1101"/>
    </row>
    <row r="39" spans="1:9" s="1585" customFormat="1" ht="19.5" customHeight="1">
      <c r="A39" s="3406"/>
      <c r="B39" s="340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06" t="s">
        <v>1501</v>
      </c>
      <c r="C61" s="1064" t="s">
        <v>1502</v>
      </c>
      <c r="D61" s="1064" t="s">
        <v>1503</v>
      </c>
      <c r="E61" s="1135">
        <v>0.5</v>
      </c>
      <c r="F61" s="1150">
        <v>80</v>
      </c>
      <c r="H61" s="1101">
        <f>SUMIF(C59:C119,基准地价!C8,E59:E119)</f>
        <v>0</v>
      </c>
    </row>
    <row r="62" spans="1:8" s="1101" customFormat="1" ht="24">
      <c r="A62" s="1150">
        <v>2</v>
      </c>
      <c r="B62" s="3406"/>
      <c r="C62" s="1064" t="s">
        <v>1504</v>
      </c>
      <c r="D62" s="1064" t="s">
        <v>1505</v>
      </c>
      <c r="E62" s="1135">
        <v>0.5</v>
      </c>
      <c r="F62" s="1150">
        <v>80</v>
      </c>
    </row>
    <row r="63" spans="1:8" s="1101" customFormat="1" ht="36">
      <c r="A63" s="1150">
        <v>3</v>
      </c>
      <c r="B63" s="3406"/>
      <c r="C63" s="1064" t="s">
        <v>1506</v>
      </c>
      <c r="D63" s="1064" t="s">
        <v>1507</v>
      </c>
      <c r="E63" s="1135">
        <v>0.5</v>
      </c>
      <c r="F63" s="1150">
        <v>80</v>
      </c>
    </row>
    <row r="64" spans="1:8" s="1101" customFormat="1" ht="36">
      <c r="A64" s="1150">
        <v>4</v>
      </c>
      <c r="B64" s="3406"/>
      <c r="C64" s="1064" t="s">
        <v>1508</v>
      </c>
      <c r="D64" s="1064" t="s">
        <v>1509</v>
      </c>
      <c r="E64" s="1135">
        <v>0.4</v>
      </c>
      <c r="F64" s="1150">
        <v>60</v>
      </c>
    </row>
    <row r="65" spans="1:6" s="1101" customFormat="1" ht="36">
      <c r="A65" s="1150">
        <v>5</v>
      </c>
      <c r="B65" s="3406"/>
      <c r="C65" s="1064" t="s">
        <v>1510</v>
      </c>
      <c r="D65" s="1064" t="s">
        <v>1511</v>
      </c>
      <c r="E65" s="1135">
        <v>0.2</v>
      </c>
      <c r="F65" s="1150">
        <v>30</v>
      </c>
    </row>
    <row r="66" spans="1:6" s="1101" customFormat="1" ht="36">
      <c r="A66" s="1150">
        <v>6</v>
      </c>
      <c r="B66" s="3406"/>
      <c r="C66" s="1064" t="s">
        <v>1512</v>
      </c>
      <c r="D66" s="1064" t="s">
        <v>1513</v>
      </c>
      <c r="E66" s="1135">
        <v>0.3</v>
      </c>
      <c r="F66" s="1150">
        <v>50</v>
      </c>
    </row>
    <row r="67" spans="1:6" s="1101" customFormat="1" ht="36">
      <c r="A67" s="1150">
        <v>7</v>
      </c>
      <c r="B67" s="3406"/>
      <c r="C67" s="1064" t="s">
        <v>1514</v>
      </c>
      <c r="D67" s="1064" t="s">
        <v>1515</v>
      </c>
      <c r="E67" s="1135">
        <v>0.2</v>
      </c>
      <c r="F67" s="1150">
        <v>30</v>
      </c>
    </row>
    <row r="68" spans="1:6" s="1101" customFormat="1" ht="36">
      <c r="A68" s="1150">
        <v>8</v>
      </c>
      <c r="B68" s="3406"/>
      <c r="C68" s="1064" t="s">
        <v>1516</v>
      </c>
      <c r="D68" s="1064" t="s">
        <v>1517</v>
      </c>
      <c r="E68" s="1135">
        <v>0.2</v>
      </c>
      <c r="F68" s="1150">
        <v>30</v>
      </c>
    </row>
    <row r="69" spans="1:6" s="1101" customFormat="1" ht="36">
      <c r="A69" s="1150">
        <v>9</v>
      </c>
      <c r="B69" s="3406"/>
      <c r="C69" s="1064" t="s">
        <v>1518</v>
      </c>
      <c r="D69" s="1064" t="s">
        <v>1519</v>
      </c>
      <c r="E69" s="1135">
        <v>0.2</v>
      </c>
      <c r="F69" s="1150">
        <v>30</v>
      </c>
    </row>
    <row r="70" spans="1:6" s="1101" customFormat="1" ht="48">
      <c r="A70" s="1150">
        <v>10</v>
      </c>
      <c r="B70" s="3406"/>
      <c r="C70" s="1064" t="s">
        <v>1520</v>
      </c>
      <c r="D70" s="1064" t="s">
        <v>1521</v>
      </c>
      <c r="E70" s="1135">
        <v>0.2</v>
      </c>
      <c r="F70" s="1150">
        <v>30</v>
      </c>
    </row>
    <row r="71" spans="1:6" s="1101" customFormat="1" ht="48">
      <c r="A71" s="1150">
        <v>11</v>
      </c>
      <c r="B71" s="3406"/>
      <c r="C71" s="1064" t="s">
        <v>1522</v>
      </c>
      <c r="D71" s="1064" t="s">
        <v>1523</v>
      </c>
      <c r="E71" s="1135">
        <v>0.2</v>
      </c>
      <c r="F71" s="1150">
        <v>30</v>
      </c>
    </row>
    <row r="72" spans="1:6" s="1101" customFormat="1" ht="36">
      <c r="A72" s="1150">
        <v>12</v>
      </c>
      <c r="B72" s="3406"/>
      <c r="C72" s="1064" t="s">
        <v>1524</v>
      </c>
      <c r="D72" s="1064" t="s">
        <v>1525</v>
      </c>
      <c r="E72" s="1135">
        <v>0.5</v>
      </c>
      <c r="F72" s="1150">
        <v>80</v>
      </c>
    </row>
    <row r="73" spans="1:6" s="1101" customFormat="1" ht="24">
      <c r="A73" s="1150">
        <v>13</v>
      </c>
      <c r="B73" s="3406"/>
      <c r="C73" s="1064" t="s">
        <v>1526</v>
      </c>
      <c r="D73" s="1064" t="s">
        <v>1527</v>
      </c>
      <c r="E73" s="1135">
        <v>0.4</v>
      </c>
      <c r="F73" s="1150">
        <v>60</v>
      </c>
    </row>
    <row r="74" spans="1:6" s="1101" customFormat="1" ht="24">
      <c r="A74" s="1150">
        <v>14</v>
      </c>
      <c r="B74" s="3406"/>
      <c r="C74" s="1064" t="s">
        <v>1528</v>
      </c>
      <c r="D74" s="1064" t="s">
        <v>1529</v>
      </c>
      <c r="E74" s="1135">
        <v>0.2</v>
      </c>
      <c r="F74" s="1150">
        <v>30</v>
      </c>
    </row>
    <row r="75" spans="1:6" s="1101" customFormat="1" ht="24">
      <c r="A75" s="1150">
        <v>15</v>
      </c>
      <c r="B75" s="3406"/>
      <c r="C75" s="1064" t="s">
        <v>1530</v>
      </c>
      <c r="D75" s="1064" t="s">
        <v>1531</v>
      </c>
      <c r="E75" s="1135">
        <v>0.2</v>
      </c>
      <c r="F75" s="1150">
        <v>30</v>
      </c>
    </row>
    <row r="76" spans="1:6" s="1101" customFormat="1" ht="24">
      <c r="A76" s="1150">
        <v>16</v>
      </c>
      <c r="B76" s="3406" t="s">
        <v>1532</v>
      </c>
      <c r="C76" s="1064" t="s">
        <v>1533</v>
      </c>
      <c r="D76" s="1064" t="s">
        <v>1534</v>
      </c>
      <c r="E76" s="1135">
        <v>0.5</v>
      </c>
      <c r="F76" s="1150">
        <v>80</v>
      </c>
    </row>
    <row r="77" spans="1:6" s="1101" customFormat="1" ht="24">
      <c r="A77" s="1150">
        <v>17</v>
      </c>
      <c r="B77" s="3406"/>
      <c r="C77" s="1064" t="s">
        <v>1535</v>
      </c>
      <c r="D77" s="1064" t="s">
        <v>1536</v>
      </c>
      <c r="E77" s="1135">
        <v>0.5</v>
      </c>
      <c r="F77" s="1150">
        <v>80</v>
      </c>
    </row>
    <row r="78" spans="1:6" s="1101" customFormat="1" ht="24">
      <c r="A78" s="1150">
        <v>18</v>
      </c>
      <c r="B78" s="3406"/>
      <c r="C78" s="1064" t="s">
        <v>1537</v>
      </c>
      <c r="D78" s="1064" t="s">
        <v>1538</v>
      </c>
      <c r="E78" s="1135">
        <v>0.2</v>
      </c>
      <c r="F78" s="1150">
        <v>30</v>
      </c>
    </row>
    <row r="79" spans="1:6" s="1101" customFormat="1" ht="24">
      <c r="A79" s="1150">
        <v>19</v>
      </c>
      <c r="B79" s="3406"/>
      <c r="C79" s="1064" t="s">
        <v>1539</v>
      </c>
      <c r="D79" s="1064" t="s">
        <v>1540</v>
      </c>
      <c r="E79" s="1135">
        <v>0.5</v>
      </c>
      <c r="F79" s="1150">
        <v>80</v>
      </c>
    </row>
    <row r="80" spans="1:6" s="1101" customFormat="1" ht="36">
      <c r="A80" s="1150">
        <v>20</v>
      </c>
      <c r="B80" s="3406"/>
      <c r="C80" s="1064" t="s">
        <v>1541</v>
      </c>
      <c r="D80" s="1064" t="s">
        <v>1542</v>
      </c>
      <c r="E80" s="1135">
        <v>0.2</v>
      </c>
      <c r="F80" s="1150">
        <v>30</v>
      </c>
    </row>
    <row r="81" spans="1:6" s="1101" customFormat="1" ht="36">
      <c r="A81" s="1150">
        <v>21</v>
      </c>
      <c r="B81" s="3406"/>
      <c r="C81" s="1064" t="s">
        <v>1543</v>
      </c>
      <c r="D81" s="1064" t="s">
        <v>1544</v>
      </c>
      <c r="E81" s="1135">
        <v>0.2</v>
      </c>
      <c r="F81" s="1150">
        <v>30</v>
      </c>
    </row>
    <row r="82" spans="1:6" s="1101" customFormat="1" ht="48">
      <c r="A82" s="1150">
        <v>22</v>
      </c>
      <c r="B82" s="3406"/>
      <c r="C82" s="1064" t="s">
        <v>1545</v>
      </c>
      <c r="D82" s="1064" t="s">
        <v>1546</v>
      </c>
      <c r="E82" s="1135">
        <v>0.2</v>
      </c>
      <c r="F82" s="1150">
        <v>30</v>
      </c>
    </row>
    <row r="83" spans="1:6" s="1101" customFormat="1" ht="48">
      <c r="A83" s="1150">
        <v>23</v>
      </c>
      <c r="B83" s="3406"/>
      <c r="C83" s="1064" t="s">
        <v>1547</v>
      </c>
      <c r="D83" s="1064" t="s">
        <v>1548</v>
      </c>
      <c r="E83" s="1135">
        <v>0.2</v>
      </c>
      <c r="F83" s="1150">
        <v>30</v>
      </c>
    </row>
    <row r="84" spans="1:6" s="1101" customFormat="1" ht="36">
      <c r="A84" s="1150">
        <v>24</v>
      </c>
      <c r="B84" s="3406"/>
      <c r="C84" s="1064" t="s">
        <v>1549</v>
      </c>
      <c r="D84" s="1064" t="s">
        <v>1550</v>
      </c>
      <c r="E84" s="1135">
        <v>0.2</v>
      </c>
      <c r="F84" s="1150">
        <v>30</v>
      </c>
    </row>
    <row r="85" spans="1:6" s="1101" customFormat="1" ht="36">
      <c r="A85" s="1150">
        <v>25</v>
      </c>
      <c r="B85" s="3406"/>
      <c r="C85" s="1064" t="s">
        <v>1551</v>
      </c>
      <c r="D85" s="1064" t="s">
        <v>1552</v>
      </c>
      <c r="E85" s="1135">
        <v>0.5</v>
      </c>
      <c r="F85" s="1150">
        <v>80</v>
      </c>
    </row>
    <row r="86" spans="1:6" s="1101" customFormat="1" ht="36">
      <c r="A86" s="1150">
        <v>26</v>
      </c>
      <c r="B86" s="3406"/>
      <c r="C86" s="1064" t="s">
        <v>1553</v>
      </c>
      <c r="D86" s="1064" t="s">
        <v>1554</v>
      </c>
      <c r="E86" s="1135">
        <v>0.2</v>
      </c>
      <c r="F86" s="1150">
        <v>30</v>
      </c>
    </row>
    <row r="87" spans="1:6" s="1101" customFormat="1" ht="36">
      <c r="A87" s="1150">
        <v>27</v>
      </c>
      <c r="B87" s="3406"/>
      <c r="C87" s="1064" t="s">
        <v>1555</v>
      </c>
      <c r="D87" s="1064" t="s">
        <v>1556</v>
      </c>
      <c r="E87" s="1135">
        <v>0.2</v>
      </c>
      <c r="F87" s="1150">
        <v>30</v>
      </c>
    </row>
    <row r="88" spans="1:6" s="1101" customFormat="1" ht="36">
      <c r="A88" s="1150">
        <v>28</v>
      </c>
      <c r="B88" s="3406"/>
      <c r="C88" s="1064" t="s">
        <v>1557</v>
      </c>
      <c r="D88" s="1064" t="s">
        <v>1558</v>
      </c>
      <c r="E88" s="1135">
        <v>0.2</v>
      </c>
      <c r="F88" s="1150">
        <v>30</v>
      </c>
    </row>
    <row r="89" spans="1:6" s="1101" customFormat="1" ht="24">
      <c r="A89" s="1150">
        <v>29</v>
      </c>
      <c r="B89" s="3406"/>
      <c r="C89" s="1064" t="s">
        <v>1559</v>
      </c>
      <c r="D89" s="1064" t="s">
        <v>1560</v>
      </c>
      <c r="E89" s="1135">
        <v>0.2</v>
      </c>
      <c r="F89" s="1150">
        <v>30</v>
      </c>
    </row>
    <row r="90" spans="1:6" s="1101" customFormat="1" ht="24">
      <c r="A90" s="1150">
        <v>30</v>
      </c>
      <c r="B90" s="3406"/>
      <c r="C90" s="1064" t="s">
        <v>1561</v>
      </c>
      <c r="D90" s="1064" t="s">
        <v>1562</v>
      </c>
      <c r="E90" s="1135">
        <v>0.2</v>
      </c>
      <c r="F90" s="1150">
        <v>30</v>
      </c>
    </row>
    <row r="91" spans="1:6" s="1101" customFormat="1" ht="36">
      <c r="A91" s="1150">
        <v>31</v>
      </c>
      <c r="B91" s="3406"/>
      <c r="C91" s="1064" t="s">
        <v>1563</v>
      </c>
      <c r="D91" s="1064" t="s">
        <v>1564</v>
      </c>
      <c r="E91" s="1135">
        <v>0.2</v>
      </c>
      <c r="F91" s="1150">
        <v>30</v>
      </c>
    </row>
    <row r="92" spans="1:6" s="1101" customFormat="1" ht="24">
      <c r="A92" s="1150">
        <v>32</v>
      </c>
      <c r="B92" s="3406" t="s">
        <v>1565</v>
      </c>
      <c r="C92" s="1150" t="s">
        <v>1566</v>
      </c>
      <c r="D92" s="1064" t="s">
        <v>1567</v>
      </c>
      <c r="E92" s="1135">
        <v>0.2</v>
      </c>
      <c r="F92" s="1150">
        <v>30</v>
      </c>
    </row>
    <row r="93" spans="1:6" s="1101" customFormat="1" ht="36">
      <c r="A93" s="1150">
        <v>33</v>
      </c>
      <c r="B93" s="3406"/>
      <c r="C93" s="1150" t="s">
        <v>1568</v>
      </c>
      <c r="D93" s="1064" t="s">
        <v>1569</v>
      </c>
      <c r="E93" s="1135">
        <v>0.2</v>
      </c>
      <c r="F93" s="1150">
        <v>30</v>
      </c>
    </row>
    <row r="94" spans="1:6" s="1101" customFormat="1" ht="48">
      <c r="A94" s="1150">
        <v>34</v>
      </c>
      <c r="B94" s="3406"/>
      <c r="C94" s="1150" t="s">
        <v>1570</v>
      </c>
      <c r="D94" s="1064" t="s">
        <v>1571</v>
      </c>
      <c r="E94" s="1135">
        <v>0.2</v>
      </c>
      <c r="F94" s="1150">
        <v>30</v>
      </c>
    </row>
    <row r="95" spans="1:6" s="1101" customFormat="1" ht="36">
      <c r="A95" s="1150">
        <v>35</v>
      </c>
      <c r="B95" s="3406"/>
      <c r="C95" s="1150" t="s">
        <v>1572</v>
      </c>
      <c r="D95" s="1064" t="s">
        <v>1573</v>
      </c>
      <c r="E95" s="1135">
        <v>0.2</v>
      </c>
      <c r="F95" s="1150">
        <v>30</v>
      </c>
    </row>
    <row r="96" spans="1:6" s="1101" customFormat="1" ht="48">
      <c r="A96" s="1150">
        <v>36</v>
      </c>
      <c r="B96" s="3406"/>
      <c r="C96" s="1064" t="s">
        <v>1574</v>
      </c>
      <c r="D96" s="1064" t="s">
        <v>1575</v>
      </c>
      <c r="E96" s="1135">
        <v>0.2</v>
      </c>
      <c r="F96" s="1150">
        <v>30</v>
      </c>
    </row>
    <row r="97" spans="1:6" s="1101" customFormat="1" ht="36">
      <c r="A97" s="1150">
        <v>37</v>
      </c>
      <c r="B97" s="3406"/>
      <c r="C97" s="1150" t="s">
        <v>1576</v>
      </c>
      <c r="D97" s="1064" t="s">
        <v>1577</v>
      </c>
      <c r="E97" s="1135">
        <v>0.2</v>
      </c>
      <c r="F97" s="1150">
        <v>30</v>
      </c>
    </row>
    <row r="98" spans="1:6" s="1101" customFormat="1" ht="36">
      <c r="A98" s="1150">
        <v>38</v>
      </c>
      <c r="B98" s="3406"/>
      <c r="C98" s="1150" t="s">
        <v>1578</v>
      </c>
      <c r="D98" s="1064" t="s">
        <v>1579</v>
      </c>
      <c r="E98" s="1135">
        <v>0.2</v>
      </c>
      <c r="F98" s="1150">
        <v>30</v>
      </c>
    </row>
    <row r="99" spans="1:6" s="1101" customFormat="1" ht="36">
      <c r="A99" s="1150">
        <v>39</v>
      </c>
      <c r="B99" s="3406" t="s">
        <v>1580</v>
      </c>
      <c r="C99" s="1150" t="s">
        <v>1581</v>
      </c>
      <c r="D99" s="1064" t="s">
        <v>1582</v>
      </c>
      <c r="E99" s="1135">
        <v>0.3</v>
      </c>
      <c r="F99" s="1150">
        <v>50</v>
      </c>
    </row>
    <row r="100" spans="1:6" s="1101" customFormat="1" ht="24">
      <c r="A100" s="1150">
        <v>40</v>
      </c>
      <c r="B100" s="3406"/>
      <c r="C100" s="1150" t="s">
        <v>1583</v>
      </c>
      <c r="D100" s="1064" t="s">
        <v>1584</v>
      </c>
      <c r="E100" s="1135">
        <v>0.2</v>
      </c>
      <c r="F100" s="1150">
        <v>30</v>
      </c>
    </row>
    <row r="101" spans="1:6" s="1101" customFormat="1" ht="36">
      <c r="A101" s="1150">
        <v>41</v>
      </c>
      <c r="B101" s="340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06" t="s">
        <v>1595</v>
      </c>
      <c r="C105" s="1150" t="s">
        <v>1596</v>
      </c>
      <c r="D105" s="1064" t="s">
        <v>1597</v>
      </c>
      <c r="E105" s="1135">
        <v>0.2</v>
      </c>
      <c r="F105" s="1150">
        <v>30</v>
      </c>
    </row>
    <row r="106" spans="1:6" s="1101" customFormat="1" ht="36">
      <c r="A106" s="1150">
        <v>46</v>
      </c>
      <c r="B106" s="3406"/>
      <c r="C106" s="1150" t="s">
        <v>1598</v>
      </c>
      <c r="D106" s="1064" t="s">
        <v>1599</v>
      </c>
      <c r="E106" s="1135">
        <v>0.2</v>
      </c>
      <c r="F106" s="1150">
        <v>30</v>
      </c>
    </row>
    <row r="107" spans="1:6" s="1101" customFormat="1" ht="36">
      <c r="A107" s="1150">
        <v>47</v>
      </c>
      <c r="B107" s="3406" t="s">
        <v>1600</v>
      </c>
      <c r="C107" s="1150" t="s">
        <v>1601</v>
      </c>
      <c r="D107" s="1064" t="s">
        <v>1602</v>
      </c>
      <c r="E107" s="1135">
        <v>0.3</v>
      </c>
      <c r="F107" s="1150">
        <v>50</v>
      </c>
    </row>
    <row r="108" spans="1:6" s="1101" customFormat="1" ht="36">
      <c r="A108" s="1150">
        <v>48</v>
      </c>
      <c r="B108" s="340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06" t="s">
        <v>1611</v>
      </c>
      <c r="C111" s="1150" t="s">
        <v>1612</v>
      </c>
      <c r="D111" s="1064" t="s">
        <v>1613</v>
      </c>
      <c r="E111" s="1135">
        <v>0.2</v>
      </c>
      <c r="F111" s="1150">
        <v>30</v>
      </c>
    </row>
    <row r="112" spans="1:6" s="1101" customFormat="1" ht="24">
      <c r="A112" s="1150">
        <v>52</v>
      </c>
      <c r="B112" s="3406"/>
      <c r="C112" s="1150" t="s">
        <v>1614</v>
      </c>
      <c r="D112" s="1064" t="s">
        <v>1615</v>
      </c>
      <c r="E112" s="1135">
        <v>0.2</v>
      </c>
      <c r="F112" s="1150">
        <v>30</v>
      </c>
    </row>
    <row r="113" spans="1:14" s="1101" customFormat="1" ht="24">
      <c r="A113" s="1150">
        <v>53</v>
      </c>
      <c r="B113" s="340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06" t="s">
        <v>1624</v>
      </c>
      <c r="C116" s="1150" t="s">
        <v>1625</v>
      </c>
      <c r="D116" s="1064" t="s">
        <v>1626</v>
      </c>
      <c r="E116" s="1135">
        <v>0.2</v>
      </c>
      <c r="F116" s="1150">
        <v>30</v>
      </c>
    </row>
    <row r="117" spans="1:14" ht="36">
      <c r="A117" s="1150">
        <v>57</v>
      </c>
      <c r="B117" s="340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05" t="s">
        <v>1633</v>
      </c>
      <c r="B121" s="3405"/>
      <c r="C121" s="3405"/>
      <c r="D121" s="3405"/>
      <c r="E121" s="3405"/>
      <c r="F121" s="3405"/>
      <c r="G121" s="3405"/>
      <c r="H121" s="3405"/>
      <c r="I121" s="3405"/>
      <c r="J121" s="340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0" t="s">
        <v>1039</v>
      </c>
      <c r="B1" s="3420"/>
      <c r="C1" s="3420"/>
      <c r="D1" s="3420"/>
      <c r="E1" s="3420"/>
      <c r="F1" s="342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21" t="s">
        <v>1052</v>
      </c>
      <c r="B2" s="3421"/>
      <c r="C2" s="3421"/>
      <c r="D2" s="3421"/>
      <c r="E2" s="3421"/>
      <c r="F2" s="342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2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2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24" t="s">
        <v>2079</v>
      </c>
      <c r="B1" s="342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27" t="s">
        <v>2576</v>
      </c>
      <c r="C1" s="3427"/>
      <c r="D1" s="3427"/>
      <c r="E1" s="3427"/>
      <c r="F1" s="3427"/>
      <c r="G1" s="3426" t="s">
        <v>2577</v>
      </c>
      <c r="H1" s="3426"/>
      <c r="I1" s="3426"/>
      <c r="J1" s="3426"/>
      <c r="K1" s="3426"/>
      <c r="L1" s="3426"/>
      <c r="N1" s="3426" t="s">
        <v>2578</v>
      </c>
      <c r="O1" s="3426"/>
      <c r="P1" s="3426"/>
      <c r="Q1" s="3426"/>
      <c r="R1" s="2619"/>
      <c r="S1" s="3426" t="s">
        <v>2579</v>
      </c>
      <c r="T1" s="3426"/>
      <c r="U1" s="3426"/>
      <c r="V1" s="3426"/>
      <c r="X1" s="3425" t="s">
        <v>2639</v>
      </c>
      <c r="Y1" s="3426"/>
      <c r="Z1" s="3426"/>
      <c r="AA1" s="3426"/>
      <c r="AB1" s="3426"/>
      <c r="AD1" s="3425" t="s">
        <v>2643</v>
      </c>
      <c r="AE1" s="3426"/>
      <c r="AF1" s="3426"/>
      <c r="AG1" s="3426"/>
      <c r="AH1" s="342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ROUND(AVERAGE($I4:$I28),2)</f>
        <v>1.98</v>
      </c>
      <c r="J3" s="3094">
        <f>ROUND(AVERAGE($J4:$J28),2)</f>
        <v>1.41</v>
      </c>
      <c r="K3" s="3094">
        <f>ROUND(AVERAGE($K4:$K28),2)</f>
        <v>2.16</v>
      </c>
      <c r="L3" s="3094">
        <f>ROUND(AVERAGE($L4:$L28),2)</f>
        <v>1.38</v>
      </c>
      <c r="N3" s="3086"/>
      <c r="O3" s="3088"/>
      <c r="P3" s="3088"/>
      <c r="Q3" s="3088"/>
      <c r="R3" s="3088"/>
      <c r="S3" s="3086"/>
      <c r="T3" s="3088"/>
      <c r="U3" s="3088"/>
      <c r="V3" s="3088"/>
      <c r="W3" s="3091"/>
      <c r="X3" s="3089">
        <f>ROUND(SUMPRODUCT(PRODUCT(1+N3:N$27)),4)</f>
        <v>1.5516000000000001</v>
      </c>
      <c r="Y3" s="3089">
        <f>ROUND(SUMPRODUCT(PRODUCT(1+O3:O$27)),4)</f>
        <v>1.3649</v>
      </c>
      <c r="Z3" s="3089">
        <f t="shared" ref="Z3:Z25" si="0">Y3</f>
        <v>1.3649</v>
      </c>
      <c r="AA3" s="3089">
        <f>ROUND(SUMPRODUCT(PRODUCT(1+P3:P$27)),4)</f>
        <v>1.6133999999999999</v>
      </c>
      <c r="AB3" s="3089">
        <f>ROUND(SUMPRODUCT(PRODUCT(1+Q3:Q$27)),4)</f>
        <v>1.3713</v>
      </c>
      <c r="AD3" s="3090">
        <f>ROUND(AVERAGE(I3:I$28)/100,4)</f>
        <v>1.9800000000000002E-2</v>
      </c>
      <c r="AE3" s="3090">
        <f>ROUND(AVERAGE(J3:J$28)/100,4)</f>
        <v>1.41E-2</v>
      </c>
      <c r="AF3" s="3090">
        <f t="shared" ref="AF3:AF26" si="1">AE3</f>
        <v>1.41E-2</v>
      </c>
      <c r="AG3" s="3090">
        <f>ROUND(AVERAGE(K3:K$28)/100,4)</f>
        <v>2.1600000000000001E-2</v>
      </c>
      <c r="AH3" s="3090">
        <f>ROUND(AVERAGE(L3:L$28)/100,4)</f>
        <v>1.38E-2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c r="A5" s="3065" t="s">
        <v>2998</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6">
        <v>4</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ROUND(IF(项目基本情况!B7="出让",SUMPRODUCT(PRODUCT(1+N5:N$28)),SUMPRODUCT(PRODUCT(1+N5:N$27))),4)</f>
        <v>1.5516000000000001</v>
      </c>
      <c r="Y5" s="3070">
        <f>ROUND(IF(项目基本情况!B7="出让",SUMPRODUCT(PRODUCT(1+O5:O$28)),SUMPRODUCT(PRODUCT(1+O5:O$27))),4)</f>
        <v>1.3649</v>
      </c>
      <c r="Z5" s="3070">
        <f t="shared" ref="Z5" si="11">Y5</f>
        <v>1.3649</v>
      </c>
      <c r="AA5" s="3070">
        <f>ROUND(IF(项目基本情况!B7="出让",SUMPRODUCT(PRODUCT(1+P5:P$28)),SUMPRODUCT(PRODUCT(1+P5:P$27))),4)</f>
        <v>1.6133999999999999</v>
      </c>
      <c r="AB5" s="3070">
        <f>ROUND(IF(项目基本情况!B7="出让",SUMPRODUCT(PRODUCT(1+Q5:Q$28)),SUMPRODUCT(PRODUCT(1+Q5:Q$27))),4)</f>
        <v>1.3713</v>
      </c>
      <c r="AD5" s="3071">
        <f>ROUND(AVERAGE(I5:I$28)/100,4)</f>
        <v>1.9800000000000002E-2</v>
      </c>
      <c r="AE5" s="3071">
        <f>ROUND(AVERAGE(J5:J$28)/100,4)</f>
        <v>1.41E-2</v>
      </c>
      <c r="AF5" s="3071">
        <f t="shared" ref="AF5" si="12">AE5</f>
        <v>1.41E-2</v>
      </c>
      <c r="AG5" s="3071">
        <f>ROUND(AVERAGE(K5:K$28)/100,4)</f>
        <v>2.1600000000000001E-2</v>
      </c>
      <c r="AH5" s="3071">
        <f>ROUND(AVERAGE(L5:L$28)/100,4)</f>
        <v>1.38E-2</v>
      </c>
    </row>
    <row r="6" spans="1:34" s="2725" customFormat="1" ht="13.5" thickBot="1">
      <c r="A6" s="2620" t="s">
        <v>2997</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2994</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2993</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2990</v>
      </c>
      <c r="B9" s="3179">
        <f t="shared" si="24"/>
        <v>464.37293017158942</v>
      </c>
      <c r="C9" s="3179">
        <f t="shared" ref="C9" si="45">C10*(1+O9)</f>
        <v>344.73679941385956</v>
      </c>
      <c r="D9" s="3179">
        <f t="shared" ref="D9" si="46">C9</f>
        <v>344.73679941385956</v>
      </c>
      <c r="E9" s="3179">
        <f t="shared" ref="E9" si="47">E10*(1+P9)</f>
        <v>663.2377795103107</v>
      </c>
      <c r="F9" s="3180">
        <f t="shared" ref="F9" si="48">F10*(1+Q9)</f>
        <v>304.75936311478398</v>
      </c>
      <c r="G9" s="3429">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2980</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29"/>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2981</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29"/>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2977</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35"/>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2968</v>
      </c>
      <c r="B13" s="3097">
        <v>439</v>
      </c>
      <c r="C13" s="3097">
        <v>327</v>
      </c>
      <c r="D13" s="3097">
        <f t="shared" si="76"/>
        <v>327</v>
      </c>
      <c r="E13" s="3097">
        <v>627</v>
      </c>
      <c r="F13" s="3098">
        <v>283</v>
      </c>
      <c r="G13" s="3434">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2972</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29"/>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2581</v>
      </c>
      <c r="B15" s="2633">
        <f t="shared" si="88"/>
        <v>419.31181600000002</v>
      </c>
      <c r="C15" s="2633">
        <f t="shared" si="88"/>
        <v>313.95436800000004</v>
      </c>
      <c r="D15" s="2633">
        <f t="shared" si="76"/>
        <v>313.95436800000004</v>
      </c>
      <c r="E15" s="2633">
        <f t="shared" si="89"/>
        <v>596.63028431999999</v>
      </c>
      <c r="F15" s="2633">
        <f t="shared" si="89"/>
        <v>274.74220703999998</v>
      </c>
      <c r="G15" s="3429"/>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2582</v>
      </c>
      <c r="B16" s="2633">
        <f t="shared" si="88"/>
        <v>405.524</v>
      </c>
      <c r="C16" s="2633">
        <f t="shared" si="88"/>
        <v>307.79840000000002</v>
      </c>
      <c r="D16" s="2633">
        <f t="shared" si="76"/>
        <v>307.79840000000002</v>
      </c>
      <c r="E16" s="2633">
        <f t="shared" si="89"/>
        <v>574.67759999999998</v>
      </c>
      <c r="F16" s="2633">
        <f t="shared" si="89"/>
        <v>270.20280000000002</v>
      </c>
      <c r="G16" s="3435"/>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970</v>
      </c>
      <c r="B17" s="2625">
        <v>392</v>
      </c>
      <c r="C17" s="2625">
        <v>302</v>
      </c>
      <c r="D17" s="2625">
        <f t="shared" si="76"/>
        <v>302</v>
      </c>
      <c r="E17" s="2625">
        <v>553</v>
      </c>
      <c r="F17" s="2626">
        <v>266</v>
      </c>
      <c r="G17" s="3434">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969</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29"/>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959</v>
      </c>
      <c r="B19" s="2633">
        <f t="shared" si="97"/>
        <v>360.06949782209392</v>
      </c>
      <c r="C19" s="2633">
        <f t="shared" si="97"/>
        <v>289.84672674747821</v>
      </c>
      <c r="D19" s="2633">
        <f t="shared" si="98"/>
        <v>289.84672674747821</v>
      </c>
      <c r="E19" s="2633">
        <f t="shared" si="99"/>
        <v>501.06543001181495</v>
      </c>
      <c r="F19" s="2633">
        <f t="shared" si="99"/>
        <v>256.82882500744967</v>
      </c>
      <c r="G19" s="3429"/>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968</v>
      </c>
      <c r="B20" s="2633">
        <f t="shared" si="97"/>
        <v>346.720748986128</v>
      </c>
      <c r="C20" s="2633">
        <f t="shared" si="97"/>
        <v>284.30282172386285</v>
      </c>
      <c r="D20" s="2633">
        <f t="shared" si="98"/>
        <v>284.30282172386285</v>
      </c>
      <c r="E20" s="2633">
        <f t="shared" si="99"/>
        <v>479.58023546306947</v>
      </c>
      <c r="F20" s="2633">
        <f t="shared" si="99"/>
        <v>253.25788877571213</v>
      </c>
      <c r="G20" s="3430"/>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967</v>
      </c>
      <c r="B21" s="2625">
        <v>333</v>
      </c>
      <c r="C21" s="2625">
        <v>277</v>
      </c>
      <c r="D21" s="2625">
        <f t="shared" si="98"/>
        <v>277</v>
      </c>
      <c r="E21" s="2625">
        <v>459</v>
      </c>
      <c r="F21" s="2626">
        <v>249</v>
      </c>
      <c r="G21" s="3428">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966</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29"/>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965</v>
      </c>
      <c r="B23" s="2633">
        <f t="shared" si="101"/>
        <v>322.34053690220776</v>
      </c>
      <c r="C23" s="2633">
        <f t="shared" si="101"/>
        <v>271.46160770422546</v>
      </c>
      <c r="D23" s="2633">
        <f t="shared" si="98"/>
        <v>271.46160770422546</v>
      </c>
      <c r="E23" s="2633">
        <f t="shared" si="102"/>
        <v>442.69434542172456</v>
      </c>
      <c r="F23" s="2633">
        <f t="shared" si="102"/>
        <v>241.34030753190925</v>
      </c>
      <c r="G23" s="3429"/>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964</v>
      </c>
      <c r="B24" s="2633">
        <f t="shared" si="101"/>
        <v>319.87748030386797</v>
      </c>
      <c r="C24" s="2633">
        <f t="shared" si="101"/>
        <v>269.60135833173649</v>
      </c>
      <c r="D24" s="2633">
        <f t="shared" si="98"/>
        <v>269.60135833173649</v>
      </c>
      <c r="E24" s="2633">
        <f t="shared" si="102"/>
        <v>439.18089823583784</v>
      </c>
      <c r="F24" s="2633">
        <f t="shared" si="102"/>
        <v>239.23503918706311</v>
      </c>
      <c r="G24" s="3430"/>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963</v>
      </c>
      <c r="B25" s="2647">
        <v>318</v>
      </c>
      <c r="C25" s="2647">
        <v>268</v>
      </c>
      <c r="D25" s="2647">
        <f t="shared" si="98"/>
        <v>268</v>
      </c>
      <c r="E25" s="2647">
        <v>437</v>
      </c>
      <c r="F25" s="2648">
        <v>237</v>
      </c>
      <c r="G25" s="3428">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962</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29"/>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961</v>
      </c>
      <c r="B27" s="2633">
        <f t="shared" si="103"/>
        <v>314.72141172386546</v>
      </c>
      <c r="C27" s="2633">
        <f t="shared" si="103"/>
        <v>263.03901319069001</v>
      </c>
      <c r="D27" s="2633">
        <f t="shared" si="98"/>
        <v>263.03901319069001</v>
      </c>
      <c r="E27" s="2633">
        <f t="shared" si="104"/>
        <v>433.65745506782821</v>
      </c>
      <c r="F27" s="2633">
        <f t="shared" si="104"/>
        <v>233.23005080045735</v>
      </c>
      <c r="G27" s="3429"/>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960</v>
      </c>
      <c r="B28" s="2652">
        <f t="shared" si="103"/>
        <v>307.34512863658733</v>
      </c>
      <c r="C28" s="2652">
        <f t="shared" si="103"/>
        <v>257.80556031626975</v>
      </c>
      <c r="D28" s="2652">
        <f t="shared" si="98"/>
        <v>257.80556031626975</v>
      </c>
      <c r="E28" s="2652">
        <f t="shared" si="104"/>
        <v>422.70928459677179</v>
      </c>
      <c r="F28" s="2652">
        <f t="shared" si="104"/>
        <v>229.73803270336617</v>
      </c>
      <c r="G28" s="3430"/>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2640</v>
      </c>
      <c r="X28" s="2729">
        <v>1</v>
      </c>
      <c r="Y28" s="2729">
        <v>1</v>
      </c>
      <c r="Z28" s="2729">
        <v>1</v>
      </c>
      <c r="AA28" s="2729">
        <v>1</v>
      </c>
      <c r="AB28" s="2729">
        <v>1</v>
      </c>
      <c r="AD28" s="2961">
        <f>I28/100</f>
        <v>2.9700000000000001E-2</v>
      </c>
      <c r="AE28" s="2961">
        <f>J28/100</f>
        <v>2.3399999999999997E-2</v>
      </c>
      <c r="AF28" s="2961">
        <f>AE28</f>
        <v>2.3399999999999997E-2</v>
      </c>
      <c r="AG28" s="2961">
        <f>K28/100</f>
        <v>3.2799999999999996E-2</v>
      </c>
      <c r="AH28" s="2961">
        <f>L28/100</f>
        <v>1.3600000000000001E-2</v>
      </c>
    </row>
    <row r="29" spans="1:34" ht="13.5" thickBot="1">
      <c r="A29" s="2620" t="s">
        <v>2583</v>
      </c>
      <c r="B29" s="2625">
        <v>299</v>
      </c>
      <c r="C29" s="2625">
        <v>252</v>
      </c>
      <c r="D29" s="2625">
        <f t="shared" si="98"/>
        <v>252</v>
      </c>
      <c r="E29" s="2625">
        <v>409</v>
      </c>
      <c r="F29" s="2626">
        <v>227</v>
      </c>
      <c r="G29" s="3431">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2584</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32"/>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2585</v>
      </c>
      <c r="B31" s="2633">
        <f t="shared" si="107"/>
        <v>288.2649053828776</v>
      </c>
      <c r="C31" s="2633">
        <f t="shared" si="107"/>
        <v>243.64564425013293</v>
      </c>
      <c r="D31" s="2633">
        <f t="shared" si="98"/>
        <v>243.64564425013293</v>
      </c>
      <c r="E31" s="2633">
        <f t="shared" si="108"/>
        <v>393.31080825986544</v>
      </c>
      <c r="F31" s="2633">
        <f t="shared" si="108"/>
        <v>223.07903790551154</v>
      </c>
      <c r="G31" s="3432"/>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2586</v>
      </c>
      <c r="B32" s="2633">
        <f t="shared" si="107"/>
        <v>282.50186729015837</v>
      </c>
      <c r="C32" s="2633">
        <f t="shared" si="107"/>
        <v>238.09796174155468</v>
      </c>
      <c r="D32" s="2633">
        <f t="shared" si="98"/>
        <v>238.09796174155468</v>
      </c>
      <c r="E32" s="2633">
        <f t="shared" si="108"/>
        <v>385.33438646014054</v>
      </c>
      <c r="F32" s="2633">
        <f t="shared" si="108"/>
        <v>221.55034055567739</v>
      </c>
      <c r="G32" s="3433"/>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2587</v>
      </c>
      <c r="B33" s="2663">
        <v>278</v>
      </c>
      <c r="C33" s="2663">
        <v>234</v>
      </c>
      <c r="D33" s="2663">
        <f t="shared" si="98"/>
        <v>234</v>
      </c>
      <c r="E33" s="2663">
        <v>379</v>
      </c>
      <c r="F33" s="2664">
        <v>220</v>
      </c>
      <c r="G33" s="3428">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2588</v>
      </c>
      <c r="B34" s="2633">
        <f>B33/(1+N33)</f>
        <v>275.49301357645425</v>
      </c>
      <c r="C34" s="2633">
        <f>C33/(1+O33)</f>
        <v>232.41954707985698</v>
      </c>
      <c r="D34" s="2633">
        <f t="shared" si="98"/>
        <v>232.41954707985698</v>
      </c>
      <c r="E34" s="2633">
        <f t="shared" ref="E34:F36" si="109">E33/(1+P33)</f>
        <v>375.32184591008121</v>
      </c>
      <c r="F34" s="2633">
        <f t="shared" si="109"/>
        <v>218.03766105054513</v>
      </c>
      <c r="G34" s="3429"/>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2589</v>
      </c>
      <c r="B35" s="2633">
        <f>B34/(1+N34)</f>
        <v>275.24529281292263</v>
      </c>
      <c r="C35" s="2633">
        <f>C34/(1+O34)</f>
        <v>231.74747938962707</v>
      </c>
      <c r="D35" s="2633">
        <f t="shared" si="98"/>
        <v>231.74747938962707</v>
      </c>
      <c r="E35" s="2633">
        <f t="shared" si="109"/>
        <v>375.35938184826603</v>
      </c>
      <c r="F35" s="2633">
        <f t="shared" si="109"/>
        <v>216.78033510692495</v>
      </c>
      <c r="G35" s="3429"/>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2590</v>
      </c>
      <c r="B36" s="2633">
        <f>B35/(1+N35)</f>
        <v>275.19025476197027</v>
      </c>
      <c r="C36" s="2665">
        <v>232</v>
      </c>
      <c r="D36" s="2665">
        <f t="shared" si="98"/>
        <v>232</v>
      </c>
      <c r="E36" s="2633">
        <f t="shared" si="109"/>
        <v>375.65990977608692</v>
      </c>
      <c r="F36" s="2633">
        <f t="shared" si="109"/>
        <v>214.12518283971252</v>
      </c>
      <c r="G36" s="3430"/>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2591</v>
      </c>
      <c r="B37" s="2625">
        <v>275</v>
      </c>
      <c r="C37" s="2625">
        <v>232</v>
      </c>
      <c r="D37" s="2625">
        <f t="shared" si="98"/>
        <v>232</v>
      </c>
      <c r="E37" s="2625">
        <v>376</v>
      </c>
      <c r="F37" s="2626">
        <v>213</v>
      </c>
      <c r="G37" s="3428">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2592</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29">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2593</v>
      </c>
      <c r="B39" s="2633">
        <f t="shared" si="110"/>
        <v>275.19335084830601</v>
      </c>
      <c r="C39" s="2633">
        <f t="shared" si="110"/>
        <v>230.18088050139744</v>
      </c>
      <c r="D39" s="2633">
        <f t="shared" si="98"/>
        <v>230.18088050139744</v>
      </c>
      <c r="E39" s="2633">
        <f t="shared" si="111"/>
        <v>377.58482925212331</v>
      </c>
      <c r="F39" s="2633">
        <f t="shared" si="111"/>
        <v>210.90687997847917</v>
      </c>
      <c r="G39" s="3429">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2594</v>
      </c>
      <c r="B40" s="2633">
        <f t="shared" si="110"/>
        <v>276.29854502841971</v>
      </c>
      <c r="C40" s="2633">
        <f t="shared" si="110"/>
        <v>229.79023709833027</v>
      </c>
      <c r="D40" s="2633">
        <f t="shared" si="98"/>
        <v>229.79023709833027</v>
      </c>
      <c r="E40" s="2633">
        <f t="shared" si="111"/>
        <v>379.78759731655936</v>
      </c>
      <c r="F40" s="2633">
        <f t="shared" si="111"/>
        <v>211.32953905659235</v>
      </c>
      <c r="G40" s="3430">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2595</v>
      </c>
      <c r="B41" s="2625">
        <v>269</v>
      </c>
      <c r="C41" s="2625">
        <v>221</v>
      </c>
      <c r="D41" s="2625">
        <f t="shared" si="98"/>
        <v>221</v>
      </c>
      <c r="E41" s="2625">
        <v>373</v>
      </c>
      <c r="F41" s="2626">
        <v>196</v>
      </c>
      <c r="G41" s="3428">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2596</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29">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2597</v>
      </c>
      <c r="B43" s="2633">
        <f t="shared" si="112"/>
        <v>242.95398227588385</v>
      </c>
      <c r="C43" s="2633">
        <f t="shared" si="112"/>
        <v>199.59137053614126</v>
      </c>
      <c r="D43" s="2633">
        <f t="shared" si="98"/>
        <v>199.59137053614126</v>
      </c>
      <c r="E43" s="2633">
        <f t="shared" si="113"/>
        <v>335.92189522342125</v>
      </c>
      <c r="F43" s="2633">
        <f t="shared" si="113"/>
        <v>183.10139991109489</v>
      </c>
      <c r="G43" s="3429">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2598</v>
      </c>
      <c r="B44" s="2633">
        <f t="shared" si="112"/>
        <v>232.06990378821649</v>
      </c>
      <c r="C44" s="2633">
        <f t="shared" si="112"/>
        <v>192.74878854286936</v>
      </c>
      <c r="D44" s="2633">
        <f t="shared" si="98"/>
        <v>192.74878854286936</v>
      </c>
      <c r="E44" s="2633">
        <f t="shared" si="113"/>
        <v>319.71247284992984</v>
      </c>
      <c r="F44" s="2633">
        <f t="shared" si="113"/>
        <v>175.67053622862409</v>
      </c>
      <c r="G44" s="3430">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2599</v>
      </c>
      <c r="B45" s="2625">
        <v>220</v>
      </c>
      <c r="C45" s="2625">
        <v>187</v>
      </c>
      <c r="D45" s="2625">
        <f t="shared" si="98"/>
        <v>187</v>
      </c>
      <c r="E45" s="2625">
        <v>301</v>
      </c>
      <c r="F45" s="2626">
        <v>168</v>
      </c>
      <c r="G45" s="3428">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2600</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29">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2601</v>
      </c>
      <c r="B47" s="2633">
        <f t="shared" si="114"/>
        <v>210.630522469011</v>
      </c>
      <c r="C47" s="2633">
        <f t="shared" si="114"/>
        <v>181.69567812247232</v>
      </c>
      <c r="D47" s="2633">
        <f t="shared" si="98"/>
        <v>181.69567812247232</v>
      </c>
      <c r="E47" s="2633">
        <f t="shared" si="115"/>
        <v>286.13517466736738</v>
      </c>
      <c r="F47" s="2633">
        <f t="shared" si="115"/>
        <v>165.47535084591149</v>
      </c>
      <c r="G47" s="3429">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2602</v>
      </c>
      <c r="B48" s="2633">
        <f t="shared" si="114"/>
        <v>208.83454537875372</v>
      </c>
      <c r="C48" s="2633">
        <f t="shared" si="114"/>
        <v>183.77230517090351</v>
      </c>
      <c r="D48" s="2633">
        <f t="shared" si="98"/>
        <v>183.77230517090351</v>
      </c>
      <c r="E48" s="2633">
        <f t="shared" si="115"/>
        <v>281.10342338870947</v>
      </c>
      <c r="F48" s="2633">
        <f t="shared" si="115"/>
        <v>168.97309388942256</v>
      </c>
      <c r="G48" s="3430">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2603</v>
      </c>
      <c r="B49" s="2663">
        <v>214</v>
      </c>
      <c r="C49" s="2663">
        <v>188</v>
      </c>
      <c r="D49" s="2663">
        <f t="shared" si="98"/>
        <v>188</v>
      </c>
      <c r="E49" s="2663">
        <v>289</v>
      </c>
      <c r="F49" s="2664">
        <v>166</v>
      </c>
      <c r="G49" s="3428">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2604</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29">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2605</v>
      </c>
      <c r="B51" s="2633">
        <f t="shared" si="116"/>
        <v>206.31694671589116</v>
      </c>
      <c r="C51" s="2633">
        <f t="shared" si="116"/>
        <v>183.61041121036101</v>
      </c>
      <c r="D51" s="2633">
        <f t="shared" si="98"/>
        <v>183.61041121036101</v>
      </c>
      <c r="E51" s="2633">
        <f t="shared" si="117"/>
        <v>276.66850301795557</v>
      </c>
      <c r="F51" s="2633">
        <f t="shared" si="117"/>
        <v>165.1360938278614</v>
      </c>
      <c r="G51" s="3429">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2606</v>
      </c>
      <c r="B52" s="2666">
        <f t="shared" si="116"/>
        <v>196.62341248059772</v>
      </c>
      <c r="C52" s="2666">
        <f t="shared" si="116"/>
        <v>170.99125648199012</v>
      </c>
      <c r="D52" s="2666">
        <f t="shared" si="98"/>
        <v>170.99125648199012</v>
      </c>
      <c r="E52" s="2666">
        <f t="shared" si="117"/>
        <v>266.07857570490052</v>
      </c>
      <c r="F52" s="2666">
        <f t="shared" si="117"/>
        <v>154.53499328828505</v>
      </c>
      <c r="G52" s="3430">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2607</v>
      </c>
      <c r="B53" s="2625">
        <v>188</v>
      </c>
      <c r="C53" s="2625">
        <v>165</v>
      </c>
      <c r="D53" s="2625">
        <f t="shared" si="98"/>
        <v>165</v>
      </c>
      <c r="E53" s="2625">
        <v>254</v>
      </c>
      <c r="F53" s="2626">
        <v>148</v>
      </c>
      <c r="G53" s="3428">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2608</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29">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2609</v>
      </c>
      <c r="B55" s="2633">
        <f t="shared" si="120"/>
        <v>168.82017748715555</v>
      </c>
      <c r="C55" s="2633">
        <f t="shared" si="120"/>
        <v>148.06267029972753</v>
      </c>
      <c r="D55" s="2633">
        <f t="shared" si="98"/>
        <v>148.06267029972753</v>
      </c>
      <c r="E55" s="2633">
        <f t="shared" si="121"/>
        <v>216.46288379323747</v>
      </c>
      <c r="F55" s="2633">
        <f t="shared" si="121"/>
        <v>134.23529411764704</v>
      </c>
      <c r="G55" s="3429">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2610</v>
      </c>
      <c r="B56" s="2633">
        <f t="shared" si="120"/>
        <v>163.84913591779542</v>
      </c>
      <c r="C56" s="2633">
        <f t="shared" si="120"/>
        <v>145.0283378746594</v>
      </c>
      <c r="D56" s="2633">
        <f t="shared" si="98"/>
        <v>145.0283378746594</v>
      </c>
      <c r="E56" s="2633">
        <f t="shared" si="121"/>
        <v>204.95180722891567</v>
      </c>
      <c r="F56" s="2633">
        <f t="shared" si="121"/>
        <v>125.95920303605313</v>
      </c>
      <c r="G56" s="3430">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2611</v>
      </c>
      <c r="B57" s="2647">
        <v>159</v>
      </c>
      <c r="C57" s="2647">
        <v>141</v>
      </c>
      <c r="D57" s="2647">
        <f t="shared" si="98"/>
        <v>141</v>
      </c>
      <c r="E57" s="2647">
        <v>195</v>
      </c>
      <c r="F57" s="2648">
        <v>122</v>
      </c>
      <c r="G57" s="3428">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2612</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29">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2613</v>
      </c>
      <c r="B59" s="2633">
        <f t="shared" si="124"/>
        <v>146.57412060301507</v>
      </c>
      <c r="C59" s="2633">
        <f t="shared" si="124"/>
        <v>136.46831955922866</v>
      </c>
      <c r="D59" s="2633">
        <f t="shared" si="98"/>
        <v>136.46831955922866</v>
      </c>
      <c r="E59" s="2633">
        <f t="shared" si="125"/>
        <v>166.73864894795128</v>
      </c>
      <c r="F59" s="2633">
        <f t="shared" si="125"/>
        <v>115.05882352941177</v>
      </c>
      <c r="G59" s="3429">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2614</v>
      </c>
      <c r="B60" s="2633">
        <f t="shared" si="124"/>
        <v>144.04145728643215</v>
      </c>
      <c r="C60" s="2633">
        <f t="shared" si="124"/>
        <v>136.12396694214877</v>
      </c>
      <c r="D60" s="2633">
        <f t="shared" si="98"/>
        <v>136.12396694214877</v>
      </c>
      <c r="E60" s="2633">
        <f t="shared" si="125"/>
        <v>158.32225913621264</v>
      </c>
      <c r="F60" s="2633">
        <f t="shared" si="125"/>
        <v>114.04278074866311</v>
      </c>
      <c r="G60" s="3430">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2615</v>
      </c>
      <c r="B61" s="2647">
        <v>138</v>
      </c>
      <c r="C61" s="2647">
        <v>131</v>
      </c>
      <c r="D61" s="2647">
        <f t="shared" si="98"/>
        <v>131</v>
      </c>
      <c r="E61" s="2647">
        <v>155</v>
      </c>
      <c r="F61" s="2648">
        <v>114</v>
      </c>
      <c r="G61" s="3428">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2616</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29">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2617</v>
      </c>
      <c r="B63" s="2633">
        <f t="shared" si="128"/>
        <v>124.29032258064517</v>
      </c>
      <c r="C63" s="2633">
        <f t="shared" si="128"/>
        <v>123.8968609865471</v>
      </c>
      <c r="D63" s="2633">
        <f t="shared" si="98"/>
        <v>123.8968609865471</v>
      </c>
      <c r="E63" s="2633">
        <f t="shared" si="129"/>
        <v>138.00507614213197</v>
      </c>
      <c r="F63" s="2633">
        <f t="shared" si="129"/>
        <v>107.96106557377048</v>
      </c>
      <c r="G63" s="3429">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2618</v>
      </c>
      <c r="B64" s="2633">
        <f t="shared" si="128"/>
        <v>122.57204301075269</v>
      </c>
      <c r="C64" s="2633">
        <f t="shared" si="128"/>
        <v>123.4932735426009</v>
      </c>
      <c r="D64" s="2633">
        <f t="shared" si="98"/>
        <v>123.4932735426009</v>
      </c>
      <c r="E64" s="2633">
        <f t="shared" si="129"/>
        <v>129.82233502538071</v>
      </c>
      <c r="F64" s="2633">
        <f t="shared" si="129"/>
        <v>107.39446721311475</v>
      </c>
      <c r="G64" s="3430">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2619</v>
      </c>
      <c r="B65" s="2663">
        <v>121</v>
      </c>
      <c r="C65" s="2663">
        <v>122</v>
      </c>
      <c r="D65" s="2663">
        <f t="shared" si="98"/>
        <v>122</v>
      </c>
      <c r="E65" s="2663">
        <v>124</v>
      </c>
      <c r="F65" s="2664">
        <v>107</v>
      </c>
      <c r="G65" s="3428">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2620</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29">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2621</v>
      </c>
      <c r="B67" s="2633">
        <f t="shared" si="132"/>
        <v>116.99099099099099</v>
      </c>
      <c r="C67" s="2633">
        <f t="shared" si="132"/>
        <v>118.84848484848486</v>
      </c>
      <c r="D67" s="2633">
        <f t="shared" si="98"/>
        <v>118.84848484848486</v>
      </c>
      <c r="E67" s="2633">
        <f t="shared" si="133"/>
        <v>117.60960960960961</v>
      </c>
      <c r="F67" s="2633">
        <f t="shared" si="133"/>
        <v>104</v>
      </c>
      <c r="G67" s="3429">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2622</v>
      </c>
      <c r="B68" s="2666">
        <f t="shared" si="132"/>
        <v>112.48648648648648</v>
      </c>
      <c r="C68" s="2666">
        <f t="shared" si="132"/>
        <v>115.21212121212122</v>
      </c>
      <c r="D68" s="2666">
        <f t="shared" si="98"/>
        <v>115.21212121212122</v>
      </c>
      <c r="E68" s="2666">
        <f t="shared" si="133"/>
        <v>110.4024024024024</v>
      </c>
      <c r="F68" s="2666">
        <f t="shared" si="133"/>
        <v>104</v>
      </c>
      <c r="G68" s="3430">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2623</v>
      </c>
      <c r="B69" s="2684">
        <v>111</v>
      </c>
      <c r="C69" s="2684">
        <v>114</v>
      </c>
      <c r="D69" s="2684">
        <f t="shared" si="98"/>
        <v>114</v>
      </c>
      <c r="E69" s="2684">
        <v>108</v>
      </c>
      <c r="F69" s="2685">
        <v>104</v>
      </c>
      <c r="G69" s="3428">
        <v>2003</v>
      </c>
      <c r="H69" s="2674">
        <v>4</v>
      </c>
      <c r="I69" s="2686"/>
      <c r="J69" s="2686"/>
      <c r="K69" s="2686"/>
      <c r="L69" s="2686"/>
      <c r="N69" s="2687"/>
      <c r="O69" s="2686"/>
      <c r="P69" s="2686"/>
      <c r="Q69" s="2686"/>
      <c r="S69" s="2687"/>
      <c r="T69" s="2686"/>
      <c r="U69" s="2686"/>
      <c r="V69" s="2686"/>
      <c r="X69" s="2678"/>
      <c r="Y69" s="2678"/>
      <c r="Z69" s="2678"/>
    </row>
    <row r="70" spans="1:26">
      <c r="A70" s="2620" t="s">
        <v>2624</v>
      </c>
      <c r="B70" s="2688">
        <f t="shared" ref="B70:C72" si="134">B71+(B$69-B$73)/4</f>
        <v>109.75</v>
      </c>
      <c r="C70" s="2688">
        <f t="shared" si="134"/>
        <v>112.25</v>
      </c>
      <c r="D70" s="2688">
        <f t="shared" si="98"/>
        <v>112.25</v>
      </c>
      <c r="E70" s="2688">
        <f t="shared" ref="E70:F72" si="135">E71+(E$69-E$73)/4</f>
        <v>107.25</v>
      </c>
      <c r="F70" s="2688">
        <f t="shared" si="135"/>
        <v>103.5</v>
      </c>
      <c r="G70" s="3429">
        <v>2003</v>
      </c>
      <c r="H70" s="2644">
        <v>3</v>
      </c>
      <c r="I70" s="2686"/>
      <c r="J70" s="2686"/>
      <c r="K70" s="2686"/>
      <c r="L70" s="2686"/>
      <c r="X70" s="2678"/>
      <c r="Y70" s="2678"/>
      <c r="Z70" s="2678"/>
    </row>
    <row r="71" spans="1:26">
      <c r="A71" s="2620" t="s">
        <v>2625</v>
      </c>
      <c r="B71" s="2688">
        <f t="shared" si="134"/>
        <v>108.5</v>
      </c>
      <c r="C71" s="2688">
        <f t="shared" si="134"/>
        <v>110.5</v>
      </c>
      <c r="D71" s="2688">
        <f t="shared" si="98"/>
        <v>110.5</v>
      </c>
      <c r="E71" s="2688">
        <f t="shared" si="135"/>
        <v>106.5</v>
      </c>
      <c r="F71" s="2688">
        <f t="shared" si="135"/>
        <v>103</v>
      </c>
      <c r="G71" s="3429">
        <v>2003</v>
      </c>
      <c r="H71" s="2624">
        <v>2</v>
      </c>
      <c r="I71" s="2686"/>
      <c r="J71" s="2686"/>
      <c r="K71" s="2686"/>
      <c r="L71" s="2686"/>
      <c r="X71" s="2678"/>
      <c r="Y71" s="2678"/>
      <c r="Z71" s="2678"/>
    </row>
    <row r="72" spans="1:26" ht="13.5" thickBot="1">
      <c r="A72" s="2620" t="s">
        <v>2626</v>
      </c>
      <c r="B72" s="2688">
        <f t="shared" si="134"/>
        <v>107.25</v>
      </c>
      <c r="C72" s="2688">
        <f t="shared" si="134"/>
        <v>108.75</v>
      </c>
      <c r="D72" s="2688">
        <f t="shared" si="98"/>
        <v>108.75</v>
      </c>
      <c r="E72" s="2688">
        <f t="shared" si="135"/>
        <v>105.75</v>
      </c>
      <c r="F72" s="2688">
        <f t="shared" si="135"/>
        <v>102.5</v>
      </c>
      <c r="G72" s="3430">
        <v>2003</v>
      </c>
      <c r="H72" s="2689">
        <v>1</v>
      </c>
      <c r="I72" s="2686"/>
      <c r="J72" s="2686"/>
      <c r="K72" s="2686"/>
      <c r="L72" s="2686"/>
      <c r="S72" s="2628"/>
      <c r="T72" s="2629"/>
      <c r="U72" s="2629"/>
      <c r="X72" s="2678"/>
      <c r="Y72" s="2678"/>
      <c r="Z72" s="2678"/>
    </row>
    <row r="73" spans="1:26" ht="13.5" thickBot="1">
      <c r="A73" s="2620" t="s">
        <v>2627</v>
      </c>
      <c r="B73" s="2690">
        <v>106</v>
      </c>
      <c r="C73" s="2690">
        <v>107</v>
      </c>
      <c r="D73" s="2690">
        <f t="shared" si="98"/>
        <v>107</v>
      </c>
      <c r="E73" s="2690">
        <v>105</v>
      </c>
      <c r="F73" s="2691">
        <v>102</v>
      </c>
      <c r="G73" s="3428">
        <v>2002</v>
      </c>
      <c r="H73" s="2639">
        <v>4</v>
      </c>
      <c r="I73" s="2686"/>
      <c r="J73" s="2686"/>
      <c r="K73" s="2686"/>
      <c r="L73" s="2686"/>
      <c r="N73" s="2687"/>
      <c r="O73" s="2686"/>
      <c r="P73" s="2686"/>
      <c r="Q73" s="2686"/>
      <c r="S73" s="2687"/>
      <c r="T73" s="2686"/>
      <c r="U73" s="2686"/>
      <c r="V73" s="2686"/>
      <c r="X73" s="2678"/>
      <c r="Y73" s="2678"/>
      <c r="Z73" s="2678"/>
    </row>
    <row r="74" spans="1:26">
      <c r="A74" s="2620" t="s">
        <v>2628</v>
      </c>
      <c r="B74" s="2688">
        <f t="shared" ref="B74:C76" si="136">B75+(B$73-B$77)/4</f>
        <v>105</v>
      </c>
      <c r="C74" s="2688">
        <f t="shared" si="136"/>
        <v>106</v>
      </c>
      <c r="D74" s="2688">
        <f t="shared" si="98"/>
        <v>106</v>
      </c>
      <c r="E74" s="2688">
        <f t="shared" ref="E74:F76" si="137">E75+(E$73-E$77)/4</f>
        <v>104.5</v>
      </c>
      <c r="F74" s="2688">
        <f t="shared" si="137"/>
        <v>101.5</v>
      </c>
      <c r="G74" s="3429">
        <v>2002</v>
      </c>
      <c r="H74" s="2644">
        <v>3</v>
      </c>
      <c r="I74" s="2686"/>
      <c r="J74" s="2686"/>
      <c r="K74" s="2686"/>
      <c r="L74" s="2686"/>
      <c r="X74" s="2678"/>
      <c r="Y74" s="2678"/>
      <c r="Z74" s="2678"/>
    </row>
    <row r="75" spans="1:26">
      <c r="A75" s="2620" t="s">
        <v>2629</v>
      </c>
      <c r="B75" s="2688">
        <f t="shared" si="136"/>
        <v>104</v>
      </c>
      <c r="C75" s="2688">
        <f t="shared" si="136"/>
        <v>105</v>
      </c>
      <c r="D75" s="2688">
        <f t="shared" si="98"/>
        <v>105</v>
      </c>
      <c r="E75" s="2688">
        <f t="shared" si="137"/>
        <v>104</v>
      </c>
      <c r="F75" s="2688">
        <f t="shared" si="137"/>
        <v>101</v>
      </c>
      <c r="G75" s="3429">
        <v>2002</v>
      </c>
      <c r="H75" s="2624">
        <v>2</v>
      </c>
      <c r="I75" s="2686"/>
      <c r="J75" s="2686"/>
      <c r="K75" s="2686"/>
      <c r="L75" s="2686"/>
      <c r="X75" s="2678"/>
      <c r="Y75" s="2678"/>
      <c r="Z75" s="2678"/>
    </row>
    <row r="76" spans="1:26" s="2655" customFormat="1" ht="13.5" thickBot="1">
      <c r="A76" s="2651" t="s">
        <v>2630</v>
      </c>
      <c r="B76" s="2692">
        <f t="shared" si="136"/>
        <v>103</v>
      </c>
      <c r="C76" s="2692">
        <f t="shared" si="136"/>
        <v>104</v>
      </c>
      <c r="D76" s="2692">
        <f t="shared" si="98"/>
        <v>104</v>
      </c>
      <c r="E76" s="2692">
        <f t="shared" si="137"/>
        <v>103.5</v>
      </c>
      <c r="F76" s="2692">
        <f t="shared" si="137"/>
        <v>100.5</v>
      </c>
      <c r="G76" s="3430">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2631</v>
      </c>
      <c r="G79" s="2702"/>
      <c r="N79" s="2702"/>
      <c r="S79" s="2702"/>
    </row>
    <row r="80" spans="1:26" s="2701" customFormat="1">
      <c r="A80" s="2701" t="s">
        <v>2632</v>
      </c>
      <c r="G80" s="2702"/>
      <c r="N80" s="2702"/>
      <c r="S80" s="2702"/>
    </row>
    <row r="81" spans="1:22" s="2701" customFormat="1">
      <c r="A81" s="2701" t="s">
        <v>2633</v>
      </c>
      <c r="G81" s="2702"/>
      <c r="I81" s="2703"/>
      <c r="J81" s="2703"/>
      <c r="K81" s="2703"/>
      <c r="L81" s="2703"/>
      <c r="N81" s="2704"/>
      <c r="O81" s="2703"/>
      <c r="P81" s="2703"/>
      <c r="Q81" s="2703"/>
      <c r="S81" s="2704"/>
      <c r="T81" s="2703"/>
      <c r="U81" s="2703"/>
      <c r="V81" s="2703"/>
    </row>
    <row r="82" spans="1:22" s="2701" customFormat="1">
      <c r="A82" s="2701" t="s">
        <v>2634</v>
      </c>
      <c r="G82" s="2702"/>
      <c r="N82" s="2702"/>
      <c r="S82" s="2702"/>
    </row>
    <row r="89" spans="1:22" ht="13.5" thickBot="1"/>
    <row r="90" spans="1:22">
      <c r="G90" s="2627"/>
      <c r="S90" s="2705" t="s">
        <v>2635</v>
      </c>
      <c r="T90" s="2706" t="s">
        <v>2636</v>
      </c>
      <c r="U90" s="2706" t="s">
        <v>2637</v>
      </c>
      <c r="V90" s="2706" t="s">
        <v>2638</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-2</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37" t="s">
        <v>2463</v>
      </c>
      <c r="C8" s="1811">
        <f ca="1">ROUND(F8*F10*F9*(1-F11)/10000,0)</f>
        <v>0</v>
      </c>
      <c r="D8" s="1808" t="s">
        <v>2534</v>
      </c>
      <c r="E8" s="61" t="s">
        <v>637</v>
      </c>
      <c r="F8" s="785">
        <f ca="1">INDIRECT("'数据-取费表'!u"&amp;$G$1)</f>
        <v>0</v>
      </c>
      <c r="G8" s="1579"/>
      <c r="H8" s="2469" t="s">
        <v>1824</v>
      </c>
      <c r="I8" s="3437" t="s">
        <v>2463</v>
      </c>
      <c r="J8" s="783">
        <f ca="1">ROUND(M8*M10*M9*(1-M11)/10000,0)</f>
        <v>0</v>
      </c>
      <c r="K8" s="341" t="s">
        <v>2534</v>
      </c>
      <c r="L8" s="784" t="s">
        <v>1738</v>
      </c>
      <c r="M8" s="785">
        <f ca="1">INDIRECT("'数据-取费表'!z"&amp;$G$1)</f>
        <v>0</v>
      </c>
    </row>
    <row r="9" spans="1:25" ht="18" customHeight="1">
      <c r="A9" s="2465"/>
      <c r="B9" s="3438"/>
      <c r="C9" s="1812"/>
      <c r="D9" s="1809"/>
      <c r="E9" s="61" t="s">
        <v>638</v>
      </c>
      <c r="F9" s="785">
        <f ca="1">IF(INDIRECT("'数据-取费表'!ah"&amp;$G$1)="",INDIRECT("'数据-取费表'!k"&amp;$G$1),INDIRECT("'数据-取费表'!ah"&amp;$G$1))</f>
        <v>0</v>
      </c>
      <c r="G9" s="1579"/>
      <c r="H9" s="2454"/>
      <c r="I9" s="3438"/>
      <c r="J9" s="788"/>
      <c r="K9" s="789"/>
      <c r="L9" s="784" t="s">
        <v>1739</v>
      </c>
      <c r="M9" s="785">
        <f ca="1">F9</f>
        <v>0</v>
      </c>
    </row>
    <row r="10" spans="1:25" ht="18" customHeight="1">
      <c r="A10" s="2458"/>
      <c r="B10" s="3439"/>
      <c r="C10" s="1812"/>
      <c r="D10" s="1809"/>
      <c r="E10" s="61" t="s">
        <v>639</v>
      </c>
      <c r="F10" s="785">
        <f ca="1">INDIRECT("'数据-取费表'!ai"&amp;$G$1)</f>
        <v>0</v>
      </c>
      <c r="G10" s="1579"/>
      <c r="H10" s="2454"/>
      <c r="I10" s="3439"/>
      <c r="J10" s="788"/>
      <c r="K10" s="789"/>
      <c r="L10" s="784" t="s">
        <v>1740</v>
      </c>
      <c r="M10" s="785">
        <f ca="1">INDIRECT("'数据-取费表'!ai"&amp;$G$1)</f>
        <v>0</v>
      </c>
    </row>
    <row r="11" spans="1:25" ht="18" customHeight="1">
      <c r="A11" s="786"/>
      <c r="B11" s="3440"/>
      <c r="C11" s="1812"/>
      <c r="D11" s="1809"/>
      <c r="E11" s="61" t="s">
        <v>640</v>
      </c>
      <c r="F11" s="794">
        <f ca="1">INDIRECT("'数据-取费表'!w"&amp;$G$1)</f>
        <v>0</v>
      </c>
      <c r="G11" s="1579"/>
      <c r="H11" s="2470"/>
      <c r="I11" s="343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3"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4"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10</v>
      </c>
      <c r="G36" s="2048"/>
      <c r="H36" s="2051"/>
      <c r="I36" s="3436"/>
      <c r="J36" s="2065"/>
      <c r="K36" s="2066"/>
      <c r="L36" s="2065"/>
      <c r="M36" s="2065"/>
    </row>
    <row r="37" spans="1:18" ht="18" customHeight="1">
      <c r="A37" s="815"/>
      <c r="B37" s="793"/>
      <c r="C37" s="69"/>
      <c r="D37" s="816"/>
      <c r="E37" s="784" t="s">
        <v>674</v>
      </c>
      <c r="F37" s="785">
        <f ca="1">INDIRECT("'数据-取费表'!r"&amp;$G$1)</f>
        <v>0</v>
      </c>
      <c r="G37" s="2048"/>
      <c r="H37" s="2051"/>
      <c r="I37" s="343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0">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-2</v>
      </c>
      <c r="K54" s="3441"/>
      <c r="L54" s="3442"/>
      <c r="O54" s="2366" t="s">
        <v>2388</v>
      </c>
      <c r="P54" s="2364" t="s">
        <v>2389</v>
      </c>
      <c r="Q54" s="2365">
        <f ca="1">J54</f>
        <v>-2</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46262.48平方米。根据《建设工程规划许可证》[]、《出让合同》[]，估价对象规划建筑面积为141821.06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2019年10月30日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根据《国有土地使用证》[]，估价对象（分摊）出让国有建设用地使用权面积为46262.48平方米。根据《建设工程规划许可证》[]、《出让合同》[]，估价对象规划建筑面积为141821.06平方米。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3005</v>
      </c>
      <c r="D1" s="3077" t="s">
        <v>3022</v>
      </c>
      <c r="E1" s="2352" t="s">
        <v>2374</v>
      </c>
      <c r="F1" s="2353">
        <f ca="1">J53</f>
        <v>33.29</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140054</v>
      </c>
      <c r="C2" s="2043"/>
      <c r="D2" s="2041"/>
      <c r="E2" s="2042"/>
      <c r="F2" s="2042"/>
      <c r="G2" s="1577"/>
      <c r="H2" s="2043"/>
      <c r="I2" s="2043"/>
      <c r="J2" s="2043"/>
      <c r="K2" s="2044"/>
      <c r="L2" s="2043"/>
      <c r="M2" s="2043"/>
    </row>
    <row r="3" spans="1:33" ht="18" customHeight="1" thickBot="1">
      <c r="A3" s="833" t="s">
        <v>1727</v>
      </c>
      <c r="B3" s="834">
        <f ca="1">IF(ISERROR(B2*10000/F43),0,ROUND(B2*10000/F43,0))</f>
        <v>9989</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11068</v>
      </c>
      <c r="D5" s="2461" t="s">
        <v>2461</v>
      </c>
      <c r="E5" s="2455"/>
      <c r="F5" s="2456"/>
      <c r="G5" s="1579"/>
      <c r="H5" s="781">
        <v>1</v>
      </c>
      <c r="I5" s="782" t="s">
        <v>2458</v>
      </c>
      <c r="J5" s="55">
        <f ca="1">J6+J10+J12</f>
        <v>0</v>
      </c>
      <c r="K5" s="2461" t="s">
        <v>2461</v>
      </c>
      <c r="L5" s="2455"/>
      <c r="M5" s="2456"/>
    </row>
    <row r="6" spans="1:33" ht="18" customHeight="1">
      <c r="A6" s="1816" t="s">
        <v>1824</v>
      </c>
      <c r="B6" s="3437" t="s">
        <v>2463</v>
      </c>
      <c r="C6" s="783">
        <f ca="1">ROUND(F6*F8*F7*(1-F9)/10000,0)</f>
        <v>11054</v>
      </c>
      <c r="D6" s="2462" t="s">
        <v>2462</v>
      </c>
      <c r="E6" s="784" t="s">
        <v>1738</v>
      </c>
      <c r="F6" s="785">
        <f ca="1">INDIRECT("'数据-取费表'!u"&amp;$G$1)</f>
        <v>2.4</v>
      </c>
      <c r="G6" s="1579"/>
      <c r="H6" s="2469" t="s">
        <v>2468</v>
      </c>
      <c r="I6" s="3437" t="s">
        <v>2463</v>
      </c>
      <c r="J6" s="783">
        <f ca="1">ROUND(M6*M8*M7*(1-M9)/10000,0)</f>
        <v>0</v>
      </c>
      <c r="K6" s="341" t="s">
        <v>1737</v>
      </c>
      <c r="L6" s="784" t="s">
        <v>1738</v>
      </c>
      <c r="M6" s="785">
        <f ca="1">INDIRECT("'数据-取费表'!z"&amp;$G$1)</f>
        <v>0</v>
      </c>
    </row>
    <row r="7" spans="1:33" ht="18" customHeight="1">
      <c r="A7" s="2465"/>
      <c r="B7" s="3438"/>
      <c r="C7" s="788"/>
      <c r="D7" s="789"/>
      <c r="E7" s="784" t="s">
        <v>1739</v>
      </c>
      <c r="F7" s="785">
        <f ca="1">IF(INDIRECT("'数据-取费表'!ah"&amp;$G$1)="",INDIRECT("'数据-取费表'!k"&amp;$G$1),INDIRECT("'数据-取费表'!ah"&amp;$G$1))</f>
        <v>140207.87</v>
      </c>
      <c r="G7" s="1579"/>
      <c r="H7" s="2454"/>
      <c r="I7" s="3438"/>
      <c r="J7" s="788"/>
      <c r="K7" s="789"/>
      <c r="L7" s="784" t="s">
        <v>1739</v>
      </c>
      <c r="M7" s="785">
        <f ca="1">F7</f>
        <v>140207.87</v>
      </c>
    </row>
    <row r="8" spans="1:33" ht="18" customHeight="1">
      <c r="A8" s="2458"/>
      <c r="B8" s="3439"/>
      <c r="C8" s="788"/>
      <c r="D8" s="789"/>
      <c r="E8" s="784" t="s">
        <v>1740</v>
      </c>
      <c r="F8" s="785">
        <f ca="1">INDIRECT("'数据-取费表'!ai"&amp;$G$1)</f>
        <v>365</v>
      </c>
      <c r="G8" s="1579"/>
      <c r="H8" s="2454"/>
      <c r="I8" s="3439"/>
      <c r="J8" s="788"/>
      <c r="K8" s="789"/>
      <c r="L8" s="784" t="s">
        <v>1740</v>
      </c>
      <c r="M8" s="785">
        <f ca="1">INDIRECT("'数据-取费表'!ai"&amp;$G$1)</f>
        <v>365</v>
      </c>
    </row>
    <row r="9" spans="1:33" ht="18" customHeight="1">
      <c r="A9" s="786"/>
      <c r="B9" s="3440"/>
      <c r="C9" s="788"/>
      <c r="D9" s="789"/>
      <c r="E9" s="784" t="s">
        <v>1741</v>
      </c>
      <c r="F9" s="794">
        <f ca="1">INDIRECT("'数据-取费表'!w"&amp;$G$1)</f>
        <v>0.1</v>
      </c>
      <c r="G9" s="1579"/>
      <c r="H9" s="2470"/>
      <c r="I9" s="3439"/>
      <c r="J9" s="788"/>
      <c r="K9" s="789"/>
      <c r="L9" s="795" t="s">
        <v>1741</v>
      </c>
      <c r="M9" s="796">
        <f ca="1">INDIRECT("'数据-取费表'!ab"&amp;$G$1)</f>
        <v>0</v>
      </c>
    </row>
    <row r="10" spans="1:33" ht="18" customHeight="1">
      <c r="A10" s="1816" t="s">
        <v>2466</v>
      </c>
      <c r="B10" s="2459" t="s">
        <v>2459</v>
      </c>
      <c r="C10" s="799">
        <f ca="1">ROUND(IF(F10="押一",C6/12*F11,IF(F10="押二",C6/12*2*F11,IF(F10="押三",C6/12*3*F11,C11*F11))),0)</f>
        <v>14</v>
      </c>
      <c r="D10" s="2466" t="s">
        <v>2975</v>
      </c>
      <c r="E10" s="2463" t="s">
        <v>2464</v>
      </c>
      <c r="F10" s="2586" t="s">
        <v>3023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72077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42417</v>
      </c>
      <c r="D14" s="1965" t="s">
        <v>1745</v>
      </c>
      <c r="E14" s="1966"/>
      <c r="F14" s="805"/>
      <c r="G14" s="1579"/>
      <c r="H14" s="1635" t="s">
        <v>1830</v>
      </c>
      <c r="I14" s="2217" t="s">
        <v>2826</v>
      </c>
      <c r="J14" s="53">
        <f ca="1">C29</f>
        <v>72077</v>
      </c>
      <c r="K14" s="26"/>
      <c r="L14" s="801"/>
      <c r="M14" s="802"/>
    </row>
    <row r="15" spans="1:33" s="2050" customFormat="1" ht="18" customHeight="1" thickBot="1">
      <c r="A15" s="1634" t="s">
        <v>1885</v>
      </c>
      <c r="B15" s="784" t="s">
        <v>647</v>
      </c>
      <c r="C15" s="53">
        <f ca="1">ROUND(C14*F15,0)</f>
        <v>1273</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7182</v>
      </c>
      <c r="K16" s="1807" t="s">
        <v>1750</v>
      </c>
      <c r="L16" s="2451"/>
      <c r="M16" s="2456"/>
    </row>
    <row r="17" spans="1:33" s="2050" customFormat="1" ht="18" customHeight="1">
      <c r="A17" s="1634" t="s">
        <v>1887</v>
      </c>
      <c r="B17" s="784" t="s">
        <v>653</v>
      </c>
      <c r="C17" s="53">
        <f ca="1">ROUND(F17*(F43+INDIRECT("'数据-取费表'!S"&amp;$G$1))/10000,0)</f>
        <v>2127</v>
      </c>
      <c r="D17" s="784" t="s">
        <v>1751</v>
      </c>
      <c r="E17" s="784" t="s">
        <v>1752</v>
      </c>
      <c r="F17" s="56">
        <f>'数据-取费表'!B35</f>
        <v>150</v>
      </c>
      <c r="G17" s="1580"/>
      <c r="H17" s="1635" t="s">
        <v>1830</v>
      </c>
      <c r="I17" s="784" t="s">
        <v>656</v>
      </c>
      <c r="J17" s="53">
        <f ca="1">ROUND(IF(项目基本情况!B11="自然人",J6*M17/(1+'数据-取费表'!C42),J18+J19+J20),0)</f>
        <v>6101</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636</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46453</v>
      </c>
      <c r="D19" s="261" t="s">
        <v>1757</v>
      </c>
      <c r="E19" s="1968"/>
      <c r="F19" s="56"/>
      <c r="G19" s="1579"/>
      <c r="H19" s="1634" t="s">
        <v>1885</v>
      </c>
      <c r="I19" s="784" t="s">
        <v>1758</v>
      </c>
      <c r="J19" s="53">
        <f ca="1">IF(K19="按租金收入计税",ROUND(J6*M19/(1+'数据-取费表'!C42),1),ROUND(C29*F33*0.7,1))</f>
        <v>6054.5</v>
      </c>
      <c r="K19" s="811" t="s">
        <v>665</v>
      </c>
      <c r="L19" s="784" t="s">
        <v>1747</v>
      </c>
      <c r="M19" s="809">
        <f>IF(K19="按租金收入计税",'数据-取费表'!B51,'数据-取费表'!B50)</f>
        <v>1.2E-2</v>
      </c>
    </row>
    <row r="20" spans="1:33" s="2050" customFormat="1" ht="18" customHeight="1">
      <c r="A20" s="1635" t="s">
        <v>1889</v>
      </c>
      <c r="B20" s="784" t="s">
        <v>666</v>
      </c>
      <c r="C20" s="53">
        <f ca="1">ROUND(C19*F20,0)</f>
        <v>929</v>
      </c>
      <c r="D20" s="812" t="s">
        <v>1759</v>
      </c>
      <c r="E20" s="784" t="s">
        <v>1747</v>
      </c>
      <c r="F20" s="809">
        <f>'数据-取费表'!B37</f>
        <v>0.02</v>
      </c>
      <c r="G20" s="1580"/>
      <c r="H20" s="1637" t="s">
        <v>1880</v>
      </c>
      <c r="I20" s="341" t="s">
        <v>1760</v>
      </c>
      <c r="J20" s="54">
        <f ca="1">ROUND(M20*M21/10000,0)</f>
        <v>46</v>
      </c>
      <c r="K20" s="814" t="s">
        <v>1761</v>
      </c>
      <c r="L20" s="784" t="s">
        <v>1762</v>
      </c>
      <c r="M20" s="640">
        <f>'数据-取费表'!B52</f>
        <v>10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46262.48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1081</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2251</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2" t="s">
        <v>2822</v>
      </c>
      <c r="J25" s="792">
        <f ca="1">J5-J16</f>
        <v>-7182</v>
      </c>
      <c r="K25" s="2513" t="s">
        <v>1777</v>
      </c>
      <c r="L25" s="2514"/>
      <c r="M25" s="2515"/>
    </row>
    <row r="26" spans="1:33" ht="18" customHeight="1">
      <c r="A26" s="1634" t="s">
        <v>1831</v>
      </c>
      <c r="B26" s="784" t="s">
        <v>2438</v>
      </c>
      <c r="C26" s="53">
        <f ca="1">ROUND((C19+C20)*F26,0)</f>
        <v>16584</v>
      </c>
      <c r="D26" s="812" t="s">
        <v>1778</v>
      </c>
      <c r="E26" s="795" t="s">
        <v>1779</v>
      </c>
      <c r="F26" s="794">
        <f ca="1">INDIRECT("'数据-取费表'!q"&amp;$G$1)</f>
        <v>0.35</v>
      </c>
      <c r="G26" s="1579"/>
      <c r="H26" s="2467"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7.0000000000000001E-3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72077</v>
      </c>
      <c r="D29" s="2510"/>
      <c r="E29" s="2511"/>
      <c r="F29" s="2512"/>
      <c r="G29" s="1580"/>
      <c r="H29" s="823" t="s">
        <v>1787</v>
      </c>
      <c r="I29" s="824" t="s">
        <v>1788</v>
      </c>
      <c r="J29" s="825">
        <f ca="1">ROUND(J26/(1+F40)^F41,0)</f>
        <v>0</v>
      </c>
      <c r="K29" s="826" t="s">
        <v>1789</v>
      </c>
      <c r="L29" s="827"/>
      <c r="M29" s="828">
        <f ca="1">INDIRECT("'数据-取费表'!k"&amp;$G$1)</f>
        <v>140207.87</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3310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1899.1</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589.5</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1263.3</v>
      </c>
      <c r="D33" s="811" t="s">
        <v>3024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46.3</v>
      </c>
      <c r="D34" s="814" t="s">
        <v>1799</v>
      </c>
      <c r="E34" s="784" t="s">
        <v>1800</v>
      </c>
      <c r="F34" s="640">
        <f>'数据-取费表'!B52</f>
        <v>10</v>
      </c>
      <c r="G34" s="2048"/>
      <c r="H34" s="2051"/>
      <c r="I34" s="835" t="s">
        <v>1813</v>
      </c>
      <c r="J34" s="836"/>
      <c r="K34" s="2066"/>
      <c r="L34" s="2065"/>
      <c r="M34" s="2065"/>
    </row>
    <row r="35" spans="1:18" ht="18" customHeight="1">
      <c r="A35" s="815"/>
      <c r="B35" s="793"/>
      <c r="C35" s="69"/>
      <c r="D35" s="816"/>
      <c r="E35" s="784" t="s">
        <v>1801</v>
      </c>
      <c r="F35" s="785">
        <f ca="1">INDIRECT("'数据-取费表'!r"&amp;$G$1)</f>
        <v>46262.48</v>
      </c>
      <c r="G35" s="2048"/>
      <c r="H35" s="2051"/>
      <c r="I35" s="837" t="s">
        <v>1814</v>
      </c>
      <c r="J35" s="838">
        <f ca="1">ROUND(C13*J36,0)</f>
        <v>5766</v>
      </c>
      <c r="K35" s="2064"/>
      <c r="L35" s="2063"/>
      <c r="M35" s="2063"/>
    </row>
    <row r="36" spans="1:18" ht="18" customHeight="1">
      <c r="A36" s="1635" t="s">
        <v>1889</v>
      </c>
      <c r="B36" s="784" t="s">
        <v>1802</v>
      </c>
      <c r="C36" s="53">
        <f ca="1">ROUND(C29*F36,1)</f>
        <v>1081.2</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108.1</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221.4</v>
      </c>
      <c r="D38" s="2510" t="s">
        <v>1805</v>
      </c>
      <c r="E38" s="2511" t="s">
        <v>1796</v>
      </c>
      <c r="F38" s="2507">
        <f ca="1">INDIRECT("'数据-取费表'!Am"&amp;$G$1)</f>
        <v>0.02</v>
      </c>
      <c r="G38" s="2048"/>
      <c r="H38" s="2063"/>
      <c r="I38" s="843" t="s">
        <v>1817</v>
      </c>
      <c r="J38" s="844"/>
      <c r="K38" s="2069"/>
      <c r="L38" s="2063"/>
      <c r="M38" s="2063"/>
    </row>
    <row r="39" spans="1:18" ht="24.6" customHeight="1" thickTop="1">
      <c r="A39" s="1815" t="s">
        <v>1894</v>
      </c>
      <c r="B39" s="2962" t="s">
        <v>2822</v>
      </c>
      <c r="C39" s="792">
        <f ca="1">C5-C30</f>
        <v>7758</v>
      </c>
      <c r="D39" s="2513" t="s">
        <v>1806</v>
      </c>
      <c r="E39" s="2514"/>
      <c r="F39" s="2515"/>
      <c r="G39" s="2048"/>
      <c r="H39" s="2063"/>
      <c r="I39" s="837" t="s">
        <v>1818</v>
      </c>
      <c r="J39" s="845">
        <f ca="1">ROUND(J35/C39,3)</f>
        <v>0.74299999999999999</v>
      </c>
      <c r="K39" s="2069"/>
      <c r="L39" s="2063"/>
      <c r="M39" s="2063"/>
    </row>
    <row r="40" spans="1:18" ht="18" customHeight="1">
      <c r="A40" s="781" t="s">
        <v>1895</v>
      </c>
      <c r="B40" s="2218" t="s">
        <v>2301</v>
      </c>
      <c r="C40" s="783">
        <f ca="1">ROUND(C39*(1-((1+F42)/(1+F40))^F41)/(F40-F42),0)</f>
        <v>140054</v>
      </c>
      <c r="D40" s="814" t="s">
        <v>1807</v>
      </c>
      <c r="E40" s="784" t="s">
        <v>2419</v>
      </c>
      <c r="F40" s="794">
        <f ca="1">INDIRECT("'数据-取费表'!I"&amp;$G$1)</f>
        <v>0.06</v>
      </c>
      <c r="G40" s="2048"/>
      <c r="H40" s="2048"/>
      <c r="I40" s="837" t="s">
        <v>1819</v>
      </c>
      <c r="J40" s="845">
        <f ca="1">1-J39</f>
        <v>0.25700000000000001</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33.29</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0.51500000000000001</v>
      </c>
      <c r="K42" s="2068"/>
      <c r="L42" s="1974"/>
      <c r="M42" s="1974"/>
    </row>
    <row r="43" spans="1:18" ht="18" customHeight="1" thickBot="1">
      <c r="A43" s="823" t="s">
        <v>1787</v>
      </c>
      <c r="B43" s="824" t="s">
        <v>1810</v>
      </c>
      <c r="C43" s="825">
        <f ca="1">ROUND(C40*10000/F43,0)</f>
        <v>9989</v>
      </c>
      <c r="D43" s="826" t="s">
        <v>1811</v>
      </c>
      <c r="E43" s="827" t="s">
        <v>1812</v>
      </c>
      <c r="F43" s="828">
        <f ca="1">INDIRECT("'数据-取费表'!k"&amp;$G$1)</f>
        <v>140207.87</v>
      </c>
      <c r="G43" s="2048"/>
      <c r="H43" s="1974"/>
      <c r="I43" s="847" t="s">
        <v>1822</v>
      </c>
      <c r="J43" s="848">
        <f ca="1">1-J42</f>
        <v>0.48499999999999999</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-157693</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3025</v>
      </c>
      <c r="K47" s="3105" t="s">
        <v>2349</v>
      </c>
      <c r="L47" s="3109">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35.29</v>
      </c>
      <c r="O48" s="2363" t="s">
        <v>2379</v>
      </c>
      <c r="P48" s="2364" t="s">
        <v>2405</v>
      </c>
      <c r="Q48" s="2365">
        <f ca="1">C40+J29</f>
        <v>140054</v>
      </c>
      <c r="R48" s="2364" t="s">
        <v>2380</v>
      </c>
    </row>
    <row r="49" spans="1:18" s="2045" customFormat="1" ht="18" customHeight="1" thickBot="1">
      <c r="A49" s="786"/>
      <c r="B49" s="787"/>
      <c r="C49" s="788"/>
      <c r="D49" s="789"/>
      <c r="E49" s="784" t="s">
        <v>1739</v>
      </c>
      <c r="F49" s="785">
        <f ca="1">F7</f>
        <v>140207.87</v>
      </c>
      <c r="G49" s="2076"/>
      <c r="H49" s="2079"/>
      <c r="I49" s="3078" t="s">
        <v>2346</v>
      </c>
      <c r="J49" s="2348">
        <v>2020</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72077</v>
      </c>
      <c r="R50" s="2364" t="s">
        <v>2380</v>
      </c>
    </row>
    <row r="51" spans="1:18" s="2045" customFormat="1" ht="18" customHeight="1" thickBot="1">
      <c r="A51" s="786"/>
      <c r="B51" s="787"/>
      <c r="C51" s="788"/>
      <c r="D51" s="789"/>
      <c r="E51" s="784" t="s">
        <v>640</v>
      </c>
      <c r="F51" s="2336"/>
      <c r="H51" s="2079"/>
      <c r="I51" s="3100" t="s">
        <v>2348</v>
      </c>
      <c r="J51" s="3104">
        <f>IF(J49="",J50,J49+J50-YEAR('数据-取费表'!B2))</f>
        <v>61</v>
      </c>
      <c r="K51" s="3078" t="s">
        <v>2354</v>
      </c>
      <c r="L51" s="3110">
        <f ca="1">ROUND(-PV(INDIRECT("'数据-取费表'!h"&amp;$G$1),L48,(C39-C13*J36),0),0)</f>
        <v>30741</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8.5000000000000006E-2</v>
      </c>
      <c r="K52" s="3101"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33.29</v>
      </c>
      <c r="K53" s="3443" t="s">
        <v>2967</v>
      </c>
      <c r="L53" s="3444"/>
      <c r="O53" s="2366" t="s">
        <v>2388</v>
      </c>
      <c r="P53" s="2364" t="s">
        <v>2389</v>
      </c>
      <c r="Q53" s="2365">
        <f ca="1">J53</f>
        <v>33.29</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140054</v>
      </c>
      <c r="R54" s="2368" t="s">
        <v>2392</v>
      </c>
    </row>
    <row r="55" spans="1:18" s="2045" customFormat="1" ht="18" customHeight="1" thickTop="1" thickBot="1">
      <c r="A55" s="797">
        <v>2</v>
      </c>
      <c r="B55" s="798" t="s">
        <v>644</v>
      </c>
      <c r="C55" s="799">
        <f ca="1">C13</f>
        <v>72077</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72077</v>
      </c>
      <c r="D56" s="2604"/>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1236</v>
      </c>
      <c r="D57" s="26" t="s">
        <v>1750</v>
      </c>
      <c r="E57" s="2605"/>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140054</v>
      </c>
      <c r="R57" s="2364" t="s">
        <v>2380</v>
      </c>
    </row>
    <row r="58" spans="1:18" s="2045" customFormat="1" ht="28.5" customHeight="1" thickBot="1">
      <c r="A58" s="1635" t="s">
        <v>1824</v>
      </c>
      <c r="B58" s="784" t="s">
        <v>656</v>
      </c>
      <c r="C58" s="53">
        <f ca="1">ROUND(IF(项目基本情况!B11="自然人",C47*F58,C59+C60+C61),1)</f>
        <v>46.3</v>
      </c>
      <c r="D58" s="2603" t="s">
        <v>657</v>
      </c>
      <c r="E58" s="2604" t="s">
        <v>690</v>
      </c>
      <c r="F58" s="810" t="str">
        <f ca="1">IF(项目基本情况!B11="企业","",IF(INDIRECT("'数据-取费表'!c"&amp;$G$1)="住宅",5%,IF(F48*F49*F50/12/(1+'数据-取费表'!C42)&gt;20000,12%,7%)))</f>
        <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46.3</v>
      </c>
      <c r="D61" s="814" t="s">
        <v>669</v>
      </c>
      <c r="E61" s="784" t="s">
        <v>670</v>
      </c>
      <c r="F61" s="640">
        <f t="shared" si="0"/>
        <v>10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46262.48</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1081.2</v>
      </c>
      <c r="D63" s="2604" t="s">
        <v>1803</v>
      </c>
      <c r="E63" s="784" t="s">
        <v>1747</v>
      </c>
      <c r="F63" s="817">
        <f t="shared" ca="1" si="0"/>
        <v>1.4999999999999999E-2</v>
      </c>
      <c r="I63" s="3121" t="s">
        <v>2370</v>
      </c>
      <c r="J63" s="3122">
        <v>70</v>
      </c>
      <c r="K63" s="3122">
        <v>50</v>
      </c>
      <c r="L63" s="3122">
        <v>80</v>
      </c>
      <c r="M63" s="3124">
        <v>0.02</v>
      </c>
      <c r="O63" s="2363" t="s">
        <v>2391</v>
      </c>
      <c r="P63" s="2364" t="s">
        <v>2408</v>
      </c>
      <c r="Q63" s="2365">
        <f ca="1">Q57+Q58</f>
        <v>140054</v>
      </c>
      <c r="R63" s="2368" t="s">
        <v>2392</v>
      </c>
    </row>
    <row r="64" spans="1:18" s="2045" customFormat="1" ht="16.5" thickBot="1">
      <c r="A64" s="1635" t="s">
        <v>1890</v>
      </c>
      <c r="B64" s="784" t="s">
        <v>679</v>
      </c>
      <c r="C64" s="53">
        <f ca="1">ROUND(C55*F64,1)</f>
        <v>108.1</v>
      </c>
      <c r="D64" s="2604"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0.02</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3" t="s">
        <v>2822</v>
      </c>
      <c r="C66" s="799">
        <f ca="1">C47-C57</f>
        <v>-1236</v>
      </c>
      <c r="D66" s="2603" t="s">
        <v>700</v>
      </c>
      <c r="E66" s="2602"/>
      <c r="F66" s="820"/>
      <c r="K66" s="2072"/>
      <c r="O66" s="2363" t="s">
        <v>2379</v>
      </c>
      <c r="P66" s="2364" t="s">
        <v>2409</v>
      </c>
      <c r="Q66" s="2365">
        <f ca="1">C40+J29</f>
        <v>140054</v>
      </c>
      <c r="R66" s="2364" t="s">
        <v>2380</v>
      </c>
    </row>
    <row r="67" spans="1:18" s="2045" customFormat="1" ht="20.25" thickBot="1">
      <c r="A67" s="781" t="s">
        <v>1780</v>
      </c>
      <c r="B67" s="2218" t="s">
        <v>2301</v>
      </c>
      <c r="C67" s="783">
        <f ca="1">ROUND(C66*(1-((1+F69)/(1+F67))^F68)/(F67-F69),0)</f>
        <v>-17639</v>
      </c>
      <c r="D67" s="814" t="s">
        <v>704</v>
      </c>
      <c r="E67" s="784" t="s">
        <v>705</v>
      </c>
      <c r="F67" s="794">
        <f ca="1">F40</f>
        <v>0.06</v>
      </c>
      <c r="K67" s="2072"/>
      <c r="O67" s="2363" t="s">
        <v>2381</v>
      </c>
      <c r="P67" s="2364" t="s">
        <v>2412</v>
      </c>
      <c r="Q67" s="2365">
        <f ca="1">L60</f>
        <v>0</v>
      </c>
      <c r="R67" s="2368" t="s">
        <v>2414</v>
      </c>
    </row>
    <row r="68" spans="1:18" ht="21.75" thickBot="1">
      <c r="A68" s="786"/>
      <c r="B68" s="787"/>
      <c r="C68" s="788"/>
      <c r="D68" s="821" t="s">
        <v>1808</v>
      </c>
      <c r="E68" s="784" t="s">
        <v>1784</v>
      </c>
      <c r="F68" s="822">
        <f ca="1">F41</f>
        <v>33.29</v>
      </c>
      <c r="O68" s="2366" t="s">
        <v>2383</v>
      </c>
      <c r="P68" s="2364" t="s">
        <v>2413</v>
      </c>
      <c r="Q68" s="2370">
        <f ca="1">L51</f>
        <v>30741</v>
      </c>
      <c r="R68" s="2371" t="s">
        <v>2416</v>
      </c>
    </row>
    <row r="69" spans="1:18" ht="20.25" thickBot="1">
      <c r="A69" s="790"/>
      <c r="B69" s="791"/>
      <c r="C69" s="792"/>
      <c r="D69" s="816"/>
      <c r="E69" s="784" t="s">
        <v>710</v>
      </c>
      <c r="F69" s="2336"/>
      <c r="O69" s="2366" t="s">
        <v>2384</v>
      </c>
      <c r="P69" s="2372" t="s">
        <v>2398</v>
      </c>
      <c r="Q69" s="2365">
        <f ca="1">ROUND(Q70-Q71*Q72,0)</f>
        <v>1992</v>
      </c>
      <c r="R69" s="2368"/>
    </row>
    <row r="70" spans="1:18" ht="15.75" thickBot="1">
      <c r="A70" s="823" t="s">
        <v>1787</v>
      </c>
      <c r="B70" s="824" t="s">
        <v>1810</v>
      </c>
      <c r="C70" s="825">
        <f ca="1">ROUND(C67*10000/F70,0)</f>
        <v>-1258</v>
      </c>
      <c r="D70" s="826" t="s">
        <v>1811</v>
      </c>
      <c r="E70" s="827" t="s">
        <v>1812</v>
      </c>
      <c r="F70" s="828">
        <f ca="1">F43</f>
        <v>140207.87</v>
      </c>
      <c r="O70" s="2366" t="s">
        <v>2399</v>
      </c>
      <c r="P70" s="2372" t="s">
        <v>2400</v>
      </c>
      <c r="Q70" s="2365">
        <f ca="1">C39</f>
        <v>7758</v>
      </c>
      <c r="R70" s="2364" t="s">
        <v>2380</v>
      </c>
    </row>
    <row r="71" spans="1:18" ht="15.75" thickBot="1">
      <c r="O71" s="2366" t="s">
        <v>2401</v>
      </c>
      <c r="P71" s="2372" t="s">
        <v>2402</v>
      </c>
      <c r="Q71" s="2365">
        <f ca="1">C13</f>
        <v>72077</v>
      </c>
      <c r="R71" s="2364" t="s">
        <v>2380</v>
      </c>
    </row>
    <row r="72" spans="1:18" ht="15.75" thickBot="1">
      <c r="O72" s="2366" t="s">
        <v>2403</v>
      </c>
      <c r="P72" s="2372" t="s">
        <v>2404</v>
      </c>
      <c r="Q72" s="2367">
        <f ca="1">J36</f>
        <v>0.08</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140054</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2471</v>
      </c>
      <c r="B1" s="3462"/>
      <c r="C1" s="3463"/>
      <c r="D1" s="3464">
        <f>SUM(I10,I15,I20,I21,I23)</f>
        <v>0</v>
      </c>
      <c r="E1" s="3464"/>
      <c r="F1" s="3464"/>
      <c r="G1" s="3464"/>
      <c r="H1" s="3464"/>
      <c r="I1" s="3465"/>
    </row>
    <row r="2" spans="1:9">
      <c r="A2" s="3451" t="s">
        <v>2472</v>
      </c>
      <c r="B2" s="3452" t="s">
        <v>2473</v>
      </c>
      <c r="C2" s="3452"/>
      <c r="D2" s="2472" t="s">
        <v>2474</v>
      </c>
      <c r="E2" s="2472" t="s">
        <v>2475</v>
      </c>
      <c r="F2" s="2472" t="s">
        <v>2476</v>
      </c>
      <c r="G2" s="2472" t="s">
        <v>2477</v>
      </c>
      <c r="H2" s="2472" t="s">
        <v>2478</v>
      </c>
      <c r="I2" s="2473" t="s">
        <v>2479</v>
      </c>
    </row>
    <row r="3" spans="1:9">
      <c r="A3" s="3451"/>
      <c r="B3" s="3452" t="s">
        <v>2480</v>
      </c>
      <c r="C3" s="3452"/>
      <c r="D3" s="2474"/>
      <c r="E3" s="2472"/>
      <c r="F3" s="2475"/>
      <c r="G3" s="2475"/>
      <c r="H3" s="2476"/>
      <c r="I3" s="2477">
        <f>ROUND(D3*E3*F3*G3*H3/10000,0)</f>
        <v>0</v>
      </c>
    </row>
    <row r="4" spans="1:9">
      <c r="A4" s="3451"/>
      <c r="B4" s="3452" t="s">
        <v>2481</v>
      </c>
      <c r="C4" s="3452"/>
      <c r="D4" s="2474"/>
      <c r="E4" s="2472"/>
      <c r="F4" s="2475"/>
      <c r="G4" s="2475"/>
      <c r="H4" s="2476"/>
      <c r="I4" s="2477">
        <f t="shared" ref="I4:I9" si="0">ROUND(D4*E4*F4*G4*H4/10000,0)</f>
        <v>0</v>
      </c>
    </row>
    <row r="5" spans="1:9">
      <c r="A5" s="3451"/>
      <c r="B5" s="3452" t="s">
        <v>2482</v>
      </c>
      <c r="C5" s="3452"/>
      <c r="D5" s="2474"/>
      <c r="E5" s="2472"/>
      <c r="F5" s="2475"/>
      <c r="G5" s="2475"/>
      <c r="H5" s="2476"/>
      <c r="I5" s="2477">
        <f t="shared" si="0"/>
        <v>0</v>
      </c>
    </row>
    <row r="6" spans="1:9">
      <c r="A6" s="3451"/>
      <c r="B6" s="3452" t="s">
        <v>2483</v>
      </c>
      <c r="C6" s="3452"/>
      <c r="D6" s="2474"/>
      <c r="E6" s="2472"/>
      <c r="F6" s="2475"/>
      <c r="G6" s="2475"/>
      <c r="H6" s="2476"/>
      <c r="I6" s="2477">
        <f t="shared" si="0"/>
        <v>0</v>
      </c>
    </row>
    <row r="7" spans="1:9">
      <c r="A7" s="3451"/>
      <c r="B7" s="3452" t="s">
        <v>2484</v>
      </c>
      <c r="C7" s="3452"/>
      <c r="D7" s="2474"/>
      <c r="E7" s="2472"/>
      <c r="F7" s="2475"/>
      <c r="G7" s="2475"/>
      <c r="H7" s="2476"/>
      <c r="I7" s="2477">
        <f t="shared" si="0"/>
        <v>0</v>
      </c>
    </row>
    <row r="8" spans="1:9">
      <c r="A8" s="3451"/>
      <c r="B8" s="3452" t="s">
        <v>2485</v>
      </c>
      <c r="C8" s="3452"/>
      <c r="D8" s="2474"/>
      <c r="E8" s="2472"/>
      <c r="F8" s="2475"/>
      <c r="G8" s="2475"/>
      <c r="H8" s="2476"/>
      <c r="I8" s="2477">
        <f t="shared" si="0"/>
        <v>0</v>
      </c>
    </row>
    <row r="9" spans="1:9">
      <c r="A9" s="3451"/>
      <c r="B9" s="3452" t="s">
        <v>2486</v>
      </c>
      <c r="C9" s="3452"/>
      <c r="D9" s="2474"/>
      <c r="E9" s="2472"/>
      <c r="F9" s="2475"/>
      <c r="G9" s="2475"/>
      <c r="H9" s="2476"/>
      <c r="I9" s="2477">
        <f t="shared" si="0"/>
        <v>0</v>
      </c>
    </row>
    <row r="10" spans="1:9">
      <c r="A10" s="3451"/>
      <c r="B10" s="3453" t="s">
        <v>2487</v>
      </c>
      <c r="C10" s="3453"/>
      <c r="D10" s="2478">
        <v>527</v>
      </c>
      <c r="E10" s="2478" t="e">
        <f>ROUND(D1*10000/D10/H9,0)</f>
        <v>#DIV/0!</v>
      </c>
      <c r="F10" s="2479"/>
      <c r="G10" s="2479"/>
      <c r="H10" s="2480"/>
      <c r="I10" s="2481">
        <f>SUM(I3:I9)</f>
        <v>0</v>
      </c>
    </row>
    <row r="11" spans="1:9" ht="14.25">
      <c r="A11" s="3451" t="s">
        <v>2488</v>
      </c>
      <c r="B11" s="3452" t="s">
        <v>2489</v>
      </c>
      <c r="C11" s="3452"/>
      <c r="D11" s="2474" t="s">
        <v>2490</v>
      </c>
      <c r="E11" s="2474" t="s">
        <v>2491</v>
      </c>
      <c r="F11" s="2475" t="s">
        <v>2492</v>
      </c>
      <c r="G11" s="2475" t="s">
        <v>2493</v>
      </c>
      <c r="H11" s="2482" t="s">
        <v>2494</v>
      </c>
      <c r="I11" s="2473" t="s">
        <v>2495</v>
      </c>
    </row>
    <row r="12" spans="1:9">
      <c r="A12" s="3451"/>
      <c r="B12" s="3452" t="s">
        <v>2496</v>
      </c>
      <c r="C12" s="3452"/>
      <c r="D12" s="2474"/>
      <c r="E12" s="2474"/>
      <c r="F12" s="2475"/>
      <c r="G12" s="2476"/>
      <c r="H12" s="2483"/>
      <c r="I12" s="2473">
        <f>ROUND(D12*E12*F12*G12/10000,0)</f>
        <v>0</v>
      </c>
    </row>
    <row r="13" spans="1:9">
      <c r="A13" s="3451"/>
      <c r="B13" s="3452" t="s">
        <v>2497</v>
      </c>
      <c r="C13" s="3452"/>
      <c r="D13" s="2474"/>
      <c r="E13" s="2474"/>
      <c r="F13" s="2475"/>
      <c r="G13" s="2476"/>
      <c r="H13" s="2483"/>
      <c r="I13" s="2473">
        <f>ROUND(D13*E13*F13*G13/10000,0)</f>
        <v>0</v>
      </c>
    </row>
    <row r="14" spans="1:9">
      <c r="A14" s="3451"/>
      <c r="B14" s="3452" t="s">
        <v>2498</v>
      </c>
      <c r="C14" s="3452"/>
      <c r="D14" s="2474"/>
      <c r="E14" s="2474"/>
      <c r="F14" s="2475"/>
      <c r="G14" s="2476"/>
      <c r="H14" s="2483"/>
      <c r="I14" s="2473">
        <f>ROUND(D14*E14*F14*G14/10000,0)</f>
        <v>0</v>
      </c>
    </row>
    <row r="15" spans="1:9">
      <c r="A15" s="3451"/>
      <c r="B15" s="3453" t="s">
        <v>2487</v>
      </c>
      <c r="C15" s="3453"/>
      <c r="D15" s="2478"/>
      <c r="E15" s="2478">
        <f>SUM(E12:E14)</f>
        <v>0</v>
      </c>
      <c r="F15" s="2479"/>
      <c r="G15" s="2476"/>
      <c r="H15" s="2483"/>
      <c r="I15" s="2484">
        <f>SUM(I12:I14)</f>
        <v>0</v>
      </c>
    </row>
    <row r="16" spans="1:9" ht="24">
      <c r="A16" s="3451" t="s">
        <v>2499</v>
      </c>
      <c r="B16" s="3452" t="s">
        <v>2500</v>
      </c>
      <c r="C16" s="3452"/>
      <c r="D16" s="2474" t="s">
        <v>2501</v>
      </c>
      <c r="E16" s="2485" t="s">
        <v>2502</v>
      </c>
      <c r="F16" s="2475" t="s">
        <v>2503</v>
      </c>
      <c r="G16" s="2476" t="s">
        <v>2493</v>
      </c>
      <c r="H16" s="2482" t="s">
        <v>2494</v>
      </c>
      <c r="I16" s="2473" t="s">
        <v>2495</v>
      </c>
    </row>
    <row r="17" spans="1:9" ht="14.25">
      <c r="A17" s="3451"/>
      <c r="B17" s="3452" t="s">
        <v>2504</v>
      </c>
      <c r="C17" s="3452"/>
      <c r="D17" s="2474"/>
      <c r="E17" s="2474"/>
      <c r="F17" s="2475"/>
      <c r="G17" s="2476"/>
      <c r="H17" s="2486"/>
      <c r="I17" s="2487">
        <f>ROUND(D17*E17*F17*G17/10000,0)</f>
        <v>0</v>
      </c>
    </row>
    <row r="18" spans="1:9" ht="14.25">
      <c r="A18" s="3451"/>
      <c r="B18" s="3452" t="s">
        <v>2505</v>
      </c>
      <c r="C18" s="3452"/>
      <c r="D18" s="2474"/>
      <c r="E18" s="2474"/>
      <c r="F18" s="2475"/>
      <c r="G18" s="2476"/>
      <c r="H18" s="2486"/>
      <c r="I18" s="2487">
        <f>ROUND(D18*E18*F18*G18/10000,0)</f>
        <v>0</v>
      </c>
    </row>
    <row r="19" spans="1:9" ht="14.25">
      <c r="A19" s="3451"/>
      <c r="B19" s="3452" t="s">
        <v>2506</v>
      </c>
      <c r="C19" s="3452"/>
      <c r="D19" s="2474"/>
      <c r="E19" s="2474"/>
      <c r="F19" s="2475"/>
      <c r="G19" s="2476"/>
      <c r="H19" s="2486"/>
      <c r="I19" s="2487">
        <f>ROUND(D19*E19*F19*G19/10000,0)</f>
        <v>0</v>
      </c>
    </row>
    <row r="20" spans="1:9">
      <c r="A20" s="3451"/>
      <c r="B20" s="3453" t="s">
        <v>2487</v>
      </c>
      <c r="C20" s="3453"/>
      <c r="D20" s="2478">
        <f>SUM(D17:D19)</f>
        <v>0</v>
      </c>
      <c r="E20" s="2478"/>
      <c r="F20" s="2479"/>
      <c r="G20" s="2476"/>
      <c r="H20" s="2483"/>
      <c r="I20" s="2484">
        <f>SUM(I17:I19)</f>
        <v>0</v>
      </c>
    </row>
    <row r="21" spans="1:9">
      <c r="A21" s="3451" t="s">
        <v>2507</v>
      </c>
      <c r="B21" s="3454"/>
      <c r="C21" s="3454"/>
      <c r="D21" s="3454"/>
      <c r="E21" s="3454"/>
      <c r="F21" s="3454"/>
      <c r="G21" s="3454"/>
      <c r="H21" s="2488">
        <v>0.1</v>
      </c>
      <c r="I21" s="2481">
        <f>ROUND(I10*H21,0)</f>
        <v>0</v>
      </c>
    </row>
    <row r="22" spans="1:9" ht="14.25">
      <c r="A22" s="3455" t="s">
        <v>2508</v>
      </c>
      <c r="B22" s="3456"/>
      <c r="C22" s="3457"/>
      <c r="D22" s="2489" t="s">
        <v>2509</v>
      </c>
      <c r="E22" s="2489" t="s">
        <v>2510</v>
      </c>
      <c r="F22" s="2490" t="s">
        <v>2511</v>
      </c>
      <c r="G22" s="2490" t="s">
        <v>2512</v>
      </c>
      <c r="H22" s="2482" t="s">
        <v>2513</v>
      </c>
      <c r="I22" s="2473" t="s">
        <v>2514</v>
      </c>
    </row>
    <row r="23" spans="1:9" ht="14.25" thickBot="1">
      <c r="A23" s="3458"/>
      <c r="B23" s="3459"/>
      <c r="C23" s="3460"/>
      <c r="D23" s="2491"/>
      <c r="E23" s="2491"/>
      <c r="F23" s="2491"/>
      <c r="G23" s="2492"/>
      <c r="H23" s="2493"/>
      <c r="I23" s="2494">
        <f>ROUND(E23*D23*F23*(1-G23)/10000,0)</f>
        <v>0</v>
      </c>
    </row>
    <row r="26" spans="1:9">
      <c r="A26" s="2495" t="s">
        <v>2515</v>
      </c>
      <c r="B26" s="2495"/>
      <c r="C26" s="2495"/>
      <c r="D26" s="2495"/>
      <c r="E26" s="3448">
        <f>C27-C30-C31-C32</f>
        <v>0</v>
      </c>
      <c r="F26" s="3448"/>
      <c r="G26" s="3448"/>
      <c r="H26" s="2995" t="s">
        <v>2843</v>
      </c>
    </row>
    <row r="27" spans="1:9">
      <c r="A27" s="2496">
        <v>1</v>
      </c>
      <c r="B27" s="2497" t="s">
        <v>2516</v>
      </c>
      <c r="C27" s="2497"/>
      <c r="D27" s="2497"/>
      <c r="E27" s="3449"/>
      <c r="F27" s="3449"/>
      <c r="G27" s="3449"/>
    </row>
    <row r="28" spans="1:9">
      <c r="A28" s="2498" t="s">
        <v>2517</v>
      </c>
      <c r="B28" s="2497" t="s">
        <v>2518</v>
      </c>
      <c r="C28" s="2497"/>
      <c r="D28" s="2497"/>
      <c r="E28" s="3449"/>
      <c r="F28" s="3449"/>
      <c r="G28" s="3449"/>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50"/>
      <c r="F32" s="3450"/>
      <c r="G32" s="3450"/>
    </row>
    <row r="33" spans="1:7" hidden="1">
      <c r="A33" s="3445" t="s">
        <v>2526</v>
      </c>
      <c r="B33" s="3446"/>
      <c r="C33" s="3446"/>
      <c r="D33" s="3447"/>
      <c r="E33" s="3448"/>
      <c r="F33" s="3448"/>
      <c r="G33" s="3448"/>
    </row>
    <row r="34" spans="1:7" hidden="1">
      <c r="A34" s="2500">
        <v>1</v>
      </c>
      <c r="B34" s="2497" t="s">
        <v>2527</v>
      </c>
      <c r="C34" s="2497"/>
      <c r="D34" s="2497"/>
      <c r="E34" s="3449"/>
      <c r="F34" s="3449"/>
      <c r="G34" s="3449"/>
    </row>
    <row r="35" spans="1:7" hidden="1">
      <c r="A35" s="2500">
        <v>2</v>
      </c>
      <c r="B35" s="2497" t="s">
        <v>2528</v>
      </c>
      <c r="C35" s="2497"/>
      <c r="D35" s="2497"/>
      <c r="E35" s="3449"/>
      <c r="F35" s="3449"/>
      <c r="G35" s="3449"/>
    </row>
    <row r="36" spans="1:7" hidden="1">
      <c r="A36" s="2500">
        <v>3</v>
      </c>
      <c r="B36" s="2497" t="s">
        <v>2529</v>
      </c>
      <c r="C36" s="2497"/>
      <c r="D36" s="2497"/>
      <c r="E36" s="3449"/>
      <c r="F36" s="3449"/>
      <c r="G36" s="3449"/>
    </row>
    <row r="37" spans="1:7" hidden="1">
      <c r="A37" s="2500">
        <v>4</v>
      </c>
      <c r="B37" s="2497" t="s">
        <v>2530</v>
      </c>
      <c r="C37" s="2497"/>
      <c r="D37" s="2497"/>
      <c r="E37" s="3449"/>
      <c r="F37" s="3449"/>
      <c r="G37" s="3449"/>
    </row>
    <row r="38" spans="1:7" hidden="1">
      <c r="A38" s="3445" t="s">
        <v>2531</v>
      </c>
      <c r="B38" s="3446"/>
      <c r="C38" s="3446"/>
      <c r="D38" s="3447"/>
      <c r="E38" s="3448"/>
      <c r="F38" s="3448"/>
      <c r="G38" s="34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141821.06</v>
      </c>
      <c r="E10" s="749">
        <f>'数据-取费表'!B31</f>
        <v>60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141821.06</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0.35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0.84899999999999998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9" t="s">
        <v>522</v>
      </c>
      <c r="D4" s="3370"/>
      <c r="E4" s="3393" t="s">
        <v>523</v>
      </c>
      <c r="F4" s="3394"/>
      <c r="G4" s="3369" t="s">
        <v>524</v>
      </c>
      <c r="H4" s="3370"/>
      <c r="I4" s="3369" t="s">
        <v>525</v>
      </c>
      <c r="J4" s="3370"/>
      <c r="K4" s="853" t="s">
        <v>526</v>
      </c>
      <c r="L4" s="2119"/>
      <c r="M4" s="2120"/>
      <c r="N4" s="2120"/>
      <c r="O4" s="2120"/>
      <c r="P4" s="3371" t="s">
        <v>527</v>
      </c>
      <c r="Q4" s="3372"/>
      <c r="R4" s="3357" t="s">
        <v>523</v>
      </c>
      <c r="S4" s="3358"/>
      <c r="T4" s="3357" t="s">
        <v>524</v>
      </c>
      <c r="U4" s="3358"/>
      <c r="V4" s="3377" t="s">
        <v>525</v>
      </c>
      <c r="W4" s="3377"/>
      <c r="X4" s="1554"/>
      <c r="Y4" s="3357" t="s">
        <v>527</v>
      </c>
      <c r="Z4" s="3358"/>
      <c r="AA4" s="3352" t="s">
        <v>523</v>
      </c>
      <c r="AB4" s="3352" t="s">
        <v>524</v>
      </c>
      <c r="AC4" s="3352" t="s">
        <v>525</v>
      </c>
    </row>
    <row r="5" spans="1:29" ht="15">
      <c r="A5" s="515"/>
      <c r="B5" s="516"/>
      <c r="C5" s="3380" t="s">
        <v>2931</v>
      </c>
      <c r="D5" s="3381"/>
      <c r="E5" s="3395" t="s">
        <v>2932</v>
      </c>
      <c r="F5" s="3396"/>
      <c r="G5" s="3380" t="s">
        <v>2933</v>
      </c>
      <c r="H5" s="3381"/>
      <c r="I5" s="3380" t="s">
        <v>2934</v>
      </c>
      <c r="J5" s="3381"/>
      <c r="K5" s="854"/>
      <c r="L5" s="2119"/>
      <c r="M5" s="2120"/>
      <c r="N5" s="2120"/>
      <c r="O5" s="2120"/>
      <c r="P5" s="3373"/>
      <c r="Q5" s="3374"/>
      <c r="R5" s="3359"/>
      <c r="S5" s="3360"/>
      <c r="T5" s="3359"/>
      <c r="U5" s="3360"/>
      <c r="V5" s="3377"/>
      <c r="W5" s="3377"/>
      <c r="X5" s="1554"/>
      <c r="Y5" s="3359"/>
      <c r="Z5" s="3360"/>
      <c r="AA5" s="3353"/>
      <c r="AB5" s="3353"/>
      <c r="AC5" s="3353"/>
    </row>
    <row r="6" spans="1:29" ht="15.75" thickBot="1">
      <c r="A6" s="517"/>
      <c r="B6" s="518"/>
      <c r="C6" s="3378" t="s">
        <v>2935</v>
      </c>
      <c r="D6" s="3379"/>
      <c r="E6" s="3397" t="s">
        <v>2935</v>
      </c>
      <c r="F6" s="3398"/>
      <c r="G6" s="3378" t="s">
        <v>2935</v>
      </c>
      <c r="H6" s="3379"/>
      <c r="I6" s="3378" t="s">
        <v>2935</v>
      </c>
      <c r="J6" s="3379"/>
      <c r="K6" s="854" t="s">
        <v>528</v>
      </c>
      <c r="L6" s="2119"/>
      <c r="M6" s="2120"/>
      <c r="N6" s="2120"/>
      <c r="O6" s="2120"/>
      <c r="P6" s="3375"/>
      <c r="Q6" s="3376"/>
      <c r="R6" s="3359"/>
      <c r="S6" s="3360"/>
      <c r="T6" s="3361"/>
      <c r="U6" s="3362"/>
      <c r="V6" s="3377"/>
      <c r="W6" s="3377"/>
      <c r="X6" s="1554"/>
      <c r="Y6" s="3361"/>
      <c r="Z6" s="3362"/>
      <c r="AA6" s="3354"/>
      <c r="AB6" s="3354"/>
      <c r="AC6" s="3354"/>
    </row>
    <row r="7" spans="1:29" s="1216" customFormat="1" ht="15.75" thickBot="1">
      <c r="A7" s="2867"/>
      <c r="B7" s="2874" t="s">
        <v>529</v>
      </c>
      <c r="C7" s="519">
        <f>'数据-取费表'!B2</f>
        <v>43768</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55" t="s">
        <v>530</v>
      </c>
      <c r="Q7" s="3364"/>
      <c r="R7" s="1555" t="s">
        <v>13</v>
      </c>
      <c r="S7" s="1556">
        <f t="shared" ref="S7:S15" si="0">F7</f>
        <v>0</v>
      </c>
      <c r="T7" s="1555" t="s">
        <v>13</v>
      </c>
      <c r="U7" s="1556">
        <f t="shared" ref="U7:U15" si="1">H7</f>
        <v>0</v>
      </c>
      <c r="V7" s="1555" t="s">
        <v>13</v>
      </c>
      <c r="W7" s="1556">
        <f t="shared" ref="W7:W15"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55" t="s">
        <v>533</v>
      </c>
      <c r="Q8" s="3356"/>
      <c r="R8" s="1555" t="s">
        <v>13</v>
      </c>
      <c r="S8" s="1556">
        <f t="shared" si="0"/>
        <v>0</v>
      </c>
      <c r="T8" s="1555" t="s">
        <v>13</v>
      </c>
      <c r="U8" s="1556">
        <f t="shared" si="1"/>
        <v>0</v>
      </c>
      <c r="V8" s="1555" t="s">
        <v>13</v>
      </c>
      <c r="W8" s="1556">
        <f t="shared" si="2"/>
        <v>0</v>
      </c>
      <c r="X8" s="1557"/>
      <c r="Y8" s="3355" t="s">
        <v>533</v>
      </c>
      <c r="Z8" s="3356"/>
      <c r="AA8" s="1558" t="e">
        <f t="shared" ref="AA8:AA46" si="3">D8/F8</f>
        <v>#DIV/0!</v>
      </c>
      <c r="AB8" s="1558" t="e">
        <f t="shared" ref="AB8:AB46" si="4">D8/H8</f>
        <v>#DIV/0!</v>
      </c>
      <c r="AC8" s="1558" t="e">
        <f t="shared" ref="AC8:AC46" si="5">D8/J8</f>
        <v>#DIV/0!</v>
      </c>
    </row>
    <row r="9" spans="1:29" s="1216" customFormat="1" ht="15">
      <c r="A9" s="2869"/>
      <c r="B9" s="2876"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20"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1"/>
      <c r="B11" s="2875"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3"/>
      <c r="Q11" s="1147" t="str">
        <f t="shared" si="6"/>
        <v>容积率</v>
      </c>
      <c r="R11" s="1555" t="s">
        <v>11</v>
      </c>
      <c r="S11" s="1556" t="e">
        <f t="shared" si="0"/>
        <v>#N/A</v>
      </c>
      <c r="T11" s="1555" t="s">
        <v>11</v>
      </c>
      <c r="U11" s="1556" t="e">
        <f t="shared" si="1"/>
        <v>#N/A</v>
      </c>
      <c r="V11" s="1555" t="s">
        <v>11</v>
      </c>
      <c r="W11" s="1556" t="e">
        <f t="shared" si="2"/>
        <v>#N/A</v>
      </c>
      <c r="X11" s="1557"/>
      <c r="Y11" s="332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3"/>
      <c r="Q12" s="1147">
        <f t="shared" si="6"/>
        <v>111</v>
      </c>
      <c r="R12" s="1555" t="s">
        <v>11</v>
      </c>
      <c r="S12" s="1556">
        <f t="shared" si="0"/>
        <v>100</v>
      </c>
      <c r="T12" s="1555" t="s">
        <v>11</v>
      </c>
      <c r="U12" s="1556">
        <f t="shared" si="1"/>
        <v>100</v>
      </c>
      <c r="V12" s="1555" t="s">
        <v>11</v>
      </c>
      <c r="W12" s="1556">
        <f t="shared" si="2"/>
        <v>100</v>
      </c>
      <c r="X12" s="1557"/>
      <c r="Y12" s="3320"/>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3"/>
      <c r="Q13" s="1147">
        <f t="shared" si="6"/>
        <v>111</v>
      </c>
      <c r="R13" s="1555" t="s">
        <v>11</v>
      </c>
      <c r="S13" s="1556">
        <f t="shared" si="0"/>
        <v>100</v>
      </c>
      <c r="T13" s="1555" t="s">
        <v>11</v>
      </c>
      <c r="U13" s="1556">
        <f t="shared" si="1"/>
        <v>100</v>
      </c>
      <c r="V13" s="1555" t="s">
        <v>11</v>
      </c>
      <c r="W13" s="1556">
        <f t="shared" si="2"/>
        <v>100</v>
      </c>
      <c r="X13" s="1557"/>
      <c r="Y13" s="3320"/>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3"/>
      <c r="Q14" s="1147">
        <f t="shared" si="6"/>
        <v>111</v>
      </c>
      <c r="R14" s="1555" t="s">
        <v>11</v>
      </c>
      <c r="S14" s="1556">
        <f t="shared" si="0"/>
        <v>100</v>
      </c>
      <c r="T14" s="1555" t="s">
        <v>11</v>
      </c>
      <c r="U14" s="1556">
        <f t="shared" si="1"/>
        <v>100</v>
      </c>
      <c r="V14" s="1555" t="s">
        <v>11</v>
      </c>
      <c r="W14" s="1556">
        <f t="shared" si="2"/>
        <v>100</v>
      </c>
      <c r="X14" s="1557"/>
      <c r="Y14" s="3320"/>
      <c r="Z14" s="1146">
        <f t="shared" si="7"/>
        <v>111</v>
      </c>
      <c r="AA14" s="1558">
        <f t="shared" si="3"/>
        <v>1</v>
      </c>
      <c r="AB14" s="1558">
        <f t="shared" si="4"/>
        <v>1</v>
      </c>
      <c r="AC14" s="1558">
        <f t="shared" si="5"/>
        <v>1</v>
      </c>
    </row>
    <row r="15" spans="1:29" ht="99.75">
      <c r="A15" s="2865"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65" t="s">
        <v>540</v>
      </c>
      <c r="Q15" s="1559" t="str">
        <f t="shared" si="6"/>
        <v>居住社区成熟度</v>
      </c>
      <c r="R15" s="1560" t="s">
        <v>11</v>
      </c>
      <c r="S15" s="1561">
        <f t="shared" si="0"/>
        <v>100</v>
      </c>
      <c r="T15" s="1560" t="s">
        <v>11</v>
      </c>
      <c r="U15" s="1561">
        <f t="shared" si="1"/>
        <v>100</v>
      </c>
      <c r="V15" s="1560" t="s">
        <v>11</v>
      </c>
      <c r="W15" s="1561">
        <f t="shared" si="2"/>
        <v>100</v>
      </c>
      <c r="X15" s="1554"/>
      <c r="Y15" s="3365"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66"/>
      <c r="Q16" s="1559"/>
      <c r="R16" s="1560"/>
      <c r="S16" s="1561"/>
      <c r="T16" s="1560"/>
      <c r="U16" s="1561"/>
      <c r="V16" s="1560"/>
      <c r="W16" s="1561"/>
      <c r="X16" s="1554"/>
      <c r="Y16" s="336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66"/>
      <c r="Q17" s="1559" t="str">
        <f>B17</f>
        <v>交通便捷度</v>
      </c>
      <c r="R17" s="1560" t="s">
        <v>11</v>
      </c>
      <c r="S17" s="1561">
        <f>F17</f>
        <v>100</v>
      </c>
      <c r="T17" s="1560" t="s">
        <v>11</v>
      </c>
      <c r="U17" s="1561">
        <f>H17</f>
        <v>100</v>
      </c>
      <c r="V17" s="1560" t="s">
        <v>11</v>
      </c>
      <c r="W17" s="1561">
        <f>J17</f>
        <v>100</v>
      </c>
      <c r="X17" s="1554"/>
      <c r="Y17" s="336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66"/>
      <c r="Q18" s="1559"/>
      <c r="R18" s="1560"/>
      <c r="S18" s="1561"/>
      <c r="T18" s="1560"/>
      <c r="U18" s="1561"/>
      <c r="V18" s="1560"/>
      <c r="W18" s="1561"/>
      <c r="X18" s="1554"/>
      <c r="Y18" s="336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66"/>
      <c r="Q19" s="1559" t="str">
        <f>B19</f>
        <v>公共配套设施</v>
      </c>
      <c r="R19" s="1560" t="s">
        <v>11</v>
      </c>
      <c r="S19" s="1561">
        <f>F19</f>
        <v>100</v>
      </c>
      <c r="T19" s="1560" t="s">
        <v>11</v>
      </c>
      <c r="U19" s="1561">
        <f>H19</f>
        <v>100</v>
      </c>
      <c r="V19" s="1560" t="s">
        <v>11</v>
      </c>
      <c r="W19" s="1561">
        <f>J19</f>
        <v>100</v>
      </c>
      <c r="X19" s="1554"/>
      <c r="Y19" s="336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66"/>
      <c r="Q20" s="1559"/>
      <c r="R20" s="1560"/>
      <c r="S20" s="1561"/>
      <c r="T20" s="1560"/>
      <c r="U20" s="1561"/>
      <c r="V20" s="1560"/>
      <c r="W20" s="1561"/>
      <c r="X20" s="1554"/>
      <c r="Y20" s="336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66"/>
      <c r="Q21" s="2544" t="str">
        <f>B21</f>
        <v>基础设施水平</v>
      </c>
      <c r="R21" s="1560" t="s">
        <v>11</v>
      </c>
      <c r="S21" s="1561">
        <f>F21</f>
        <v>100</v>
      </c>
      <c r="T21" s="1560" t="s">
        <v>11</v>
      </c>
      <c r="U21" s="1561">
        <f>H21</f>
        <v>100</v>
      </c>
      <c r="V21" s="1560" t="s">
        <v>11</v>
      </c>
      <c r="W21" s="1561">
        <f>J21</f>
        <v>100</v>
      </c>
      <c r="X21" s="2546"/>
      <c r="Y21" s="336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66"/>
      <c r="Q22" s="2544"/>
      <c r="R22" s="1560"/>
      <c r="S22" s="1561"/>
      <c r="T22" s="1560"/>
      <c r="U22" s="1561"/>
      <c r="V22" s="1560"/>
      <c r="W22" s="1561"/>
      <c r="X22" s="2546"/>
      <c r="Y22" s="336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66"/>
      <c r="Q23" s="1559" t="str">
        <f>B23</f>
        <v>自然及人文环境</v>
      </c>
      <c r="R23" s="1560" t="s">
        <v>11</v>
      </c>
      <c r="S23" s="1561">
        <f>F23</f>
        <v>100</v>
      </c>
      <c r="T23" s="1560" t="s">
        <v>11</v>
      </c>
      <c r="U23" s="1561">
        <f>H23</f>
        <v>100</v>
      </c>
      <c r="V23" s="1560" t="s">
        <v>11</v>
      </c>
      <c r="W23" s="1561">
        <f>J23</f>
        <v>100</v>
      </c>
      <c r="X23" s="1554"/>
      <c r="Y23" s="336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66"/>
      <c r="Q24" s="1559"/>
      <c r="R24" s="1560"/>
      <c r="S24" s="1561"/>
      <c r="T24" s="1560"/>
      <c r="U24" s="1561"/>
      <c r="V24" s="1560"/>
      <c r="W24" s="1561"/>
      <c r="X24" s="1554"/>
      <c r="Y24" s="3366"/>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66"/>
      <c r="Q25" s="1559" t="str">
        <f t="shared" ref="Q25:Q46" si="11">B25</f>
        <v>楼层-1</v>
      </c>
      <c r="R25" s="1560" t="s">
        <v>11</v>
      </c>
      <c r="S25" s="1561">
        <f>F25</f>
        <v>100</v>
      </c>
      <c r="T25" s="1560" t="s">
        <v>11</v>
      </c>
      <c r="U25" s="1561">
        <f>H25</f>
        <v>100</v>
      </c>
      <c r="V25" s="1560" t="s">
        <v>11</v>
      </c>
      <c r="W25" s="1561">
        <f>J25</f>
        <v>100</v>
      </c>
      <c r="X25" s="1554"/>
      <c r="Y25" s="3366"/>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66"/>
      <c r="Q26" s="1559" t="str">
        <f t="shared" si="11"/>
        <v>朝向</v>
      </c>
      <c r="R26" s="1560" t="s">
        <v>11</v>
      </c>
      <c r="S26" s="1561">
        <f>F26</f>
        <v>100</v>
      </c>
      <c r="T26" s="1560" t="s">
        <v>11</v>
      </c>
      <c r="U26" s="1561">
        <f>H26</f>
        <v>100</v>
      </c>
      <c r="V26" s="1560" t="s">
        <v>11</v>
      </c>
      <c r="W26" s="1561">
        <f>J26</f>
        <v>100</v>
      </c>
      <c r="X26" s="1554"/>
      <c r="Y26" s="3366"/>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66"/>
      <c r="Q27" s="1147" t="str">
        <f t="shared" si="11"/>
        <v>道路级别</v>
      </c>
      <c r="R27" s="1555" t="s">
        <v>11</v>
      </c>
      <c r="S27" s="1556">
        <f>F27</f>
        <v>100</v>
      </c>
      <c r="T27" s="1555" t="s">
        <v>11</v>
      </c>
      <c r="U27" s="1556">
        <f>H27</f>
        <v>100</v>
      </c>
      <c r="V27" s="1555" t="s">
        <v>11</v>
      </c>
      <c r="W27" s="1556">
        <f>J27</f>
        <v>100</v>
      </c>
      <c r="X27" s="1557"/>
      <c r="Y27" s="3366"/>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6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66"/>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66"/>
      <c r="Q29" s="1559">
        <f t="shared" si="11"/>
        <v>111</v>
      </c>
      <c r="R29" s="1560" t="s">
        <v>11</v>
      </c>
      <c r="S29" s="1561">
        <f t="shared" si="12"/>
        <v>100</v>
      </c>
      <c r="T29" s="1560" t="s">
        <v>11</v>
      </c>
      <c r="U29" s="1561">
        <f t="shared" si="13"/>
        <v>100</v>
      </c>
      <c r="V29" s="1560" t="s">
        <v>11</v>
      </c>
      <c r="W29" s="1561">
        <f t="shared" si="14"/>
        <v>100</v>
      </c>
      <c r="X29" s="1554"/>
      <c r="Y29" s="336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66"/>
      <c r="Q30" s="1559">
        <f t="shared" si="11"/>
        <v>111</v>
      </c>
      <c r="R30" s="1560" t="s">
        <v>11</v>
      </c>
      <c r="S30" s="1561">
        <f t="shared" si="12"/>
        <v>100</v>
      </c>
      <c r="T30" s="1560" t="s">
        <v>11</v>
      </c>
      <c r="U30" s="1561">
        <f t="shared" si="13"/>
        <v>100</v>
      </c>
      <c r="V30" s="1560" t="s">
        <v>11</v>
      </c>
      <c r="W30" s="1561">
        <f t="shared" si="14"/>
        <v>100</v>
      </c>
      <c r="X30" s="1554"/>
      <c r="Y30" s="3366"/>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66"/>
      <c r="Q31" s="1559">
        <f t="shared" si="11"/>
        <v>111</v>
      </c>
      <c r="R31" s="1560" t="s">
        <v>11</v>
      </c>
      <c r="S31" s="1561">
        <f t="shared" si="12"/>
        <v>100</v>
      </c>
      <c r="T31" s="1560" t="s">
        <v>11</v>
      </c>
      <c r="U31" s="1561">
        <f t="shared" si="13"/>
        <v>100</v>
      </c>
      <c r="V31" s="1560" t="s">
        <v>11</v>
      </c>
      <c r="W31" s="1561">
        <f t="shared" si="14"/>
        <v>100</v>
      </c>
      <c r="X31" s="1554"/>
      <c r="Y31" s="3366"/>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67" t="s">
        <v>550</v>
      </c>
      <c r="Q32" s="1559" t="str">
        <f t="shared" si="11"/>
        <v>建筑类型</v>
      </c>
      <c r="R32" s="1560" t="s">
        <v>11</v>
      </c>
      <c r="S32" s="1561">
        <f t="shared" si="12"/>
        <v>100</v>
      </c>
      <c r="T32" s="1560" t="s">
        <v>11</v>
      </c>
      <c r="U32" s="1561">
        <f t="shared" si="13"/>
        <v>100</v>
      </c>
      <c r="V32" s="1560" t="s">
        <v>11</v>
      </c>
      <c r="W32" s="1561">
        <f t="shared" si="14"/>
        <v>100</v>
      </c>
      <c r="X32" s="1554"/>
      <c r="Y32" s="3368"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68"/>
      <c r="Q33" s="1591" t="str">
        <f t="shared" si="11"/>
        <v>项目建筑规模</v>
      </c>
      <c r="R33" s="1564" t="s">
        <v>11</v>
      </c>
      <c r="S33" s="1565" t="e">
        <f t="shared" si="12"/>
        <v>#N/A</v>
      </c>
      <c r="T33" s="1564" t="s">
        <v>11</v>
      </c>
      <c r="U33" s="1565" t="e">
        <f t="shared" si="13"/>
        <v>#N/A</v>
      </c>
      <c r="V33" s="1564" t="s">
        <v>11</v>
      </c>
      <c r="W33" s="1565" t="e">
        <f t="shared" si="14"/>
        <v>#N/A</v>
      </c>
      <c r="X33" s="1566"/>
      <c r="Y33" s="336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68"/>
      <c r="Q34" s="1559" t="str">
        <f t="shared" si="11"/>
        <v>建筑结构</v>
      </c>
      <c r="R34" s="1560" t="s">
        <v>11</v>
      </c>
      <c r="S34" s="1561">
        <f t="shared" si="12"/>
        <v>100</v>
      </c>
      <c r="T34" s="1560" t="s">
        <v>11</v>
      </c>
      <c r="U34" s="1561">
        <f t="shared" si="13"/>
        <v>100</v>
      </c>
      <c r="V34" s="1560" t="s">
        <v>11</v>
      </c>
      <c r="W34" s="1561">
        <f t="shared" si="14"/>
        <v>100</v>
      </c>
      <c r="X34" s="1554"/>
      <c r="Y34" s="3368"/>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68"/>
      <c r="Q35" s="1559" t="str">
        <f t="shared" si="11"/>
        <v>建筑品质</v>
      </c>
      <c r="R35" s="1560" t="s">
        <v>11</v>
      </c>
      <c r="S35" s="1561">
        <f t="shared" si="12"/>
        <v>100</v>
      </c>
      <c r="T35" s="1560" t="s">
        <v>11</v>
      </c>
      <c r="U35" s="1561">
        <f t="shared" si="13"/>
        <v>100</v>
      </c>
      <c r="V35" s="1560" t="s">
        <v>11</v>
      </c>
      <c r="W35" s="1561">
        <f t="shared" si="14"/>
        <v>100</v>
      </c>
      <c r="X35" s="1554"/>
      <c r="Y35" s="3368"/>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68"/>
      <c r="Q36" s="1559" t="str">
        <f t="shared" si="11"/>
        <v>公共部分装修</v>
      </c>
      <c r="R36" s="1560" t="s">
        <v>11</v>
      </c>
      <c r="S36" s="1561">
        <f t="shared" si="12"/>
        <v>100</v>
      </c>
      <c r="T36" s="1560" t="s">
        <v>11</v>
      </c>
      <c r="U36" s="1561">
        <f t="shared" si="13"/>
        <v>100</v>
      </c>
      <c r="V36" s="1560" t="s">
        <v>11</v>
      </c>
      <c r="W36" s="1561">
        <f t="shared" si="14"/>
        <v>100</v>
      </c>
      <c r="X36" s="1554"/>
      <c r="Y36" s="3368"/>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68"/>
      <c r="Q37" s="1147" t="str">
        <f t="shared" si="11"/>
        <v>成新度</v>
      </c>
      <c r="R37" s="1555" t="s">
        <v>11</v>
      </c>
      <c r="S37" s="1556" t="e">
        <f t="shared" si="12"/>
        <v>#N/A</v>
      </c>
      <c r="T37" s="1555" t="s">
        <v>11</v>
      </c>
      <c r="U37" s="1556" t="e">
        <f t="shared" si="13"/>
        <v>#N/A</v>
      </c>
      <c r="V37" s="1555" t="s">
        <v>11</v>
      </c>
      <c r="W37" s="1556" t="e">
        <f t="shared" si="14"/>
        <v>#N/A</v>
      </c>
      <c r="X37" s="1557"/>
      <c r="Y37" s="3368"/>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68" t="s">
        <v>550</v>
      </c>
      <c r="Q38" s="1559" t="str">
        <f t="shared" si="11"/>
        <v>物业管理</v>
      </c>
      <c r="R38" s="1560" t="s">
        <v>11</v>
      </c>
      <c r="S38" s="1561">
        <f t="shared" si="12"/>
        <v>100</v>
      </c>
      <c r="T38" s="1560" t="s">
        <v>11</v>
      </c>
      <c r="U38" s="1561">
        <f t="shared" si="13"/>
        <v>100</v>
      </c>
      <c r="V38" s="1560" t="s">
        <v>11</v>
      </c>
      <c r="W38" s="1561">
        <f t="shared" si="14"/>
        <v>100</v>
      </c>
      <c r="X38" s="1554"/>
      <c r="Y38" s="3368"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68"/>
      <c r="Q39" s="1559" t="str">
        <f t="shared" si="11"/>
        <v>市政基础设施</v>
      </c>
      <c r="R39" s="1560" t="s">
        <v>11</v>
      </c>
      <c r="S39" s="1561">
        <f t="shared" si="12"/>
        <v>100</v>
      </c>
      <c r="T39" s="1560" t="s">
        <v>11</v>
      </c>
      <c r="U39" s="1561">
        <f t="shared" si="13"/>
        <v>100</v>
      </c>
      <c r="V39" s="1560" t="s">
        <v>11</v>
      </c>
      <c r="W39" s="1561">
        <f t="shared" si="14"/>
        <v>100</v>
      </c>
      <c r="X39" s="1554"/>
      <c r="Y39" s="336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68"/>
      <c r="Q40" s="1559" t="str">
        <f t="shared" si="11"/>
        <v>房型</v>
      </c>
      <c r="R40" s="1560" t="s">
        <v>11</v>
      </c>
      <c r="S40" s="1561">
        <f t="shared" si="12"/>
        <v>100</v>
      </c>
      <c r="T40" s="1560" t="s">
        <v>11</v>
      </c>
      <c r="U40" s="1561">
        <f t="shared" si="13"/>
        <v>100</v>
      </c>
      <c r="V40" s="1560" t="s">
        <v>11</v>
      </c>
      <c r="W40" s="1561">
        <f t="shared" si="14"/>
        <v>100</v>
      </c>
      <c r="X40" s="1554"/>
      <c r="Y40" s="336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68"/>
      <c r="Q41" s="1591" t="str">
        <f t="shared" si="11"/>
        <v>单套/主力户型建筑面积</v>
      </c>
      <c r="R41" s="1564" t="s">
        <v>11</v>
      </c>
      <c r="S41" s="1565">
        <f t="shared" si="12"/>
        <v>100</v>
      </c>
      <c r="T41" s="1564" t="s">
        <v>11</v>
      </c>
      <c r="U41" s="1565">
        <f t="shared" si="13"/>
        <v>100</v>
      </c>
      <c r="V41" s="1564" t="s">
        <v>11</v>
      </c>
      <c r="W41" s="1565">
        <f t="shared" si="14"/>
        <v>100</v>
      </c>
      <c r="X41" s="1566"/>
      <c r="Y41" s="3368"/>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68"/>
      <c r="Q42" s="1559" t="str">
        <f t="shared" si="11"/>
        <v>内部装修</v>
      </c>
      <c r="R42" s="1560" t="s">
        <v>11</v>
      </c>
      <c r="S42" s="1561">
        <f t="shared" si="12"/>
        <v>100</v>
      </c>
      <c r="T42" s="1560" t="s">
        <v>11</v>
      </c>
      <c r="U42" s="1561">
        <f t="shared" si="13"/>
        <v>100</v>
      </c>
      <c r="V42" s="1560" t="s">
        <v>11</v>
      </c>
      <c r="W42" s="1561">
        <f t="shared" si="14"/>
        <v>100</v>
      </c>
      <c r="X42" s="1554"/>
      <c r="Y42" s="3368"/>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68"/>
      <c r="Q43" s="1559" t="str">
        <f t="shared" si="11"/>
        <v>内部装修维护情况</v>
      </c>
      <c r="R43" s="1560" t="s">
        <v>11</v>
      </c>
      <c r="S43" s="1561">
        <f t="shared" si="12"/>
        <v>100</v>
      </c>
      <c r="T43" s="1560" t="s">
        <v>11</v>
      </c>
      <c r="U43" s="1561">
        <f t="shared" si="13"/>
        <v>100</v>
      </c>
      <c r="V43" s="1560" t="s">
        <v>11</v>
      </c>
      <c r="W43" s="1561">
        <f t="shared" si="14"/>
        <v>100</v>
      </c>
      <c r="X43" s="1554"/>
      <c r="Y43" s="336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68"/>
      <c r="Q44" s="1147">
        <f t="shared" si="11"/>
        <v>111</v>
      </c>
      <c r="R44" s="1555" t="s">
        <v>11</v>
      </c>
      <c r="S44" s="1556">
        <f t="shared" si="12"/>
        <v>100</v>
      </c>
      <c r="T44" s="1555" t="s">
        <v>11</v>
      </c>
      <c r="U44" s="1556">
        <f t="shared" si="13"/>
        <v>100</v>
      </c>
      <c r="V44" s="1555" t="s">
        <v>11</v>
      </c>
      <c r="W44" s="1556">
        <f t="shared" si="14"/>
        <v>100</v>
      </c>
      <c r="X44" s="1557"/>
      <c r="Y44" s="336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68"/>
      <c r="Q45" s="1559">
        <f t="shared" si="11"/>
        <v>111</v>
      </c>
      <c r="R45" s="1560" t="s">
        <v>11</v>
      </c>
      <c r="S45" s="1561">
        <f t="shared" si="12"/>
        <v>100</v>
      </c>
      <c r="T45" s="1560" t="s">
        <v>11</v>
      </c>
      <c r="U45" s="1561">
        <f t="shared" si="13"/>
        <v>100</v>
      </c>
      <c r="V45" s="1560" t="s">
        <v>11</v>
      </c>
      <c r="W45" s="1561">
        <f t="shared" si="14"/>
        <v>100</v>
      </c>
      <c r="X45" s="1554"/>
      <c r="Y45" s="3368"/>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68"/>
      <c r="Q46" s="1559">
        <f t="shared" si="11"/>
        <v>111</v>
      </c>
      <c r="R46" s="1560" t="s">
        <v>10</v>
      </c>
      <c r="S46" s="1561">
        <f t="shared" si="12"/>
        <v>100</v>
      </c>
      <c r="T46" s="1560" t="s">
        <v>10</v>
      </c>
      <c r="U46" s="1561">
        <f t="shared" si="13"/>
        <v>100</v>
      </c>
      <c r="V46" s="1560" t="s">
        <v>10</v>
      </c>
      <c r="W46" s="1561">
        <f t="shared" si="14"/>
        <v>100</v>
      </c>
      <c r="X46" s="1554"/>
      <c r="Y46" s="346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63" t="str">
        <f>A47</f>
        <v>成交单价（元/平方米）</v>
      </c>
      <c r="Q47" s="3363"/>
      <c r="R47" s="3467">
        <f>E47</f>
        <v>0</v>
      </c>
      <c r="S47" s="3467"/>
      <c r="T47" s="3467">
        <f>G47</f>
        <v>0</v>
      </c>
      <c r="U47" s="3467"/>
      <c r="V47" s="3467">
        <f>I47</f>
        <v>0</v>
      </c>
      <c r="W47" s="346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363" t="str">
        <f>A48</f>
        <v>比较价格（元/平方米）</v>
      </c>
      <c r="Q48" s="336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384" t="str">
        <f>A49</f>
        <v>估价对象XX用房的比较价格（楼面单价，元/平方米）</v>
      </c>
      <c r="Q49" s="3385"/>
      <c r="R49" s="3466" t="e">
        <f>IF(F1="售价",ROUND(AVERAGE(R48:V48),0),ROUND(AVERAGE(R48:V48),1))</f>
        <v>#DIV/0!</v>
      </c>
      <c r="S49" s="3466"/>
      <c r="T49" s="3466"/>
      <c r="U49" s="3466"/>
      <c r="V49" s="3466"/>
      <c r="W49" s="346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9" t="s">
        <v>522</v>
      </c>
      <c r="D4" s="3370"/>
      <c r="E4" s="3393" t="s">
        <v>523</v>
      </c>
      <c r="F4" s="3394"/>
      <c r="G4" s="3369" t="s">
        <v>524</v>
      </c>
      <c r="H4" s="3370"/>
      <c r="I4" s="3369" t="s">
        <v>525</v>
      </c>
      <c r="J4" s="3370"/>
      <c r="K4" s="514" t="s">
        <v>526</v>
      </c>
      <c r="L4" s="2119"/>
      <c r="M4" s="2120"/>
      <c r="N4" s="2120"/>
      <c r="O4" s="2120"/>
      <c r="P4" s="3371" t="s">
        <v>527</v>
      </c>
      <c r="Q4" s="3372"/>
      <c r="R4" s="3357" t="s">
        <v>523</v>
      </c>
      <c r="S4" s="3358"/>
      <c r="T4" s="3357" t="s">
        <v>524</v>
      </c>
      <c r="U4" s="3358"/>
      <c r="V4" s="3377" t="s">
        <v>525</v>
      </c>
      <c r="W4" s="3377"/>
      <c r="X4" s="1554"/>
      <c r="Y4" s="3357" t="s">
        <v>527</v>
      </c>
      <c r="Z4" s="3358"/>
      <c r="AA4" s="3352" t="s">
        <v>523</v>
      </c>
      <c r="AB4" s="3377" t="s">
        <v>524</v>
      </c>
      <c r="AC4" s="3352" t="s">
        <v>525</v>
      </c>
    </row>
    <row r="5" spans="1:29" ht="15">
      <c r="A5" s="515"/>
      <c r="B5" s="516"/>
      <c r="C5" s="3380" t="s">
        <v>2931</v>
      </c>
      <c r="D5" s="3381"/>
      <c r="E5" s="3395" t="s">
        <v>2932</v>
      </c>
      <c r="F5" s="3396"/>
      <c r="G5" s="3380" t="s">
        <v>2933</v>
      </c>
      <c r="H5" s="3381"/>
      <c r="I5" s="3380" t="s">
        <v>2934</v>
      </c>
      <c r="J5" s="3381"/>
      <c r="K5" s="514"/>
      <c r="L5" s="2119"/>
      <c r="M5" s="2120"/>
      <c r="N5" s="2120"/>
      <c r="O5" s="2120"/>
      <c r="P5" s="3373"/>
      <c r="Q5" s="3374"/>
      <c r="R5" s="3359"/>
      <c r="S5" s="3360"/>
      <c r="T5" s="3359"/>
      <c r="U5" s="3360"/>
      <c r="V5" s="3377"/>
      <c r="W5" s="3377"/>
      <c r="X5" s="1554"/>
      <c r="Y5" s="3359"/>
      <c r="Z5" s="3360"/>
      <c r="AA5" s="3353"/>
      <c r="AB5" s="3377"/>
      <c r="AC5" s="3353"/>
    </row>
    <row r="6" spans="1:29" ht="15.75" thickBot="1">
      <c r="A6" s="517"/>
      <c r="B6" s="518"/>
      <c r="C6" s="3378" t="s">
        <v>2935</v>
      </c>
      <c r="D6" s="3379"/>
      <c r="E6" s="3397" t="s">
        <v>2935</v>
      </c>
      <c r="F6" s="3398"/>
      <c r="G6" s="3378" t="s">
        <v>2935</v>
      </c>
      <c r="H6" s="3379"/>
      <c r="I6" s="3378" t="s">
        <v>2935</v>
      </c>
      <c r="J6" s="3379"/>
      <c r="K6" s="514" t="s">
        <v>528</v>
      </c>
      <c r="L6" s="2119"/>
      <c r="M6" s="2120"/>
      <c r="N6" s="2120"/>
      <c r="O6" s="2120"/>
      <c r="P6" s="3375"/>
      <c r="Q6" s="3376"/>
      <c r="R6" s="3359"/>
      <c r="S6" s="3360"/>
      <c r="T6" s="3361"/>
      <c r="U6" s="3362"/>
      <c r="V6" s="3377"/>
      <c r="W6" s="3377"/>
      <c r="X6" s="1554"/>
      <c r="Y6" s="3361"/>
      <c r="Z6" s="3362"/>
      <c r="AA6" s="3354"/>
      <c r="AB6" s="3377"/>
      <c r="AC6" s="3354"/>
    </row>
    <row r="7" spans="1:29" s="1216" customFormat="1" ht="15.75" thickBot="1">
      <c r="A7" s="2867"/>
      <c r="B7" s="2874" t="s">
        <v>529</v>
      </c>
      <c r="C7" s="519">
        <f>'数据-取费表'!B2</f>
        <v>43768</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55" t="s">
        <v>530</v>
      </c>
      <c r="Q7" s="3364"/>
      <c r="R7" s="1555" t="s">
        <v>8</v>
      </c>
      <c r="S7" s="1556">
        <f t="shared" ref="S7:S15" si="0">F7</f>
        <v>0</v>
      </c>
      <c r="T7" s="1555" t="s">
        <v>8</v>
      </c>
      <c r="U7" s="1556">
        <f t="shared" ref="U7:U15" si="1">H7</f>
        <v>0</v>
      </c>
      <c r="V7" s="1555" t="s">
        <v>8</v>
      </c>
      <c r="W7" s="1556">
        <f t="shared" ref="W7:W15"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55" t="s">
        <v>533</v>
      </c>
      <c r="Q8" s="3356"/>
      <c r="R8" s="1555" t="s">
        <v>8</v>
      </c>
      <c r="S8" s="1556">
        <f t="shared" si="0"/>
        <v>0</v>
      </c>
      <c r="T8" s="1555" t="s">
        <v>8</v>
      </c>
      <c r="U8" s="1556">
        <f t="shared" si="1"/>
        <v>0</v>
      </c>
      <c r="V8" s="1555" t="s">
        <v>8</v>
      </c>
      <c r="W8" s="1556">
        <f t="shared" si="2"/>
        <v>0</v>
      </c>
      <c r="X8" s="1557"/>
      <c r="Y8" s="3355" t="s">
        <v>533</v>
      </c>
      <c r="Z8" s="3356"/>
      <c r="AA8" s="1558" t="e">
        <f t="shared" ref="AA8:AA46" si="3">D8/F8</f>
        <v>#DIV/0!</v>
      </c>
      <c r="AB8" s="1558" t="e">
        <f t="shared" ref="AB8:AB46" si="4">D8/H8</f>
        <v>#DIV/0!</v>
      </c>
      <c r="AC8" s="1558" t="e">
        <f t="shared" ref="AC8:AC46" si="5">D8/J8</f>
        <v>#DIV/0!</v>
      </c>
    </row>
    <row r="9" spans="1:29" s="1216" customFormat="1" ht="15">
      <c r="A9" s="2869"/>
      <c r="B9" s="2876"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20"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3"/>
      <c r="Q11" s="1147" t="str">
        <f t="shared" si="6"/>
        <v>容积率</v>
      </c>
      <c r="R11" s="1555" t="s">
        <v>8</v>
      </c>
      <c r="S11" s="1556" t="e">
        <f t="shared" si="0"/>
        <v>#N/A</v>
      </c>
      <c r="T11" s="1555" t="s">
        <v>8</v>
      </c>
      <c r="U11" s="1556" t="e">
        <f t="shared" si="1"/>
        <v>#N/A</v>
      </c>
      <c r="V11" s="1555" t="s">
        <v>8</v>
      </c>
      <c r="W11" s="1556" t="e">
        <f t="shared" si="2"/>
        <v>#N/A</v>
      </c>
      <c r="X11" s="1557"/>
      <c r="Y11" s="332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20"/>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20"/>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20"/>
      <c r="Z14" s="1146">
        <f t="shared" si="7"/>
        <v>111</v>
      </c>
      <c r="AA14" s="1558">
        <f t="shared" si="3"/>
        <v>1</v>
      </c>
      <c r="AB14" s="1558">
        <f t="shared" si="4"/>
        <v>1</v>
      </c>
      <c r="AC14" s="1558">
        <f t="shared" si="5"/>
        <v>1</v>
      </c>
    </row>
    <row r="15" spans="1:29" ht="71.25">
      <c r="A15" s="2865"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65" t="s">
        <v>540</v>
      </c>
      <c r="Q15" s="1559" t="str">
        <f t="shared" si="6"/>
        <v>商业繁华度</v>
      </c>
      <c r="R15" s="1560" t="s">
        <v>8</v>
      </c>
      <c r="S15" s="1561">
        <f t="shared" si="0"/>
        <v>100</v>
      </c>
      <c r="T15" s="1560" t="s">
        <v>8</v>
      </c>
      <c r="U15" s="1561">
        <f t="shared" si="1"/>
        <v>100</v>
      </c>
      <c r="V15" s="1560" t="s">
        <v>8</v>
      </c>
      <c r="W15" s="1561">
        <f t="shared" si="2"/>
        <v>100</v>
      </c>
      <c r="X15" s="1554"/>
      <c r="Y15" s="336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6"/>
      <c r="Q16" s="1559"/>
      <c r="R16" s="1560"/>
      <c r="S16" s="1561"/>
      <c r="T16" s="1560"/>
      <c r="U16" s="1561"/>
      <c r="V16" s="1560"/>
      <c r="W16" s="1561"/>
      <c r="X16" s="1554"/>
      <c r="Y16" s="336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66"/>
      <c r="Q17" s="1559" t="str">
        <f>B17</f>
        <v>交通便捷度</v>
      </c>
      <c r="R17" s="1560" t="s">
        <v>8</v>
      </c>
      <c r="S17" s="1561">
        <f>F17</f>
        <v>100</v>
      </c>
      <c r="T17" s="1560" t="s">
        <v>8</v>
      </c>
      <c r="U17" s="1561">
        <f>H17</f>
        <v>100</v>
      </c>
      <c r="V17" s="1560" t="s">
        <v>8</v>
      </c>
      <c r="W17" s="1561">
        <f>J17</f>
        <v>100</v>
      </c>
      <c r="X17" s="1554"/>
      <c r="Y17" s="336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6"/>
      <c r="Q18" s="1559"/>
      <c r="R18" s="1560"/>
      <c r="S18" s="1561"/>
      <c r="T18" s="1560"/>
      <c r="U18" s="1561"/>
      <c r="V18" s="1560"/>
      <c r="W18" s="1561"/>
      <c r="X18" s="1554"/>
      <c r="Y18" s="336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66"/>
      <c r="Q19" s="1559" t="str">
        <f>B19</f>
        <v>公共配套设施</v>
      </c>
      <c r="R19" s="1560" t="s">
        <v>8</v>
      </c>
      <c r="S19" s="1561">
        <f>F19</f>
        <v>100</v>
      </c>
      <c r="T19" s="1560" t="s">
        <v>8</v>
      </c>
      <c r="U19" s="1561">
        <f>H19</f>
        <v>100</v>
      </c>
      <c r="V19" s="1560" t="s">
        <v>8</v>
      </c>
      <c r="W19" s="1561">
        <f>J19</f>
        <v>100</v>
      </c>
      <c r="X19" s="1554"/>
      <c r="Y19" s="336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66"/>
      <c r="Q20" s="1559"/>
      <c r="R20" s="1560"/>
      <c r="S20" s="1561"/>
      <c r="T20" s="1560"/>
      <c r="U20" s="1561"/>
      <c r="V20" s="1560"/>
      <c r="W20" s="1561"/>
      <c r="X20" s="1554"/>
      <c r="Y20" s="336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66"/>
      <c r="Q21" s="2544" t="str">
        <f>B21</f>
        <v>基础设施水平</v>
      </c>
      <c r="R21" s="1560" t="s">
        <v>8</v>
      </c>
      <c r="S21" s="1561">
        <f>F21</f>
        <v>100</v>
      </c>
      <c r="T21" s="1560" t="s">
        <v>8</v>
      </c>
      <c r="U21" s="1561">
        <f>H21</f>
        <v>100</v>
      </c>
      <c r="V21" s="1560" t="s">
        <v>8</v>
      </c>
      <c r="W21" s="1561">
        <f>J21</f>
        <v>100</v>
      </c>
      <c r="X21" s="2546"/>
      <c r="Y21" s="336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66"/>
      <c r="Q22" s="2544"/>
      <c r="R22" s="1560"/>
      <c r="S22" s="1561"/>
      <c r="T22" s="1560"/>
      <c r="U22" s="1561"/>
      <c r="V22" s="1560"/>
      <c r="W22" s="1561"/>
      <c r="X22" s="2546"/>
      <c r="Y22" s="336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66"/>
      <c r="Q23" s="1559" t="str">
        <f>B23</f>
        <v>自然及人文环境</v>
      </c>
      <c r="R23" s="1560" t="s">
        <v>8</v>
      </c>
      <c r="S23" s="1561">
        <f>F23</f>
        <v>100</v>
      </c>
      <c r="T23" s="1560" t="s">
        <v>8</v>
      </c>
      <c r="U23" s="1561">
        <f>H23</f>
        <v>100</v>
      </c>
      <c r="V23" s="1560" t="s">
        <v>8</v>
      </c>
      <c r="W23" s="1561">
        <f>J23</f>
        <v>100</v>
      </c>
      <c r="X23" s="1554"/>
      <c r="Y23" s="336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66"/>
      <c r="Q24" s="1559"/>
      <c r="R24" s="1560"/>
      <c r="S24" s="1561"/>
      <c r="T24" s="1560"/>
      <c r="U24" s="1561"/>
      <c r="V24" s="1560"/>
      <c r="W24" s="1561"/>
      <c r="X24" s="1554"/>
      <c r="Y24" s="336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66"/>
      <c r="Q25" s="1559" t="str">
        <f t="shared" ref="Q25:Q46" si="11">B25</f>
        <v>临街状况</v>
      </c>
      <c r="R25" s="1560" t="s">
        <v>8</v>
      </c>
      <c r="S25" s="1561">
        <f>F25</f>
        <v>100</v>
      </c>
      <c r="T25" s="1560" t="s">
        <v>8</v>
      </c>
      <c r="U25" s="1561">
        <f>H25</f>
        <v>100</v>
      </c>
      <c r="V25" s="1560" t="s">
        <v>8</v>
      </c>
      <c r="W25" s="1561">
        <f>J25</f>
        <v>100</v>
      </c>
      <c r="X25" s="1554"/>
      <c r="Y25" s="336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66"/>
      <c r="Q26" s="1559" t="str">
        <f t="shared" si="11"/>
        <v>平面位置/可视性</v>
      </c>
      <c r="R26" s="1560" t="s">
        <v>8</v>
      </c>
      <c r="S26" s="1561">
        <f>F26</f>
        <v>100</v>
      </c>
      <c r="T26" s="1560" t="s">
        <v>8</v>
      </c>
      <c r="U26" s="1561">
        <f>H26</f>
        <v>100</v>
      </c>
      <c r="V26" s="1560" t="s">
        <v>8</v>
      </c>
      <c r="W26" s="1561">
        <f>J26</f>
        <v>100</v>
      </c>
      <c r="X26" s="1554"/>
      <c r="Y26" s="336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66"/>
      <c r="Q27" s="1147" t="str">
        <f t="shared" si="11"/>
        <v>人流量</v>
      </c>
      <c r="R27" s="1555" t="s">
        <v>8</v>
      </c>
      <c r="S27" s="1556">
        <f>F27</f>
        <v>100</v>
      </c>
      <c r="T27" s="1555" t="s">
        <v>8</v>
      </c>
      <c r="U27" s="1556">
        <f>H27</f>
        <v>100</v>
      </c>
      <c r="V27" s="1555" t="s">
        <v>8</v>
      </c>
      <c r="W27" s="1556">
        <f>J27</f>
        <v>100</v>
      </c>
      <c r="X27" s="1557"/>
      <c r="Y27" s="336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6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6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66"/>
      <c r="Q29" s="1559">
        <f t="shared" si="11"/>
        <v>111</v>
      </c>
      <c r="R29" s="1560" t="s">
        <v>8</v>
      </c>
      <c r="S29" s="1561">
        <f t="shared" si="12"/>
        <v>100</v>
      </c>
      <c r="T29" s="1560" t="s">
        <v>8</v>
      </c>
      <c r="U29" s="1561">
        <f t="shared" si="13"/>
        <v>100</v>
      </c>
      <c r="V29" s="1560" t="s">
        <v>8</v>
      </c>
      <c r="W29" s="1561">
        <f t="shared" si="14"/>
        <v>100</v>
      </c>
      <c r="X29" s="1554"/>
      <c r="Y29" s="336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66"/>
      <c r="Q30" s="1559">
        <f t="shared" si="11"/>
        <v>111</v>
      </c>
      <c r="R30" s="1560" t="s">
        <v>8</v>
      </c>
      <c r="S30" s="1561">
        <f t="shared" si="12"/>
        <v>100</v>
      </c>
      <c r="T30" s="1560" t="s">
        <v>8</v>
      </c>
      <c r="U30" s="1561">
        <f t="shared" si="13"/>
        <v>100</v>
      </c>
      <c r="V30" s="1560" t="s">
        <v>8</v>
      </c>
      <c r="W30" s="1561">
        <f t="shared" si="14"/>
        <v>100</v>
      </c>
      <c r="X30" s="1554"/>
      <c r="Y30" s="336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66"/>
      <c r="Q31" s="1559">
        <f t="shared" si="11"/>
        <v>111</v>
      </c>
      <c r="R31" s="1560" t="s">
        <v>8</v>
      </c>
      <c r="S31" s="1561">
        <f t="shared" si="12"/>
        <v>100</v>
      </c>
      <c r="T31" s="1560" t="s">
        <v>8</v>
      </c>
      <c r="U31" s="1561">
        <f t="shared" si="13"/>
        <v>100</v>
      </c>
      <c r="V31" s="1560" t="s">
        <v>8</v>
      </c>
      <c r="W31" s="1561">
        <f t="shared" si="14"/>
        <v>100</v>
      </c>
      <c r="X31" s="1554"/>
      <c r="Y31" s="336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67" t="s">
        <v>550</v>
      </c>
      <c r="Q32" s="1559" t="str">
        <f t="shared" si="11"/>
        <v>商业类型</v>
      </c>
      <c r="R32" s="1560" t="s">
        <v>8</v>
      </c>
      <c r="S32" s="1561">
        <f t="shared" si="12"/>
        <v>100</v>
      </c>
      <c r="T32" s="1560" t="s">
        <v>8</v>
      </c>
      <c r="U32" s="1561">
        <f t="shared" si="13"/>
        <v>100</v>
      </c>
      <c r="V32" s="1560" t="s">
        <v>8</v>
      </c>
      <c r="W32" s="1561">
        <f t="shared" si="14"/>
        <v>100</v>
      </c>
      <c r="X32" s="1554"/>
      <c r="Y32" s="336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68"/>
      <c r="Q33" s="1591" t="str">
        <f t="shared" si="11"/>
        <v>项目建筑规模</v>
      </c>
      <c r="R33" s="1564" t="s">
        <v>8</v>
      </c>
      <c r="S33" s="1565" t="e">
        <f t="shared" si="12"/>
        <v>#N/A</v>
      </c>
      <c r="T33" s="1564" t="s">
        <v>8</v>
      </c>
      <c r="U33" s="1565" t="e">
        <f t="shared" si="13"/>
        <v>#N/A</v>
      </c>
      <c r="V33" s="1564" t="s">
        <v>8</v>
      </c>
      <c r="W33" s="1565" t="e">
        <f t="shared" si="14"/>
        <v>#N/A</v>
      </c>
      <c r="X33" s="1566"/>
      <c r="Y33" s="336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68"/>
      <c r="Q34" s="1559" t="str">
        <f t="shared" si="11"/>
        <v>建筑结构</v>
      </c>
      <c r="R34" s="1560" t="s">
        <v>8</v>
      </c>
      <c r="S34" s="1561">
        <f t="shared" si="12"/>
        <v>100</v>
      </c>
      <c r="T34" s="1560" t="s">
        <v>8</v>
      </c>
      <c r="U34" s="1561">
        <f t="shared" si="13"/>
        <v>100</v>
      </c>
      <c r="V34" s="1560" t="s">
        <v>8</v>
      </c>
      <c r="W34" s="1561">
        <f t="shared" si="14"/>
        <v>100</v>
      </c>
      <c r="X34" s="1554"/>
      <c r="Y34" s="336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68"/>
      <c r="Q35" s="1559" t="str">
        <f t="shared" si="11"/>
        <v>公共部分装修</v>
      </c>
      <c r="R35" s="1560" t="s">
        <v>8</v>
      </c>
      <c r="S35" s="1561">
        <f t="shared" si="12"/>
        <v>100</v>
      </c>
      <c r="T35" s="1560" t="s">
        <v>8</v>
      </c>
      <c r="U35" s="1561">
        <f t="shared" si="13"/>
        <v>100</v>
      </c>
      <c r="V35" s="1560" t="s">
        <v>8</v>
      </c>
      <c r="W35" s="1561">
        <f t="shared" si="14"/>
        <v>100</v>
      </c>
      <c r="X35" s="1554"/>
      <c r="Y35" s="336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68"/>
      <c r="Q36" s="1559" t="str">
        <f t="shared" si="11"/>
        <v>成新度</v>
      </c>
      <c r="R36" s="1560" t="s">
        <v>8</v>
      </c>
      <c r="S36" s="1561" t="e">
        <f t="shared" si="12"/>
        <v>#N/A</v>
      </c>
      <c r="T36" s="1560" t="s">
        <v>8</v>
      </c>
      <c r="U36" s="1561" t="e">
        <f t="shared" si="13"/>
        <v>#N/A</v>
      </c>
      <c r="V36" s="1560" t="s">
        <v>8</v>
      </c>
      <c r="W36" s="1561" t="e">
        <f t="shared" si="14"/>
        <v>#N/A</v>
      </c>
      <c r="X36" s="1554"/>
      <c r="Y36" s="336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68"/>
      <c r="Q37" s="1147" t="str">
        <f t="shared" si="11"/>
        <v>市政基础设施</v>
      </c>
      <c r="R37" s="1555" t="s">
        <v>8</v>
      </c>
      <c r="S37" s="1556">
        <f t="shared" si="12"/>
        <v>100</v>
      </c>
      <c r="T37" s="1555" t="s">
        <v>8</v>
      </c>
      <c r="U37" s="1556">
        <f t="shared" si="13"/>
        <v>100</v>
      </c>
      <c r="V37" s="1555" t="s">
        <v>8</v>
      </c>
      <c r="W37" s="1556">
        <f t="shared" si="14"/>
        <v>100</v>
      </c>
      <c r="X37" s="1557"/>
      <c r="Y37" s="336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68" t="s">
        <v>766</v>
      </c>
      <c r="Q38" s="1559" t="str">
        <f t="shared" si="11"/>
        <v>业态</v>
      </c>
      <c r="R38" s="1560" t="s">
        <v>8</v>
      </c>
      <c r="S38" s="1561">
        <f t="shared" si="12"/>
        <v>100</v>
      </c>
      <c r="T38" s="1560" t="s">
        <v>8</v>
      </c>
      <c r="U38" s="1561">
        <f t="shared" si="13"/>
        <v>100</v>
      </c>
      <c r="V38" s="1560" t="s">
        <v>8</v>
      </c>
      <c r="W38" s="1561">
        <f t="shared" si="14"/>
        <v>100</v>
      </c>
      <c r="X38" s="1554"/>
      <c r="Y38" s="336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68"/>
      <c r="Q39" s="1559" t="str">
        <f t="shared" si="11"/>
        <v>层高</v>
      </c>
      <c r="R39" s="1560" t="s">
        <v>8</v>
      </c>
      <c r="S39" s="1561">
        <f t="shared" si="12"/>
        <v>100</v>
      </c>
      <c r="T39" s="1560" t="s">
        <v>8</v>
      </c>
      <c r="U39" s="1561">
        <f t="shared" si="13"/>
        <v>100</v>
      </c>
      <c r="V39" s="1560" t="s">
        <v>8</v>
      </c>
      <c r="W39" s="1561">
        <f t="shared" si="14"/>
        <v>100</v>
      </c>
      <c r="X39" s="1554"/>
      <c r="Y39" s="336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68"/>
      <c r="Q40" s="1559" t="str">
        <f t="shared" si="11"/>
        <v>单套建筑面积</v>
      </c>
      <c r="R40" s="1560" t="s">
        <v>8</v>
      </c>
      <c r="S40" s="1561">
        <f t="shared" si="12"/>
        <v>100</v>
      </c>
      <c r="T40" s="1560" t="s">
        <v>8</v>
      </c>
      <c r="U40" s="1561">
        <f t="shared" si="13"/>
        <v>100</v>
      </c>
      <c r="V40" s="1560" t="s">
        <v>8</v>
      </c>
      <c r="W40" s="1561">
        <f t="shared" si="14"/>
        <v>100</v>
      </c>
      <c r="X40" s="1554"/>
      <c r="Y40" s="336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68"/>
      <c r="Q41" s="1591" t="str">
        <f t="shared" si="11"/>
        <v>进深比</v>
      </c>
      <c r="R41" s="1564" t="s">
        <v>8</v>
      </c>
      <c r="S41" s="1565">
        <f t="shared" si="12"/>
        <v>100</v>
      </c>
      <c r="T41" s="1564" t="s">
        <v>8</v>
      </c>
      <c r="U41" s="1565">
        <f t="shared" si="13"/>
        <v>100</v>
      </c>
      <c r="V41" s="1564" t="s">
        <v>8</v>
      </c>
      <c r="W41" s="1565">
        <f t="shared" si="14"/>
        <v>100</v>
      </c>
      <c r="X41" s="1566"/>
      <c r="Y41" s="336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68"/>
      <c r="Q42" s="1559" t="str">
        <f t="shared" si="11"/>
        <v>内部装修</v>
      </c>
      <c r="R42" s="1560" t="s">
        <v>8</v>
      </c>
      <c r="S42" s="1561">
        <f t="shared" si="12"/>
        <v>100</v>
      </c>
      <c r="T42" s="1560" t="s">
        <v>8</v>
      </c>
      <c r="U42" s="1561">
        <f t="shared" si="13"/>
        <v>100</v>
      </c>
      <c r="V42" s="1560" t="s">
        <v>8</v>
      </c>
      <c r="W42" s="1561">
        <f t="shared" si="14"/>
        <v>100</v>
      </c>
      <c r="X42" s="1554"/>
      <c r="Y42" s="336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68"/>
      <c r="Q43" s="1559" t="str">
        <f t="shared" si="11"/>
        <v>内部装修维护情况</v>
      </c>
      <c r="R43" s="1560" t="s">
        <v>8</v>
      </c>
      <c r="S43" s="1561">
        <f t="shared" si="12"/>
        <v>100</v>
      </c>
      <c r="T43" s="1560" t="s">
        <v>8</v>
      </c>
      <c r="U43" s="1561">
        <f t="shared" si="13"/>
        <v>100</v>
      </c>
      <c r="V43" s="1560" t="s">
        <v>8</v>
      </c>
      <c r="W43" s="1561">
        <f t="shared" si="14"/>
        <v>100</v>
      </c>
      <c r="X43" s="1554"/>
      <c r="Y43" s="336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68"/>
      <c r="Q44" s="1147">
        <f t="shared" si="11"/>
        <v>111</v>
      </c>
      <c r="R44" s="1555" t="s">
        <v>8</v>
      </c>
      <c r="S44" s="1556">
        <f t="shared" si="12"/>
        <v>100</v>
      </c>
      <c r="T44" s="1555" t="s">
        <v>8</v>
      </c>
      <c r="U44" s="1556">
        <f t="shared" si="13"/>
        <v>100</v>
      </c>
      <c r="V44" s="1555" t="s">
        <v>8</v>
      </c>
      <c r="W44" s="1556">
        <f t="shared" si="14"/>
        <v>100</v>
      </c>
      <c r="X44" s="1557"/>
      <c r="Y44" s="336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68"/>
      <c r="Q45" s="1559">
        <f t="shared" si="11"/>
        <v>111</v>
      </c>
      <c r="R45" s="1560" t="s">
        <v>8</v>
      </c>
      <c r="S45" s="1561">
        <f t="shared" si="12"/>
        <v>100</v>
      </c>
      <c r="T45" s="1560" t="s">
        <v>8</v>
      </c>
      <c r="U45" s="1561">
        <f t="shared" si="13"/>
        <v>100</v>
      </c>
      <c r="V45" s="1560" t="s">
        <v>8</v>
      </c>
      <c r="W45" s="1561">
        <f t="shared" si="14"/>
        <v>100</v>
      </c>
      <c r="X45" s="1554"/>
      <c r="Y45" s="336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68"/>
      <c r="Q46" s="1559">
        <f t="shared" si="11"/>
        <v>111</v>
      </c>
      <c r="R46" s="1560" t="s">
        <v>8</v>
      </c>
      <c r="S46" s="1561">
        <f t="shared" si="12"/>
        <v>100</v>
      </c>
      <c r="T46" s="1560" t="s">
        <v>8</v>
      </c>
      <c r="U46" s="1561">
        <f t="shared" si="13"/>
        <v>100</v>
      </c>
      <c r="V46" s="1560" t="s">
        <v>8</v>
      </c>
      <c r="W46" s="1561">
        <f t="shared" si="14"/>
        <v>100</v>
      </c>
      <c r="X46" s="1554"/>
      <c r="Y46" s="346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63" t="str">
        <f>A47</f>
        <v>成交单价（元/平方米）</v>
      </c>
      <c r="Q47" s="3363"/>
      <c r="R47" s="3467">
        <f>E47</f>
        <v>0</v>
      </c>
      <c r="S47" s="3467"/>
      <c r="T47" s="3467">
        <f>G47</f>
        <v>0</v>
      </c>
      <c r="U47" s="3467"/>
      <c r="V47" s="3467">
        <f>I47</f>
        <v>0</v>
      </c>
      <c r="W47" s="346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63" t="str">
        <f>A48</f>
        <v>比较价格（元/平方米）</v>
      </c>
      <c r="Q48" s="336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84" t="str">
        <f>A49</f>
        <v>估价对象XX用房的比较价格（楼面单价，元/平方米）</v>
      </c>
      <c r="Q49" s="3385"/>
      <c r="R49" s="3466" t="e">
        <f>IF(F1="售价",ROUND(AVERAGE(R48:V48),0),ROUND(AVERAGE(R48:V48),1))</f>
        <v>#DIV/0!</v>
      </c>
      <c r="S49" s="3466"/>
      <c r="T49" s="3466"/>
      <c r="U49" s="3466"/>
      <c r="V49" s="3466"/>
      <c r="W49" s="346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9" t="s">
        <v>522</v>
      </c>
      <c r="D4" s="3370"/>
      <c r="E4" s="3393" t="s">
        <v>523</v>
      </c>
      <c r="F4" s="3394"/>
      <c r="G4" s="3369" t="s">
        <v>524</v>
      </c>
      <c r="H4" s="3370"/>
      <c r="I4" s="3369" t="s">
        <v>525</v>
      </c>
      <c r="J4" s="3370"/>
      <c r="K4" s="514" t="s">
        <v>526</v>
      </c>
      <c r="L4" s="2119"/>
      <c r="M4" s="2120"/>
      <c r="N4" s="2120"/>
      <c r="O4" s="2120"/>
      <c r="P4" s="3469" t="s">
        <v>527</v>
      </c>
      <c r="Q4" s="3372"/>
      <c r="R4" s="3357" t="s">
        <v>523</v>
      </c>
      <c r="S4" s="3358"/>
      <c r="T4" s="3357" t="s">
        <v>524</v>
      </c>
      <c r="U4" s="3358"/>
      <c r="V4" s="3377" t="s">
        <v>525</v>
      </c>
      <c r="W4" s="3377"/>
      <c r="X4" s="1554"/>
      <c r="Y4" s="3357" t="s">
        <v>527</v>
      </c>
      <c r="Z4" s="3358"/>
      <c r="AA4" s="3352" t="s">
        <v>523</v>
      </c>
      <c r="AB4" s="3352" t="s">
        <v>524</v>
      </c>
      <c r="AC4" s="3352" t="s">
        <v>525</v>
      </c>
    </row>
    <row r="5" spans="1:29" ht="15">
      <c r="A5" s="515"/>
      <c r="B5" s="516"/>
      <c r="C5" s="3380" t="s">
        <v>2931</v>
      </c>
      <c r="D5" s="3381"/>
      <c r="E5" s="3395" t="s">
        <v>2932</v>
      </c>
      <c r="F5" s="3396"/>
      <c r="G5" s="3380" t="s">
        <v>2933</v>
      </c>
      <c r="H5" s="3381"/>
      <c r="I5" s="3380" t="s">
        <v>2934</v>
      </c>
      <c r="J5" s="3381"/>
      <c r="K5" s="514"/>
      <c r="L5" s="2119"/>
      <c r="M5" s="2120"/>
      <c r="N5" s="2120"/>
      <c r="O5" s="2120"/>
      <c r="P5" s="3470"/>
      <c r="Q5" s="3374"/>
      <c r="R5" s="3359"/>
      <c r="S5" s="3360"/>
      <c r="T5" s="3359"/>
      <c r="U5" s="3360"/>
      <c r="V5" s="3377"/>
      <c r="W5" s="3377"/>
      <c r="X5" s="1554"/>
      <c r="Y5" s="3359"/>
      <c r="Z5" s="3360"/>
      <c r="AA5" s="3353"/>
      <c r="AB5" s="3353"/>
      <c r="AC5" s="3353"/>
    </row>
    <row r="6" spans="1:29" ht="15.75" thickBot="1">
      <c r="A6" s="517"/>
      <c r="B6" s="518"/>
      <c r="C6" s="3378" t="s">
        <v>2935</v>
      </c>
      <c r="D6" s="3379"/>
      <c r="E6" s="3397" t="s">
        <v>2935</v>
      </c>
      <c r="F6" s="3398"/>
      <c r="G6" s="3378" t="s">
        <v>2935</v>
      </c>
      <c r="H6" s="3379"/>
      <c r="I6" s="3378" t="s">
        <v>2935</v>
      </c>
      <c r="J6" s="3379"/>
      <c r="K6" s="514" t="s">
        <v>528</v>
      </c>
      <c r="L6" s="2119"/>
      <c r="M6" s="2120"/>
      <c r="N6" s="2120"/>
      <c r="O6" s="2120"/>
      <c r="P6" s="3471"/>
      <c r="Q6" s="3376"/>
      <c r="R6" s="3359"/>
      <c r="S6" s="3360"/>
      <c r="T6" s="3361"/>
      <c r="U6" s="3362"/>
      <c r="V6" s="3377"/>
      <c r="W6" s="3377"/>
      <c r="X6" s="1554"/>
      <c r="Y6" s="3361"/>
      <c r="Z6" s="3362"/>
      <c r="AA6" s="3354"/>
      <c r="AB6" s="3354"/>
      <c r="AC6" s="3354"/>
    </row>
    <row r="7" spans="1:29" s="1216" customFormat="1" ht="15.75" thickBot="1">
      <c r="A7" s="2867"/>
      <c r="B7" s="2874" t="s">
        <v>529</v>
      </c>
      <c r="C7" s="519">
        <f>'数据-取费表'!B2</f>
        <v>43768</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64" t="s">
        <v>530</v>
      </c>
      <c r="Q7" s="3364"/>
      <c r="R7" s="1555" t="s">
        <v>8</v>
      </c>
      <c r="S7" s="1556">
        <f t="shared" ref="S7:S15" si="0">F7</f>
        <v>0</v>
      </c>
      <c r="T7" s="1555" t="s">
        <v>8</v>
      </c>
      <c r="U7" s="1556">
        <f t="shared" ref="U7:U15" si="1">H7</f>
        <v>0</v>
      </c>
      <c r="V7" s="1555" t="s">
        <v>8</v>
      </c>
      <c r="W7" s="1556">
        <f t="shared" ref="W7:W15"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64" t="s">
        <v>533</v>
      </c>
      <c r="Q8" s="3356"/>
      <c r="R8" s="1555" t="s">
        <v>8</v>
      </c>
      <c r="S8" s="1556">
        <f t="shared" si="0"/>
        <v>0</v>
      </c>
      <c r="T8" s="1555" t="s">
        <v>8</v>
      </c>
      <c r="U8" s="1556">
        <f t="shared" si="1"/>
        <v>0</v>
      </c>
      <c r="V8" s="1555" t="s">
        <v>8</v>
      </c>
      <c r="W8" s="1556">
        <f t="shared" si="2"/>
        <v>0</v>
      </c>
      <c r="X8" s="1557"/>
      <c r="Y8" s="3355" t="s">
        <v>533</v>
      </c>
      <c r="Z8" s="3356"/>
      <c r="AA8" s="1558" t="e">
        <f t="shared" ref="AA8:AA47" si="3">D8/F8</f>
        <v>#DIV/0!</v>
      </c>
      <c r="AB8" s="1558" t="e">
        <f t="shared" ref="AB8:AB47" si="4">D8/H8</f>
        <v>#DIV/0!</v>
      </c>
      <c r="AC8" s="1558" t="e">
        <f t="shared" ref="AC8:AC47" si="5">D8/J8</f>
        <v>#DIV/0!</v>
      </c>
    </row>
    <row r="9" spans="1:29" s="1216" customFormat="1" ht="15">
      <c r="A9" s="2869"/>
      <c r="B9" s="2876"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3" t="s">
        <v>535</v>
      </c>
      <c r="Q9" s="1147" t="str">
        <f t="shared" ref="Q9:Q15" si="6">B9</f>
        <v>用途</v>
      </c>
      <c r="R9" s="1555" t="s">
        <v>8</v>
      </c>
      <c r="S9" s="1556">
        <f t="shared" si="0"/>
        <v>100</v>
      </c>
      <c r="T9" s="1555" t="s">
        <v>8</v>
      </c>
      <c r="U9" s="1556">
        <f t="shared" si="1"/>
        <v>100</v>
      </c>
      <c r="V9" s="1555" t="s">
        <v>8</v>
      </c>
      <c r="W9" s="1556">
        <f t="shared" si="2"/>
        <v>100</v>
      </c>
      <c r="X9" s="1557"/>
      <c r="Y9" s="3320"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3"/>
      <c r="Q11" s="1147" t="str">
        <f t="shared" si="6"/>
        <v>容积率</v>
      </c>
      <c r="R11" s="1555" t="s">
        <v>8</v>
      </c>
      <c r="S11" s="1556" t="e">
        <f t="shared" si="0"/>
        <v>#N/A</v>
      </c>
      <c r="T11" s="1555" t="s">
        <v>8</v>
      </c>
      <c r="U11" s="1556" t="e">
        <f t="shared" si="1"/>
        <v>#N/A</v>
      </c>
      <c r="V11" s="1555" t="s">
        <v>8</v>
      </c>
      <c r="W11" s="1556" t="e">
        <f t="shared" si="2"/>
        <v>#N/A</v>
      </c>
      <c r="X11" s="1557"/>
      <c r="Y11" s="332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3"/>
      <c r="Q12" s="1147">
        <f t="shared" si="6"/>
        <v>111</v>
      </c>
      <c r="R12" s="1555" t="s">
        <v>8</v>
      </c>
      <c r="S12" s="1556">
        <f t="shared" si="0"/>
        <v>100</v>
      </c>
      <c r="T12" s="1555" t="s">
        <v>8</v>
      </c>
      <c r="U12" s="1556">
        <f t="shared" si="1"/>
        <v>100</v>
      </c>
      <c r="V12" s="1555" t="s">
        <v>8</v>
      </c>
      <c r="W12" s="1556">
        <f t="shared" si="2"/>
        <v>100</v>
      </c>
      <c r="X12" s="1557"/>
      <c r="Y12" s="3320"/>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3"/>
      <c r="Q13" s="1147">
        <f t="shared" si="6"/>
        <v>111</v>
      </c>
      <c r="R13" s="1555" t="s">
        <v>8</v>
      </c>
      <c r="S13" s="1556">
        <f t="shared" si="0"/>
        <v>100</v>
      </c>
      <c r="T13" s="1555" t="s">
        <v>8</v>
      </c>
      <c r="U13" s="1556">
        <f t="shared" si="1"/>
        <v>100</v>
      </c>
      <c r="V13" s="1555" t="s">
        <v>8</v>
      </c>
      <c r="W13" s="1556">
        <f t="shared" si="2"/>
        <v>100</v>
      </c>
      <c r="X13" s="1557"/>
      <c r="Y13" s="3320"/>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3"/>
      <c r="Q14" s="1147">
        <f t="shared" si="6"/>
        <v>111</v>
      </c>
      <c r="R14" s="1555" t="s">
        <v>8</v>
      </c>
      <c r="S14" s="1556">
        <f t="shared" si="0"/>
        <v>100</v>
      </c>
      <c r="T14" s="1555" t="s">
        <v>8</v>
      </c>
      <c r="U14" s="1556">
        <f t="shared" si="1"/>
        <v>100</v>
      </c>
      <c r="V14" s="1555" t="s">
        <v>8</v>
      </c>
      <c r="W14" s="1556">
        <f t="shared" si="2"/>
        <v>100</v>
      </c>
      <c r="X14" s="1557"/>
      <c r="Y14" s="3320"/>
      <c r="Z14" s="1146">
        <f t="shared" si="7"/>
        <v>111</v>
      </c>
      <c r="AA14" s="1558">
        <f t="shared" si="3"/>
        <v>1</v>
      </c>
      <c r="AB14" s="1558">
        <f t="shared" si="4"/>
        <v>1</v>
      </c>
      <c r="AC14" s="1558">
        <f t="shared" si="5"/>
        <v>1</v>
      </c>
    </row>
    <row r="15" spans="1:29" ht="71.25">
      <c r="A15" s="2865"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65" t="s">
        <v>540</v>
      </c>
      <c r="Q15" s="1559" t="str">
        <f t="shared" si="6"/>
        <v>办公集聚程度</v>
      </c>
      <c r="R15" s="1560" t="s">
        <v>8</v>
      </c>
      <c r="S15" s="1561">
        <f t="shared" si="0"/>
        <v>100</v>
      </c>
      <c r="T15" s="1560" t="s">
        <v>8</v>
      </c>
      <c r="U15" s="1561">
        <f t="shared" si="1"/>
        <v>100</v>
      </c>
      <c r="V15" s="1560" t="s">
        <v>8</v>
      </c>
      <c r="W15" s="1561">
        <f t="shared" si="2"/>
        <v>100</v>
      </c>
      <c r="X15" s="1554"/>
      <c r="Y15" s="336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66"/>
      <c r="Q16" s="1559"/>
      <c r="R16" s="1560"/>
      <c r="S16" s="1561"/>
      <c r="T16" s="1560"/>
      <c r="U16" s="1561"/>
      <c r="V16" s="1560"/>
      <c r="W16" s="1561"/>
      <c r="X16" s="1554"/>
      <c r="Y16" s="336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66"/>
      <c r="Q17" s="1559" t="str">
        <f>B17</f>
        <v>交通便捷度</v>
      </c>
      <c r="R17" s="1560" t="s">
        <v>8</v>
      </c>
      <c r="S17" s="1561">
        <f>F17</f>
        <v>100</v>
      </c>
      <c r="T17" s="1560" t="s">
        <v>8</v>
      </c>
      <c r="U17" s="1561">
        <f>H17</f>
        <v>100</v>
      </c>
      <c r="V17" s="1560" t="s">
        <v>8</v>
      </c>
      <c r="W17" s="1561">
        <f>J17</f>
        <v>100</v>
      </c>
      <c r="X17" s="1554"/>
      <c r="Y17" s="336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66"/>
      <c r="Q18" s="1559"/>
      <c r="R18" s="1560"/>
      <c r="S18" s="1561"/>
      <c r="T18" s="1560"/>
      <c r="U18" s="1561"/>
      <c r="V18" s="1560"/>
      <c r="W18" s="1561"/>
      <c r="X18" s="1554"/>
      <c r="Y18" s="336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66"/>
      <c r="Q19" s="1559" t="str">
        <f>B19</f>
        <v>公共配套设施</v>
      </c>
      <c r="R19" s="1560" t="s">
        <v>8</v>
      </c>
      <c r="S19" s="1561">
        <f>F19</f>
        <v>100</v>
      </c>
      <c r="T19" s="1560" t="s">
        <v>8</v>
      </c>
      <c r="U19" s="1561">
        <f>H19</f>
        <v>100</v>
      </c>
      <c r="V19" s="1560" t="s">
        <v>8</v>
      </c>
      <c r="W19" s="1561">
        <f>J19</f>
        <v>100</v>
      </c>
      <c r="X19" s="1554"/>
      <c r="Y19" s="336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66"/>
      <c r="Q20" s="1559"/>
      <c r="R20" s="1560"/>
      <c r="S20" s="1561"/>
      <c r="T20" s="1560"/>
      <c r="U20" s="1561"/>
      <c r="V20" s="1560"/>
      <c r="W20" s="1561"/>
      <c r="X20" s="1554"/>
      <c r="Y20" s="336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66"/>
      <c r="Q21" s="2544" t="str">
        <f>B21</f>
        <v>基础设施水平</v>
      </c>
      <c r="R21" s="1560" t="s">
        <v>8</v>
      </c>
      <c r="S21" s="1561">
        <f>F21</f>
        <v>100</v>
      </c>
      <c r="T21" s="1560" t="s">
        <v>8</v>
      </c>
      <c r="U21" s="1561">
        <f>H21</f>
        <v>100</v>
      </c>
      <c r="V21" s="1560" t="s">
        <v>8</v>
      </c>
      <c r="W21" s="1561">
        <f>J21</f>
        <v>100</v>
      </c>
      <c r="X21" s="2546"/>
      <c r="Y21" s="336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66"/>
      <c r="Q22" s="2544"/>
      <c r="R22" s="1560"/>
      <c r="S22" s="1561"/>
      <c r="T22" s="1560"/>
      <c r="U22" s="1561"/>
      <c r="V22" s="1560"/>
      <c r="W22" s="1561"/>
      <c r="X22" s="2546"/>
      <c r="Y22" s="336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66"/>
      <c r="Q23" s="1559" t="str">
        <f>B23</f>
        <v>环境质量</v>
      </c>
      <c r="R23" s="1560" t="s">
        <v>8</v>
      </c>
      <c r="S23" s="1561">
        <f>F23</f>
        <v>100</v>
      </c>
      <c r="T23" s="1560" t="s">
        <v>8</v>
      </c>
      <c r="U23" s="1561">
        <f>H23</f>
        <v>100</v>
      </c>
      <c r="V23" s="1560" t="s">
        <v>8</v>
      </c>
      <c r="W23" s="1561">
        <f>J23</f>
        <v>100</v>
      </c>
      <c r="X23" s="1554"/>
      <c r="Y23" s="336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66"/>
      <c r="Q24" s="1559"/>
      <c r="R24" s="1560"/>
      <c r="S24" s="1561"/>
      <c r="T24" s="1560"/>
      <c r="U24" s="1561"/>
      <c r="V24" s="1560"/>
      <c r="W24" s="1561"/>
      <c r="X24" s="1554"/>
      <c r="Y24" s="336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66"/>
      <c r="Q25" s="1559" t="str">
        <f>B25</f>
        <v>毗邻道路的类型与等级</v>
      </c>
      <c r="R25" s="1560" t="s">
        <v>8</v>
      </c>
      <c r="S25" s="1561">
        <f>F25</f>
        <v>100</v>
      </c>
      <c r="T25" s="1560" t="s">
        <v>8</v>
      </c>
      <c r="U25" s="1561">
        <f>H25</f>
        <v>100</v>
      </c>
      <c r="V25" s="1560" t="s">
        <v>8</v>
      </c>
      <c r="W25" s="1561">
        <f>J25</f>
        <v>100</v>
      </c>
      <c r="X25" s="1554"/>
      <c r="Y25" s="336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66"/>
      <c r="Q26" s="1559"/>
      <c r="R26" s="1560"/>
      <c r="S26" s="1561"/>
      <c r="T26" s="1560"/>
      <c r="U26" s="1561"/>
      <c r="V26" s="1560"/>
      <c r="W26" s="1561"/>
      <c r="X26" s="1554"/>
      <c r="Y26" s="336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66"/>
      <c r="Q27" s="1559" t="str">
        <f t="shared" ref="Q27:Q47" si="11">B27</f>
        <v>楼层</v>
      </c>
      <c r="R27" s="1560" t="s">
        <v>8</v>
      </c>
      <c r="S27" s="1561">
        <f>F27</f>
        <v>100</v>
      </c>
      <c r="T27" s="1560" t="s">
        <v>8</v>
      </c>
      <c r="U27" s="1561">
        <f>H27</f>
        <v>100</v>
      </c>
      <c r="V27" s="1560" t="s">
        <v>8</v>
      </c>
      <c r="W27" s="1561">
        <f>J27</f>
        <v>100</v>
      </c>
      <c r="X27" s="1554"/>
      <c r="Y27" s="336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66"/>
      <c r="Q28" s="1147" t="str">
        <f t="shared" si="11"/>
        <v>朝向</v>
      </c>
      <c r="R28" s="1555" t="s">
        <v>8</v>
      </c>
      <c r="S28" s="1556">
        <f>F28</f>
        <v>100</v>
      </c>
      <c r="T28" s="1555" t="s">
        <v>8</v>
      </c>
      <c r="U28" s="1556">
        <f>H28</f>
        <v>100</v>
      </c>
      <c r="V28" s="1555" t="s">
        <v>8</v>
      </c>
      <c r="W28" s="1556">
        <f>J28</f>
        <v>100</v>
      </c>
      <c r="X28" s="1557"/>
      <c r="Y28" s="336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66"/>
      <c r="Q29" s="1559">
        <f t="shared" si="11"/>
        <v>111</v>
      </c>
      <c r="R29" s="1560" t="s">
        <v>8</v>
      </c>
      <c r="S29" s="1561">
        <f t="shared" ref="S29:S47" si="12">F29</f>
        <v>100</v>
      </c>
      <c r="T29" s="1560" t="s">
        <v>8</v>
      </c>
      <c r="U29" s="1561">
        <f t="shared" ref="U29:U47" si="13">H29</f>
        <v>100</v>
      </c>
      <c r="V29" s="1560" t="s">
        <v>8</v>
      </c>
      <c r="W29" s="1561">
        <f t="shared" ref="W29:W47" si="14">J29</f>
        <v>100</v>
      </c>
      <c r="X29" s="1554"/>
      <c r="Y29" s="336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66"/>
      <c r="Q30" s="1559">
        <f t="shared" si="11"/>
        <v>111</v>
      </c>
      <c r="R30" s="1560" t="s">
        <v>8</v>
      </c>
      <c r="S30" s="1561">
        <f t="shared" si="12"/>
        <v>100</v>
      </c>
      <c r="T30" s="1560" t="s">
        <v>8</v>
      </c>
      <c r="U30" s="1561">
        <f t="shared" si="13"/>
        <v>100</v>
      </c>
      <c r="V30" s="1560" t="s">
        <v>8</v>
      </c>
      <c r="W30" s="1561">
        <f t="shared" si="14"/>
        <v>100</v>
      </c>
      <c r="X30" s="1554"/>
      <c r="Y30" s="336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66"/>
      <c r="Q31" s="1559">
        <f t="shared" si="11"/>
        <v>111</v>
      </c>
      <c r="R31" s="1560" t="s">
        <v>8</v>
      </c>
      <c r="S31" s="1561">
        <f t="shared" si="12"/>
        <v>100</v>
      </c>
      <c r="T31" s="1560" t="s">
        <v>8</v>
      </c>
      <c r="U31" s="1561">
        <f t="shared" si="13"/>
        <v>100</v>
      </c>
      <c r="V31" s="1560" t="s">
        <v>8</v>
      </c>
      <c r="W31" s="1561">
        <f t="shared" si="14"/>
        <v>100</v>
      </c>
      <c r="X31" s="1554"/>
      <c r="Y31" s="336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66"/>
      <c r="Q32" s="1559">
        <f t="shared" si="11"/>
        <v>111</v>
      </c>
      <c r="R32" s="1560" t="s">
        <v>8</v>
      </c>
      <c r="S32" s="1561">
        <f t="shared" si="12"/>
        <v>100</v>
      </c>
      <c r="T32" s="1560" t="s">
        <v>8</v>
      </c>
      <c r="U32" s="1561">
        <f t="shared" si="13"/>
        <v>100</v>
      </c>
      <c r="V32" s="1560" t="s">
        <v>8</v>
      </c>
      <c r="W32" s="1561">
        <f t="shared" si="14"/>
        <v>100</v>
      </c>
      <c r="X32" s="1554"/>
      <c r="Y32" s="336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67" t="s">
        <v>550</v>
      </c>
      <c r="Q33" s="1559" t="str">
        <f t="shared" si="11"/>
        <v>建筑类型</v>
      </c>
      <c r="R33" s="1560" t="s">
        <v>8</v>
      </c>
      <c r="S33" s="1561">
        <f t="shared" si="12"/>
        <v>100</v>
      </c>
      <c r="T33" s="1560" t="s">
        <v>8</v>
      </c>
      <c r="U33" s="1561">
        <f t="shared" si="13"/>
        <v>100</v>
      </c>
      <c r="V33" s="1560" t="s">
        <v>8</v>
      </c>
      <c r="W33" s="1561">
        <f t="shared" si="14"/>
        <v>100</v>
      </c>
      <c r="X33" s="1554"/>
      <c r="Y33" s="336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68"/>
      <c r="Q34" s="1591" t="str">
        <f t="shared" si="11"/>
        <v>项目建筑规模</v>
      </c>
      <c r="R34" s="1564" t="s">
        <v>8</v>
      </c>
      <c r="S34" s="1565" t="e">
        <f t="shared" si="12"/>
        <v>#N/A</v>
      </c>
      <c r="T34" s="1564" t="s">
        <v>8</v>
      </c>
      <c r="U34" s="1565" t="e">
        <f t="shared" si="13"/>
        <v>#N/A</v>
      </c>
      <c r="V34" s="1564" t="s">
        <v>8</v>
      </c>
      <c r="W34" s="1565" t="e">
        <f t="shared" si="14"/>
        <v>#N/A</v>
      </c>
      <c r="X34" s="1566"/>
      <c r="Y34" s="336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68"/>
      <c r="Q35" s="1559" t="str">
        <f t="shared" si="11"/>
        <v>建筑结构</v>
      </c>
      <c r="R35" s="1560" t="s">
        <v>8</v>
      </c>
      <c r="S35" s="1561">
        <f t="shared" si="12"/>
        <v>100</v>
      </c>
      <c r="T35" s="1560" t="s">
        <v>8</v>
      </c>
      <c r="U35" s="1561">
        <f t="shared" si="13"/>
        <v>100</v>
      </c>
      <c r="V35" s="1560" t="s">
        <v>8</v>
      </c>
      <c r="W35" s="1561">
        <f t="shared" si="14"/>
        <v>100</v>
      </c>
      <c r="X35" s="1554"/>
      <c r="Y35" s="336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68"/>
      <c r="Q36" s="1559" t="str">
        <f t="shared" si="11"/>
        <v>公共部分装修</v>
      </c>
      <c r="R36" s="1560" t="s">
        <v>8</v>
      </c>
      <c r="S36" s="1561">
        <f t="shared" si="12"/>
        <v>100</v>
      </c>
      <c r="T36" s="1560" t="s">
        <v>8</v>
      </c>
      <c r="U36" s="1561">
        <f t="shared" si="13"/>
        <v>100</v>
      </c>
      <c r="V36" s="1560" t="s">
        <v>8</v>
      </c>
      <c r="W36" s="1561">
        <f t="shared" si="14"/>
        <v>100</v>
      </c>
      <c r="X36" s="1554"/>
      <c r="Y36" s="336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68"/>
      <c r="Q37" s="1559" t="str">
        <f t="shared" si="11"/>
        <v>成新度</v>
      </c>
      <c r="R37" s="1560" t="s">
        <v>8</v>
      </c>
      <c r="S37" s="1561" t="e">
        <f t="shared" si="12"/>
        <v>#N/A</v>
      </c>
      <c r="T37" s="1560" t="s">
        <v>8</v>
      </c>
      <c r="U37" s="1561" t="e">
        <f t="shared" si="13"/>
        <v>#N/A</v>
      </c>
      <c r="V37" s="1560" t="s">
        <v>8</v>
      </c>
      <c r="W37" s="1561" t="e">
        <f t="shared" si="14"/>
        <v>#N/A</v>
      </c>
      <c r="X37" s="1554"/>
      <c r="Y37" s="336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68"/>
      <c r="Q38" s="1147" t="str">
        <f t="shared" si="11"/>
        <v>写字楼等级</v>
      </c>
      <c r="R38" s="1555" t="s">
        <v>8</v>
      </c>
      <c r="S38" s="1556">
        <f t="shared" si="12"/>
        <v>100</v>
      </c>
      <c r="T38" s="1555" t="s">
        <v>8</v>
      </c>
      <c r="U38" s="1556">
        <f t="shared" si="13"/>
        <v>100</v>
      </c>
      <c r="V38" s="1555" t="s">
        <v>8</v>
      </c>
      <c r="W38" s="1556">
        <f t="shared" si="14"/>
        <v>100</v>
      </c>
      <c r="X38" s="1557"/>
      <c r="Y38" s="336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68" t="s">
        <v>550</v>
      </c>
      <c r="Q39" s="1559" t="str">
        <f t="shared" si="11"/>
        <v>物业管理</v>
      </c>
      <c r="R39" s="1560" t="s">
        <v>8</v>
      </c>
      <c r="S39" s="1561">
        <f t="shared" si="12"/>
        <v>100</v>
      </c>
      <c r="T39" s="1560" t="s">
        <v>8</v>
      </c>
      <c r="U39" s="1561">
        <f t="shared" si="13"/>
        <v>100</v>
      </c>
      <c r="V39" s="1560" t="s">
        <v>8</v>
      </c>
      <c r="W39" s="1561">
        <f t="shared" si="14"/>
        <v>100</v>
      </c>
      <c r="X39" s="1554"/>
      <c r="Y39" s="336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68"/>
      <c r="Q40" s="1559" t="str">
        <f t="shared" si="11"/>
        <v>市政基础设施</v>
      </c>
      <c r="R40" s="1560" t="s">
        <v>8</v>
      </c>
      <c r="S40" s="1561">
        <f t="shared" si="12"/>
        <v>100</v>
      </c>
      <c r="T40" s="1560" t="s">
        <v>8</v>
      </c>
      <c r="U40" s="1561">
        <f t="shared" si="13"/>
        <v>100</v>
      </c>
      <c r="V40" s="1560" t="s">
        <v>8</v>
      </c>
      <c r="W40" s="1561">
        <f t="shared" si="14"/>
        <v>100</v>
      </c>
      <c r="X40" s="1554"/>
      <c r="Y40" s="336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68"/>
      <c r="Q41" s="1559" t="str">
        <f t="shared" si="11"/>
        <v>层高</v>
      </c>
      <c r="R41" s="1560" t="s">
        <v>8</v>
      </c>
      <c r="S41" s="1561">
        <f t="shared" si="12"/>
        <v>100</v>
      </c>
      <c r="T41" s="1560" t="s">
        <v>8</v>
      </c>
      <c r="U41" s="1561">
        <f t="shared" si="13"/>
        <v>100</v>
      </c>
      <c r="V41" s="1560" t="s">
        <v>8</v>
      </c>
      <c r="W41" s="1561">
        <f t="shared" si="14"/>
        <v>100</v>
      </c>
      <c r="X41" s="1554"/>
      <c r="Y41" s="336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68"/>
      <c r="Q42" s="1591" t="str">
        <f t="shared" si="11"/>
        <v>单套建筑面积</v>
      </c>
      <c r="R42" s="1564" t="s">
        <v>8</v>
      </c>
      <c r="S42" s="1565">
        <f t="shared" si="12"/>
        <v>100</v>
      </c>
      <c r="T42" s="1564" t="s">
        <v>8</v>
      </c>
      <c r="U42" s="1565">
        <f t="shared" si="13"/>
        <v>100</v>
      </c>
      <c r="V42" s="1564" t="s">
        <v>8</v>
      </c>
      <c r="W42" s="1565">
        <f t="shared" si="14"/>
        <v>100</v>
      </c>
      <c r="X42" s="1566"/>
      <c r="Y42" s="336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68"/>
      <c r="Q43" s="1559" t="str">
        <f t="shared" si="11"/>
        <v>内部装修</v>
      </c>
      <c r="R43" s="1560" t="s">
        <v>8</v>
      </c>
      <c r="S43" s="1561">
        <f t="shared" si="12"/>
        <v>100</v>
      </c>
      <c r="T43" s="1560" t="s">
        <v>8</v>
      </c>
      <c r="U43" s="1561">
        <f t="shared" si="13"/>
        <v>100</v>
      </c>
      <c r="V43" s="1560" t="s">
        <v>8</v>
      </c>
      <c r="W43" s="1561">
        <f t="shared" si="14"/>
        <v>100</v>
      </c>
      <c r="X43" s="1554"/>
      <c r="Y43" s="336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68"/>
      <c r="Q44" s="1559" t="str">
        <f t="shared" si="11"/>
        <v>内部装修维护情况</v>
      </c>
      <c r="R44" s="1560" t="s">
        <v>8</v>
      </c>
      <c r="S44" s="1561">
        <f t="shared" si="12"/>
        <v>100</v>
      </c>
      <c r="T44" s="1560" t="s">
        <v>8</v>
      </c>
      <c r="U44" s="1561">
        <f t="shared" si="13"/>
        <v>100</v>
      </c>
      <c r="V44" s="1560" t="s">
        <v>8</v>
      </c>
      <c r="W44" s="1561">
        <f t="shared" si="14"/>
        <v>100</v>
      </c>
      <c r="X44" s="1554"/>
      <c r="Y44" s="336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68"/>
      <c r="Q45" s="1147">
        <f t="shared" si="11"/>
        <v>111</v>
      </c>
      <c r="R45" s="1555" t="s">
        <v>8</v>
      </c>
      <c r="S45" s="1556">
        <f t="shared" si="12"/>
        <v>100</v>
      </c>
      <c r="T45" s="1555" t="s">
        <v>8</v>
      </c>
      <c r="U45" s="1556">
        <f t="shared" si="13"/>
        <v>100</v>
      </c>
      <c r="V45" s="1555" t="s">
        <v>8</v>
      </c>
      <c r="W45" s="1556">
        <f t="shared" si="14"/>
        <v>100</v>
      </c>
      <c r="X45" s="1557"/>
      <c r="Y45" s="336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68"/>
      <c r="Q46" s="1559">
        <f t="shared" si="11"/>
        <v>111</v>
      </c>
      <c r="R46" s="1560" t="s">
        <v>8</v>
      </c>
      <c r="S46" s="1561">
        <f t="shared" si="12"/>
        <v>100</v>
      </c>
      <c r="T46" s="1560" t="s">
        <v>8</v>
      </c>
      <c r="U46" s="1561">
        <f t="shared" si="13"/>
        <v>100</v>
      </c>
      <c r="V46" s="1560" t="s">
        <v>8</v>
      </c>
      <c r="W46" s="1561">
        <f t="shared" si="14"/>
        <v>100</v>
      </c>
      <c r="X46" s="1554"/>
      <c r="Y46" s="336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68"/>
      <c r="Q47" s="1559">
        <f t="shared" si="11"/>
        <v>111</v>
      </c>
      <c r="R47" s="1560" t="s">
        <v>8</v>
      </c>
      <c r="S47" s="1561">
        <f t="shared" si="12"/>
        <v>100</v>
      </c>
      <c r="T47" s="1560" t="s">
        <v>8</v>
      </c>
      <c r="U47" s="1561">
        <f t="shared" si="13"/>
        <v>100</v>
      </c>
      <c r="V47" s="1560" t="s">
        <v>8</v>
      </c>
      <c r="W47" s="1561">
        <f t="shared" si="14"/>
        <v>100</v>
      </c>
      <c r="X47" s="1554"/>
      <c r="Y47" s="346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5" t="str">
        <f>A48</f>
        <v>成交单价（元/平方米）</v>
      </c>
      <c r="Q48" s="3363"/>
      <c r="R48" s="3467">
        <f>E48</f>
        <v>0</v>
      </c>
      <c r="S48" s="3467"/>
      <c r="T48" s="3467">
        <f>G48</f>
        <v>0</v>
      </c>
      <c r="U48" s="3467"/>
      <c r="V48" s="3467">
        <f>I48</f>
        <v>0</v>
      </c>
      <c r="W48" s="346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85" t="str">
        <f>A49</f>
        <v>比较价格（元/平方米）</v>
      </c>
      <c r="Q49" s="336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472" t="str">
        <f>A50</f>
        <v>估价对象XX用房的比较价格（楼面单价，元/平方米）</v>
      </c>
      <c r="Q50" s="3385"/>
      <c r="R50" s="3466" t="e">
        <f>IF(F1="售价",ROUND(AVERAGE(R49:V49),0),ROUND(AVERAGE(R49:V49),1))</f>
        <v>#DIV/0!</v>
      </c>
      <c r="S50" s="3466"/>
      <c r="T50" s="3466"/>
      <c r="U50" s="3466"/>
      <c r="V50" s="3466"/>
      <c r="W50" s="346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2019-10</v>
      </c>
      <c r="D59" s="2760">
        <f>EDATE(C59,-1)</f>
        <v>43709</v>
      </c>
      <c r="E59" s="2760">
        <f t="shared" ref="E59:O59" si="16">EDATE(D59,-1)</f>
        <v>43678</v>
      </c>
      <c r="F59" s="2760">
        <f t="shared" si="16"/>
        <v>43647</v>
      </c>
      <c r="G59" s="2760">
        <f t="shared" si="16"/>
        <v>43617</v>
      </c>
      <c r="H59" s="2760">
        <f t="shared" si="16"/>
        <v>43586</v>
      </c>
      <c r="I59" s="2760">
        <f t="shared" si="16"/>
        <v>43556</v>
      </c>
      <c r="J59" s="2760">
        <f t="shared" si="16"/>
        <v>43525</v>
      </c>
      <c r="K59" s="2760">
        <f t="shared" si="16"/>
        <v>43497</v>
      </c>
      <c r="L59" s="2760">
        <f t="shared" si="16"/>
        <v>43466</v>
      </c>
      <c r="M59" s="2760">
        <f t="shared" si="16"/>
        <v>43435</v>
      </c>
      <c r="N59" s="2760">
        <f t="shared" si="16"/>
        <v>43405</v>
      </c>
      <c r="O59" s="2760">
        <f t="shared" si="16"/>
        <v>43374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9" t="s">
        <v>522</v>
      </c>
      <c r="D4" s="3370"/>
      <c r="E4" s="3393" t="s">
        <v>523</v>
      </c>
      <c r="F4" s="3394"/>
      <c r="G4" s="3369" t="s">
        <v>524</v>
      </c>
      <c r="H4" s="3370"/>
      <c r="I4" s="3369" t="s">
        <v>525</v>
      </c>
      <c r="J4" s="3370"/>
      <c r="K4" s="514" t="s">
        <v>526</v>
      </c>
      <c r="L4" s="2119"/>
      <c r="M4" s="2120"/>
      <c r="N4" s="2120"/>
      <c r="O4" s="2120"/>
      <c r="P4" s="3371" t="s">
        <v>527</v>
      </c>
      <c r="Q4" s="3372"/>
      <c r="R4" s="3357" t="s">
        <v>523</v>
      </c>
      <c r="S4" s="3358"/>
      <c r="T4" s="3357" t="s">
        <v>524</v>
      </c>
      <c r="U4" s="3358"/>
      <c r="V4" s="3377" t="s">
        <v>525</v>
      </c>
      <c r="W4" s="3377"/>
      <c r="X4" s="1554"/>
      <c r="Y4" s="3357" t="s">
        <v>527</v>
      </c>
      <c r="Z4" s="3358"/>
      <c r="AA4" s="3352" t="s">
        <v>523</v>
      </c>
      <c r="AB4" s="3353" t="s">
        <v>524</v>
      </c>
      <c r="AC4" s="3352" t="s">
        <v>525</v>
      </c>
    </row>
    <row r="5" spans="1:29" ht="15">
      <c r="A5" s="515"/>
      <c r="B5" s="516"/>
      <c r="C5" s="3380" t="s">
        <v>2931</v>
      </c>
      <c r="D5" s="3381"/>
      <c r="E5" s="3395" t="s">
        <v>2932</v>
      </c>
      <c r="F5" s="3396"/>
      <c r="G5" s="3380" t="s">
        <v>2933</v>
      </c>
      <c r="H5" s="3381"/>
      <c r="I5" s="3380" t="s">
        <v>2934</v>
      </c>
      <c r="J5" s="3381"/>
      <c r="K5" s="514"/>
      <c r="L5" s="2119"/>
      <c r="M5" s="2120"/>
      <c r="N5" s="2120"/>
      <c r="O5" s="2120"/>
      <c r="P5" s="3373"/>
      <c r="Q5" s="3374"/>
      <c r="R5" s="3359"/>
      <c r="S5" s="3360"/>
      <c r="T5" s="3359"/>
      <c r="U5" s="3360"/>
      <c r="V5" s="3377"/>
      <c r="W5" s="3377"/>
      <c r="X5" s="1554"/>
      <c r="Y5" s="3359"/>
      <c r="Z5" s="3360"/>
      <c r="AA5" s="3353"/>
      <c r="AB5" s="3353"/>
      <c r="AC5" s="3353"/>
    </row>
    <row r="6" spans="1:29" ht="15.75" thickBot="1">
      <c r="A6" s="517"/>
      <c r="B6" s="518"/>
      <c r="C6" s="3378" t="s">
        <v>2935</v>
      </c>
      <c r="D6" s="3379"/>
      <c r="E6" s="3397" t="s">
        <v>2935</v>
      </c>
      <c r="F6" s="3398"/>
      <c r="G6" s="3378" t="s">
        <v>2935</v>
      </c>
      <c r="H6" s="3379"/>
      <c r="I6" s="3378" t="s">
        <v>2935</v>
      </c>
      <c r="J6" s="3379"/>
      <c r="K6" s="514" t="s">
        <v>528</v>
      </c>
      <c r="L6" s="2119"/>
      <c r="M6" s="2120"/>
      <c r="N6" s="2120"/>
      <c r="O6" s="2120"/>
      <c r="P6" s="3375"/>
      <c r="Q6" s="3376"/>
      <c r="R6" s="3359"/>
      <c r="S6" s="3360"/>
      <c r="T6" s="3361"/>
      <c r="U6" s="3362"/>
      <c r="V6" s="3377"/>
      <c r="W6" s="3377"/>
      <c r="X6" s="1554"/>
      <c r="Y6" s="3361"/>
      <c r="Z6" s="3362"/>
      <c r="AA6" s="3354"/>
      <c r="AB6" s="3354"/>
      <c r="AC6" s="3354"/>
    </row>
    <row r="7" spans="1:29" s="1216" customFormat="1" ht="15.75" thickBot="1">
      <c r="A7" s="2867"/>
      <c r="B7" s="2874" t="s">
        <v>529</v>
      </c>
      <c r="C7" s="519">
        <f>'数据-取费表'!B2</f>
        <v>43768</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55" t="s">
        <v>530</v>
      </c>
      <c r="Q7" s="3364"/>
      <c r="R7" s="1555" t="s">
        <v>8</v>
      </c>
      <c r="S7" s="1556">
        <f t="shared" ref="S7:S15" si="0">F7</f>
        <v>0</v>
      </c>
      <c r="T7" s="1555" t="s">
        <v>8</v>
      </c>
      <c r="U7" s="1556">
        <f t="shared" ref="U7:U15" si="1">H7</f>
        <v>0</v>
      </c>
      <c r="V7" s="1555" t="s">
        <v>8</v>
      </c>
      <c r="W7" s="1556">
        <f t="shared" ref="W7:W15"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55" t="s">
        <v>533</v>
      </c>
      <c r="Q8" s="3356"/>
      <c r="R8" s="1555" t="s">
        <v>8</v>
      </c>
      <c r="S8" s="1556">
        <f t="shared" si="0"/>
        <v>0</v>
      </c>
      <c r="T8" s="1555" t="s">
        <v>8</v>
      </c>
      <c r="U8" s="1556">
        <f t="shared" si="1"/>
        <v>0</v>
      </c>
      <c r="V8" s="1555" t="s">
        <v>8</v>
      </c>
      <c r="W8" s="1556">
        <f t="shared" si="2"/>
        <v>0</v>
      </c>
      <c r="X8" s="1557"/>
      <c r="Y8" s="3355" t="s">
        <v>533</v>
      </c>
      <c r="Z8" s="3356"/>
      <c r="AA8" s="1558" t="e">
        <f t="shared" ref="AA8:AA40" si="3">D8/F8</f>
        <v>#DIV/0!</v>
      </c>
      <c r="AB8" s="1558" t="e">
        <f t="shared" ref="AB8:AB40" si="4">D8/H8</f>
        <v>#DIV/0!</v>
      </c>
      <c r="AC8" s="1558" t="e">
        <f t="shared" ref="AC8:AC40" si="5">D8/J8</f>
        <v>#DIV/0!</v>
      </c>
    </row>
    <row r="9" spans="1:29" s="1216" customFormat="1" ht="15">
      <c r="A9" s="2869"/>
      <c r="B9" s="2876"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3" t="s">
        <v>535</v>
      </c>
      <c r="Q9" s="1147" t="str">
        <f t="shared" ref="Q9:Q15" si="6">B9</f>
        <v>用途</v>
      </c>
      <c r="R9" s="1555" t="s">
        <v>8</v>
      </c>
      <c r="S9" s="1556">
        <f t="shared" si="0"/>
        <v>100</v>
      </c>
      <c r="T9" s="1555" t="s">
        <v>8</v>
      </c>
      <c r="U9" s="1556">
        <f t="shared" si="1"/>
        <v>100</v>
      </c>
      <c r="V9" s="1555" t="s">
        <v>8</v>
      </c>
      <c r="W9" s="1556">
        <f t="shared" si="2"/>
        <v>100</v>
      </c>
      <c r="X9" s="1557"/>
      <c r="Y9" s="3320" t="s">
        <v>536</v>
      </c>
      <c r="Z9" s="1146" t="str">
        <f t="shared" ref="Z9:Z15" si="7">Q9</f>
        <v>用途</v>
      </c>
      <c r="AA9" s="1558">
        <f t="shared" si="3"/>
        <v>1</v>
      </c>
      <c r="AB9" s="1558">
        <f t="shared" si="4"/>
        <v>1</v>
      </c>
      <c r="AC9" s="1558">
        <f t="shared" si="5"/>
        <v>1</v>
      </c>
    </row>
    <row r="10" spans="1:29" s="1334" customFormat="1" ht="27">
      <c r="A10" s="2870"/>
      <c r="B10" s="2875"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1"/>
      <c r="B11" s="2875"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3"/>
      <c r="Q11" s="1147" t="str">
        <f t="shared" si="6"/>
        <v>容积率</v>
      </c>
      <c r="R11" s="1555" t="s">
        <v>8</v>
      </c>
      <c r="S11" s="1556" t="e">
        <f t="shared" si="0"/>
        <v>#N/A</v>
      </c>
      <c r="T11" s="1555" t="s">
        <v>8</v>
      </c>
      <c r="U11" s="1556" t="e">
        <f t="shared" si="1"/>
        <v>#N/A</v>
      </c>
      <c r="V11" s="1555" t="s">
        <v>8</v>
      </c>
      <c r="W11" s="1556" t="e">
        <f t="shared" si="2"/>
        <v>#N/A</v>
      </c>
      <c r="X11" s="1557"/>
      <c r="Y11" s="3320"/>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20"/>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20"/>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3"/>
      <c r="Q14" s="1147">
        <f t="shared" si="6"/>
        <v>111</v>
      </c>
      <c r="R14" s="1555" t="s">
        <v>8</v>
      </c>
      <c r="S14" s="1556">
        <f t="shared" si="0"/>
        <v>100</v>
      </c>
      <c r="T14" s="1555" t="s">
        <v>8</v>
      </c>
      <c r="U14" s="1556">
        <f t="shared" si="1"/>
        <v>100</v>
      </c>
      <c r="V14" s="1555" t="s">
        <v>8</v>
      </c>
      <c r="W14" s="1556">
        <f t="shared" si="2"/>
        <v>100</v>
      </c>
      <c r="X14" s="1557"/>
      <c r="Y14" s="3320"/>
      <c r="Z14" s="1146">
        <f t="shared" si="7"/>
        <v>111</v>
      </c>
      <c r="AA14" s="1558">
        <f t="shared" si="3"/>
        <v>1</v>
      </c>
      <c r="AB14" s="1558">
        <f t="shared" si="4"/>
        <v>1</v>
      </c>
      <c r="AC14" s="1558">
        <f t="shared" si="5"/>
        <v>1</v>
      </c>
    </row>
    <row r="15" spans="1:29" ht="57">
      <c r="A15" s="2865"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65" t="s">
        <v>540</v>
      </c>
      <c r="Q15" s="1559" t="str">
        <f t="shared" si="6"/>
        <v>产业集聚程度</v>
      </c>
      <c r="R15" s="1560" t="s">
        <v>8</v>
      </c>
      <c r="S15" s="1561">
        <f t="shared" si="0"/>
        <v>100</v>
      </c>
      <c r="T15" s="1560" t="s">
        <v>8</v>
      </c>
      <c r="U15" s="1561">
        <f t="shared" si="1"/>
        <v>100</v>
      </c>
      <c r="V15" s="1560" t="s">
        <v>8</v>
      </c>
      <c r="W15" s="1561">
        <f t="shared" si="2"/>
        <v>100</v>
      </c>
      <c r="X15" s="1554"/>
      <c r="Y15" s="336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66"/>
      <c r="Q16" s="1559"/>
      <c r="R16" s="1560"/>
      <c r="S16" s="1561"/>
      <c r="T16" s="1560"/>
      <c r="U16" s="1561"/>
      <c r="V16" s="1560"/>
      <c r="W16" s="1561"/>
      <c r="X16" s="1554"/>
      <c r="Y16" s="336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66"/>
      <c r="Q17" s="1559" t="str">
        <f>B17</f>
        <v>交通便捷度</v>
      </c>
      <c r="R17" s="1560" t="s">
        <v>8</v>
      </c>
      <c r="S17" s="1561">
        <f>F17</f>
        <v>100</v>
      </c>
      <c r="T17" s="1560" t="s">
        <v>8</v>
      </c>
      <c r="U17" s="1561">
        <f>H17</f>
        <v>100</v>
      </c>
      <c r="V17" s="1560" t="s">
        <v>8</v>
      </c>
      <c r="W17" s="1561">
        <f>J17</f>
        <v>100</v>
      </c>
      <c r="X17" s="1554"/>
      <c r="Y17" s="336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66"/>
      <c r="Q18" s="1559"/>
      <c r="R18" s="1560"/>
      <c r="S18" s="1561"/>
      <c r="T18" s="1560"/>
      <c r="U18" s="1561"/>
      <c r="V18" s="1560"/>
      <c r="W18" s="1561"/>
      <c r="X18" s="1554"/>
      <c r="Y18" s="336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66"/>
      <c r="Q19" s="1559" t="str">
        <f>B19</f>
        <v>公共配套设施</v>
      </c>
      <c r="R19" s="1560" t="s">
        <v>8</v>
      </c>
      <c r="S19" s="1561">
        <f>F19</f>
        <v>100</v>
      </c>
      <c r="T19" s="1560" t="s">
        <v>8</v>
      </c>
      <c r="U19" s="1561">
        <f>H19</f>
        <v>100</v>
      </c>
      <c r="V19" s="1560" t="s">
        <v>8</v>
      </c>
      <c r="W19" s="1561">
        <f>J19</f>
        <v>100</v>
      </c>
      <c r="X19" s="1554"/>
      <c r="Y19" s="336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66"/>
      <c r="Q20" s="1559"/>
      <c r="R20" s="1560"/>
      <c r="S20" s="1561"/>
      <c r="T20" s="1560"/>
      <c r="U20" s="1561"/>
      <c r="V20" s="1560"/>
      <c r="W20" s="1561"/>
      <c r="X20" s="1554"/>
      <c r="Y20" s="336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66"/>
      <c r="Q21" s="2544" t="str">
        <f>B21</f>
        <v>基础设施水平</v>
      </c>
      <c r="R21" s="1560" t="s">
        <v>8</v>
      </c>
      <c r="S21" s="1561">
        <f>F21</f>
        <v>100</v>
      </c>
      <c r="T21" s="1560" t="s">
        <v>8</v>
      </c>
      <c r="U21" s="1561">
        <f>H21</f>
        <v>100</v>
      </c>
      <c r="V21" s="1560" t="s">
        <v>8</v>
      </c>
      <c r="W21" s="1561">
        <f>J21</f>
        <v>100</v>
      </c>
      <c r="X21" s="2546"/>
      <c r="Y21" s="336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66"/>
      <c r="Q22" s="2544"/>
      <c r="R22" s="1560"/>
      <c r="S22" s="1561"/>
      <c r="T22" s="1560"/>
      <c r="U22" s="1561"/>
      <c r="V22" s="1560"/>
      <c r="W22" s="1561"/>
      <c r="X22" s="2546"/>
      <c r="Y22" s="336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66"/>
      <c r="Q23" s="1559" t="str">
        <f>B23</f>
        <v>环境质量</v>
      </c>
      <c r="R23" s="1560" t="s">
        <v>8</v>
      </c>
      <c r="S23" s="1561">
        <f>F23</f>
        <v>100</v>
      </c>
      <c r="T23" s="1560" t="s">
        <v>8</v>
      </c>
      <c r="U23" s="1561">
        <f>H23</f>
        <v>100</v>
      </c>
      <c r="V23" s="1560" t="s">
        <v>8</v>
      </c>
      <c r="W23" s="1561">
        <f>J23</f>
        <v>100</v>
      </c>
      <c r="X23" s="1554"/>
      <c r="Y23" s="336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66"/>
      <c r="Q24" s="1559"/>
      <c r="R24" s="1560"/>
      <c r="S24" s="1561"/>
      <c r="T24" s="1560"/>
      <c r="U24" s="1561"/>
      <c r="V24" s="1560"/>
      <c r="W24" s="1561"/>
      <c r="X24" s="1554"/>
      <c r="Y24" s="336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66"/>
      <c r="Q25" s="1559">
        <f>B25</f>
        <v>111</v>
      </c>
      <c r="R25" s="1560" t="s">
        <v>8</v>
      </c>
      <c r="S25" s="1561">
        <f>F25</f>
        <v>100</v>
      </c>
      <c r="T25" s="1560" t="s">
        <v>8</v>
      </c>
      <c r="U25" s="1561">
        <f>H25</f>
        <v>100</v>
      </c>
      <c r="V25" s="1560" t="s">
        <v>8</v>
      </c>
      <c r="W25" s="1561">
        <f>J25</f>
        <v>100</v>
      </c>
      <c r="X25" s="1554"/>
      <c r="Y25" s="336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66"/>
      <c r="Q26" s="1559">
        <f t="shared" ref="Q26:Q40" si="11">B26</f>
        <v>111</v>
      </c>
      <c r="R26" s="1560" t="s">
        <v>8</v>
      </c>
      <c r="S26" s="1561">
        <f>F26</f>
        <v>100</v>
      </c>
      <c r="T26" s="1560" t="s">
        <v>8</v>
      </c>
      <c r="U26" s="1561">
        <f>H26</f>
        <v>100</v>
      </c>
      <c r="V26" s="1560" t="s">
        <v>8</v>
      </c>
      <c r="W26" s="1561">
        <f>J26</f>
        <v>100</v>
      </c>
      <c r="X26" s="1554"/>
      <c r="Y26" s="336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66"/>
      <c r="Q27" s="1147">
        <f t="shared" si="11"/>
        <v>111</v>
      </c>
      <c r="R27" s="1555" t="s">
        <v>8</v>
      </c>
      <c r="S27" s="1556">
        <f>F27</f>
        <v>100</v>
      </c>
      <c r="T27" s="1555" t="s">
        <v>8</v>
      </c>
      <c r="U27" s="1556">
        <f>H27</f>
        <v>100</v>
      </c>
      <c r="V27" s="1555" t="s">
        <v>8</v>
      </c>
      <c r="W27" s="1556">
        <f>J27</f>
        <v>100</v>
      </c>
      <c r="X27" s="1557"/>
      <c r="Y27" s="336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66"/>
      <c r="Q28" s="1559">
        <f t="shared" si="11"/>
        <v>111</v>
      </c>
      <c r="R28" s="1560" t="s">
        <v>8</v>
      </c>
      <c r="S28" s="1561">
        <f t="shared" ref="S28:S40" si="12">F28</f>
        <v>100</v>
      </c>
      <c r="T28" s="1560" t="s">
        <v>8</v>
      </c>
      <c r="U28" s="1561">
        <f t="shared" ref="U28:U40" si="13">H28</f>
        <v>100</v>
      </c>
      <c r="V28" s="1560" t="s">
        <v>8</v>
      </c>
      <c r="W28" s="1561">
        <f t="shared" ref="W28:W40" si="14">J28</f>
        <v>100</v>
      </c>
      <c r="X28" s="1554"/>
      <c r="Y28" s="336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67" t="s">
        <v>550</v>
      </c>
      <c r="Q29" s="1559" t="str">
        <f t="shared" si="11"/>
        <v>建筑类型</v>
      </c>
      <c r="R29" s="1560" t="s">
        <v>8</v>
      </c>
      <c r="S29" s="1561">
        <f t="shared" si="12"/>
        <v>100</v>
      </c>
      <c r="T29" s="1560" t="s">
        <v>8</v>
      </c>
      <c r="U29" s="1561">
        <f t="shared" si="13"/>
        <v>100</v>
      </c>
      <c r="V29" s="1560" t="s">
        <v>8</v>
      </c>
      <c r="W29" s="1561">
        <f t="shared" si="14"/>
        <v>100</v>
      </c>
      <c r="X29" s="1554"/>
      <c r="Y29" s="336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68"/>
      <c r="Q30" s="1591" t="str">
        <f t="shared" si="11"/>
        <v>项目建筑规模</v>
      </c>
      <c r="R30" s="1564" t="s">
        <v>8</v>
      </c>
      <c r="S30" s="1565" t="e">
        <f t="shared" si="12"/>
        <v>#N/A</v>
      </c>
      <c r="T30" s="1564" t="s">
        <v>8</v>
      </c>
      <c r="U30" s="1565" t="e">
        <f t="shared" si="13"/>
        <v>#N/A</v>
      </c>
      <c r="V30" s="1564" t="s">
        <v>8</v>
      </c>
      <c r="W30" s="1565" t="e">
        <f t="shared" si="14"/>
        <v>#N/A</v>
      </c>
      <c r="X30" s="1566"/>
      <c r="Y30" s="336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68"/>
      <c r="Q31" s="1559" t="str">
        <f t="shared" si="11"/>
        <v>建筑结构</v>
      </c>
      <c r="R31" s="1560" t="s">
        <v>8</v>
      </c>
      <c r="S31" s="1561">
        <f t="shared" si="12"/>
        <v>100</v>
      </c>
      <c r="T31" s="1560" t="s">
        <v>8</v>
      </c>
      <c r="U31" s="1561">
        <f t="shared" si="13"/>
        <v>100</v>
      </c>
      <c r="V31" s="1560" t="s">
        <v>8</v>
      </c>
      <c r="W31" s="1561">
        <f t="shared" si="14"/>
        <v>100</v>
      </c>
      <c r="X31" s="1554"/>
      <c r="Y31" s="336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68"/>
      <c r="Q32" s="1559" t="str">
        <f t="shared" si="11"/>
        <v>公共部分装修</v>
      </c>
      <c r="R32" s="1560" t="s">
        <v>8</v>
      </c>
      <c r="S32" s="1561">
        <f t="shared" si="12"/>
        <v>100</v>
      </c>
      <c r="T32" s="1560" t="s">
        <v>8</v>
      </c>
      <c r="U32" s="1561">
        <f t="shared" si="13"/>
        <v>100</v>
      </c>
      <c r="V32" s="1560" t="s">
        <v>8</v>
      </c>
      <c r="W32" s="1561">
        <f t="shared" si="14"/>
        <v>100</v>
      </c>
      <c r="X32" s="1554"/>
      <c r="Y32" s="336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68"/>
      <c r="Q33" s="1559" t="str">
        <f t="shared" si="11"/>
        <v>成新度</v>
      </c>
      <c r="R33" s="1560" t="s">
        <v>8</v>
      </c>
      <c r="S33" s="1561" t="e">
        <f t="shared" si="12"/>
        <v>#N/A</v>
      </c>
      <c r="T33" s="1560" t="s">
        <v>8</v>
      </c>
      <c r="U33" s="1561" t="e">
        <f t="shared" si="13"/>
        <v>#N/A</v>
      </c>
      <c r="V33" s="1560" t="s">
        <v>8</v>
      </c>
      <c r="W33" s="1561" t="e">
        <f t="shared" si="14"/>
        <v>#N/A</v>
      </c>
      <c r="X33" s="1554"/>
      <c r="Y33" s="336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68"/>
      <c r="Q34" s="1147" t="str">
        <f t="shared" si="11"/>
        <v>物业管理</v>
      </c>
      <c r="R34" s="1555" t="s">
        <v>8</v>
      </c>
      <c r="S34" s="1556">
        <f t="shared" si="12"/>
        <v>100</v>
      </c>
      <c r="T34" s="1555" t="s">
        <v>8</v>
      </c>
      <c r="U34" s="1556">
        <f t="shared" si="13"/>
        <v>100</v>
      </c>
      <c r="V34" s="1555" t="s">
        <v>8</v>
      </c>
      <c r="W34" s="1556">
        <f t="shared" si="14"/>
        <v>100</v>
      </c>
      <c r="X34" s="1557"/>
      <c r="Y34" s="336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68" t="s">
        <v>550</v>
      </c>
      <c r="Q35" s="1559" t="str">
        <f t="shared" si="11"/>
        <v>市政基础设施</v>
      </c>
      <c r="R35" s="1560" t="s">
        <v>8</v>
      </c>
      <c r="S35" s="1561">
        <f t="shared" si="12"/>
        <v>100</v>
      </c>
      <c r="T35" s="1560" t="s">
        <v>8</v>
      </c>
      <c r="U35" s="1561">
        <f t="shared" si="13"/>
        <v>100</v>
      </c>
      <c r="V35" s="1560" t="s">
        <v>8</v>
      </c>
      <c r="W35" s="1561">
        <f t="shared" si="14"/>
        <v>100</v>
      </c>
      <c r="X35" s="1554"/>
      <c r="Y35" s="336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68"/>
      <c r="Q36" s="1559" t="str">
        <f t="shared" si="11"/>
        <v>内部装修</v>
      </c>
      <c r="R36" s="1560" t="s">
        <v>8</v>
      </c>
      <c r="S36" s="1561">
        <f t="shared" si="12"/>
        <v>100</v>
      </c>
      <c r="T36" s="1560" t="s">
        <v>8</v>
      </c>
      <c r="U36" s="1561">
        <f t="shared" si="13"/>
        <v>100</v>
      </c>
      <c r="V36" s="1560" t="s">
        <v>8</v>
      </c>
      <c r="W36" s="1561">
        <f t="shared" si="14"/>
        <v>100</v>
      </c>
      <c r="X36" s="1554"/>
      <c r="Y36" s="336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68"/>
      <c r="Q37" s="1559" t="str">
        <f t="shared" si="11"/>
        <v>内部装修状况</v>
      </c>
      <c r="R37" s="1560" t="s">
        <v>8</v>
      </c>
      <c r="S37" s="1561">
        <f t="shared" si="12"/>
        <v>100</v>
      </c>
      <c r="T37" s="1560" t="s">
        <v>8</v>
      </c>
      <c r="U37" s="1561">
        <f t="shared" si="13"/>
        <v>100</v>
      </c>
      <c r="V37" s="1560" t="s">
        <v>8</v>
      </c>
      <c r="W37" s="1561">
        <f t="shared" si="14"/>
        <v>100</v>
      </c>
      <c r="X37" s="1554"/>
      <c r="Y37" s="336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68"/>
      <c r="Q38" s="1591">
        <f t="shared" si="11"/>
        <v>111</v>
      </c>
      <c r="R38" s="1564" t="s">
        <v>8</v>
      </c>
      <c r="S38" s="1565">
        <f t="shared" si="12"/>
        <v>100</v>
      </c>
      <c r="T38" s="1564" t="s">
        <v>8</v>
      </c>
      <c r="U38" s="1565">
        <f t="shared" si="13"/>
        <v>100</v>
      </c>
      <c r="V38" s="1564" t="s">
        <v>8</v>
      </c>
      <c r="W38" s="1565">
        <f t="shared" si="14"/>
        <v>100</v>
      </c>
      <c r="X38" s="1566"/>
      <c r="Y38" s="336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68"/>
      <c r="Q39" s="1559">
        <f t="shared" si="11"/>
        <v>111</v>
      </c>
      <c r="R39" s="1560" t="s">
        <v>8</v>
      </c>
      <c r="S39" s="1561">
        <f t="shared" si="12"/>
        <v>100</v>
      </c>
      <c r="T39" s="1560" t="s">
        <v>8</v>
      </c>
      <c r="U39" s="1561">
        <f t="shared" si="13"/>
        <v>100</v>
      </c>
      <c r="V39" s="1560" t="s">
        <v>8</v>
      </c>
      <c r="W39" s="1561">
        <f t="shared" si="14"/>
        <v>100</v>
      </c>
      <c r="X39" s="1554"/>
      <c r="Y39" s="336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68"/>
      <c r="Q40" s="1559">
        <f t="shared" si="11"/>
        <v>111</v>
      </c>
      <c r="R40" s="1560" t="s">
        <v>8</v>
      </c>
      <c r="S40" s="1561">
        <f t="shared" si="12"/>
        <v>100</v>
      </c>
      <c r="T40" s="1560" t="s">
        <v>8</v>
      </c>
      <c r="U40" s="1561">
        <f t="shared" si="13"/>
        <v>100</v>
      </c>
      <c r="V40" s="1560" t="s">
        <v>8</v>
      </c>
      <c r="W40" s="1561">
        <f t="shared" si="14"/>
        <v>100</v>
      </c>
      <c r="X40" s="1554"/>
      <c r="Y40" s="346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63" t="str">
        <f>A41</f>
        <v>成交单价（元/平方米）</v>
      </c>
      <c r="Q41" s="3363"/>
      <c r="R41" s="3467">
        <f>E41</f>
        <v>0</v>
      </c>
      <c r="S41" s="3467"/>
      <c r="T41" s="3467">
        <f>G41</f>
        <v>0</v>
      </c>
      <c r="U41" s="3467"/>
      <c r="V41" s="3467">
        <f>I41</f>
        <v>0</v>
      </c>
      <c r="W41" s="346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63" t="str">
        <f>A42</f>
        <v>比较价格（元/平方米）</v>
      </c>
      <c r="Q42" s="336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84" t="str">
        <f>A43</f>
        <v>估价对象XX用房的比较价格（楼面单价，元/平方米）</v>
      </c>
      <c r="Q43" s="3385"/>
      <c r="R43" s="3466" t="e">
        <f>IF(F1="售价",ROUND(AVERAGE(R42:V42),0),ROUND(AVERAGE(R42:V42),1))</f>
        <v>#DIV/0!</v>
      </c>
      <c r="S43" s="3466"/>
      <c r="T43" s="3466"/>
      <c r="U43" s="3466"/>
      <c r="V43" s="3466"/>
      <c r="W43" s="346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2019-10</v>
      </c>
      <c r="D52" s="2760">
        <f>EDATE(C52,-1)</f>
        <v>43709</v>
      </c>
      <c r="E52" s="2760">
        <f t="shared" ref="E52:O52" si="16">EDATE(D52,-1)</f>
        <v>43678</v>
      </c>
      <c r="F52" s="2760">
        <f t="shared" si="16"/>
        <v>43647</v>
      </c>
      <c r="G52" s="2760">
        <f t="shared" si="16"/>
        <v>43617</v>
      </c>
      <c r="H52" s="2760">
        <f t="shared" si="16"/>
        <v>43586</v>
      </c>
      <c r="I52" s="2760">
        <f t="shared" si="16"/>
        <v>43556</v>
      </c>
      <c r="J52" s="2760">
        <f t="shared" si="16"/>
        <v>43525</v>
      </c>
      <c r="K52" s="2760">
        <f t="shared" si="16"/>
        <v>43497</v>
      </c>
      <c r="L52" s="2760">
        <f t="shared" si="16"/>
        <v>43466</v>
      </c>
      <c r="M52" s="2760">
        <f t="shared" si="16"/>
        <v>43435</v>
      </c>
      <c r="N52" s="2760">
        <f t="shared" si="16"/>
        <v>43405</v>
      </c>
      <c r="O52" s="2760">
        <f t="shared" si="16"/>
        <v>43374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9" t="s">
        <v>798</v>
      </c>
      <c r="D4" s="3370"/>
      <c r="E4" s="3369" t="s">
        <v>799</v>
      </c>
      <c r="F4" s="3370"/>
      <c r="G4" s="3369" t="s">
        <v>800</v>
      </c>
      <c r="H4" s="3370"/>
      <c r="I4" s="3369" t="s">
        <v>801</v>
      </c>
      <c r="J4" s="3370"/>
      <c r="K4" s="514" t="s">
        <v>802</v>
      </c>
      <c r="L4" s="2119"/>
      <c r="M4" s="2120"/>
      <c r="N4" s="2120"/>
      <c r="O4" s="2120"/>
      <c r="P4" s="3371" t="s">
        <v>803</v>
      </c>
      <c r="Q4" s="3372"/>
      <c r="R4" s="3357" t="s">
        <v>799</v>
      </c>
      <c r="S4" s="3358"/>
      <c r="T4" s="3357" t="s">
        <v>800</v>
      </c>
      <c r="U4" s="3358"/>
      <c r="V4" s="3377" t="s">
        <v>801</v>
      </c>
      <c r="W4" s="3377"/>
      <c r="X4" s="1554"/>
      <c r="Y4" s="3357" t="s">
        <v>803</v>
      </c>
      <c r="Z4" s="3358"/>
      <c r="AA4" s="3352" t="s">
        <v>799</v>
      </c>
      <c r="AB4" s="3353" t="s">
        <v>800</v>
      </c>
      <c r="AC4" s="3352" t="s">
        <v>801</v>
      </c>
    </row>
    <row r="5" spans="1:29" ht="15">
      <c r="A5" s="515"/>
      <c r="B5" s="516"/>
      <c r="C5" s="3380" t="s">
        <v>2931</v>
      </c>
      <c r="D5" s="3381"/>
      <c r="E5" s="3380" t="s">
        <v>2932</v>
      </c>
      <c r="F5" s="3381"/>
      <c r="G5" s="3380" t="s">
        <v>2933</v>
      </c>
      <c r="H5" s="3381"/>
      <c r="I5" s="3380" t="s">
        <v>2934</v>
      </c>
      <c r="J5" s="3381"/>
      <c r="K5" s="514"/>
      <c r="L5" s="2119"/>
      <c r="M5" s="2120"/>
      <c r="N5" s="2120"/>
      <c r="O5" s="2120"/>
      <c r="P5" s="3373"/>
      <c r="Q5" s="3374"/>
      <c r="R5" s="3359"/>
      <c r="S5" s="3360"/>
      <c r="T5" s="3359"/>
      <c r="U5" s="3360"/>
      <c r="V5" s="3377"/>
      <c r="W5" s="3377"/>
      <c r="X5" s="1554"/>
      <c r="Y5" s="3359"/>
      <c r="Z5" s="3360"/>
      <c r="AA5" s="3353"/>
      <c r="AB5" s="3353"/>
      <c r="AC5" s="3353"/>
    </row>
    <row r="6" spans="1:29" ht="15.75" thickBot="1">
      <c r="A6" s="517"/>
      <c r="B6" s="518"/>
      <c r="C6" s="3378" t="s">
        <v>2935</v>
      </c>
      <c r="D6" s="3379"/>
      <c r="E6" s="3382" t="s">
        <v>2935</v>
      </c>
      <c r="F6" s="3383"/>
      <c r="G6" s="3378" t="s">
        <v>2935</v>
      </c>
      <c r="H6" s="3379"/>
      <c r="I6" s="3378" t="s">
        <v>2935</v>
      </c>
      <c r="J6" s="3379"/>
      <c r="K6" s="514" t="s">
        <v>528</v>
      </c>
      <c r="L6" s="2119"/>
      <c r="M6" s="2120"/>
      <c r="N6" s="2120"/>
      <c r="O6" s="2120"/>
      <c r="P6" s="3375"/>
      <c r="Q6" s="3376"/>
      <c r="R6" s="3359"/>
      <c r="S6" s="3360"/>
      <c r="T6" s="3361"/>
      <c r="U6" s="3362"/>
      <c r="V6" s="3377"/>
      <c r="W6" s="3377"/>
      <c r="X6" s="1554"/>
      <c r="Y6" s="3361"/>
      <c r="Z6" s="3362"/>
      <c r="AA6" s="3354"/>
      <c r="AB6" s="3354"/>
      <c r="AC6" s="3354"/>
    </row>
    <row r="7" spans="1:29" s="1216" customFormat="1" ht="15.75" thickBot="1">
      <c r="A7" s="2867"/>
      <c r="B7" s="2874" t="s">
        <v>529</v>
      </c>
      <c r="C7" s="519">
        <f>'数据-取费表'!B2</f>
        <v>43768</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55" t="s">
        <v>530</v>
      </c>
      <c r="Q7" s="3364"/>
      <c r="R7" s="1555" t="s">
        <v>8</v>
      </c>
      <c r="S7" s="1556">
        <f t="shared" ref="S7:S14" si="0">F7</f>
        <v>0</v>
      </c>
      <c r="T7" s="1555" t="s">
        <v>8</v>
      </c>
      <c r="U7" s="1556">
        <f t="shared" ref="U7:U14" si="1">H7</f>
        <v>0</v>
      </c>
      <c r="V7" s="1555" t="s">
        <v>8</v>
      </c>
      <c r="W7" s="1556">
        <f t="shared" ref="W7:W14"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55" t="s">
        <v>533</v>
      </c>
      <c r="Q8" s="3356"/>
      <c r="R8" s="1555" t="s">
        <v>8</v>
      </c>
      <c r="S8" s="1556">
        <f t="shared" si="0"/>
        <v>0</v>
      </c>
      <c r="T8" s="1555" t="s">
        <v>8</v>
      </c>
      <c r="U8" s="1556">
        <f t="shared" si="1"/>
        <v>0</v>
      </c>
      <c r="V8" s="1555" t="s">
        <v>8</v>
      </c>
      <c r="W8" s="1556">
        <f t="shared" si="2"/>
        <v>0</v>
      </c>
      <c r="X8" s="1557"/>
      <c r="Y8" s="3355" t="s">
        <v>533</v>
      </c>
      <c r="Z8" s="3356"/>
      <c r="AA8" s="1558" t="e">
        <f t="shared" ref="AA8:AA36" si="3">D8/F8</f>
        <v>#DIV/0!</v>
      </c>
      <c r="AB8" s="1558" t="e">
        <f t="shared" ref="AB8:AB36" si="4">D8/H8</f>
        <v>#DIV/0!</v>
      </c>
      <c r="AC8" s="1558" t="e">
        <f t="shared" ref="AC8:AC36" si="5">D8/J8</f>
        <v>#DIV/0!</v>
      </c>
    </row>
    <row r="9" spans="1:29" s="1216" customFormat="1" ht="15">
      <c r="A9" s="2869"/>
      <c r="B9" s="2876"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3" t="s">
        <v>535</v>
      </c>
      <c r="Q9" s="1147" t="str">
        <f t="shared" ref="Q9:Q14" si="6">B9</f>
        <v>用途</v>
      </c>
      <c r="R9" s="1555" t="s">
        <v>8</v>
      </c>
      <c r="S9" s="1556">
        <f t="shared" si="0"/>
        <v>100</v>
      </c>
      <c r="T9" s="1555" t="s">
        <v>8</v>
      </c>
      <c r="U9" s="1556">
        <f t="shared" si="1"/>
        <v>100</v>
      </c>
      <c r="V9" s="1555" t="s">
        <v>8</v>
      </c>
      <c r="W9" s="1556">
        <f t="shared" si="2"/>
        <v>100</v>
      </c>
      <c r="X9" s="1557"/>
      <c r="Y9" s="3320" t="s">
        <v>536</v>
      </c>
      <c r="Z9" s="1146" t="str">
        <f t="shared" ref="Z9:Z14" si="7">Q9</f>
        <v>用途</v>
      </c>
      <c r="AA9" s="1558">
        <f t="shared" si="3"/>
        <v>1</v>
      </c>
      <c r="AB9" s="1558">
        <f t="shared" si="4"/>
        <v>1</v>
      </c>
      <c r="AC9" s="1558">
        <f t="shared" si="5"/>
        <v>1</v>
      </c>
    </row>
    <row r="10" spans="1:29" s="1334" customFormat="1" ht="27">
      <c r="A10" s="2870"/>
      <c r="B10" s="2875"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20"/>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20"/>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20"/>
      <c r="Z13" s="1146">
        <f t="shared" si="7"/>
        <v>111</v>
      </c>
      <c r="AA13" s="1558">
        <f t="shared" si="3"/>
        <v>1</v>
      </c>
      <c r="AB13" s="1558">
        <f t="shared" si="4"/>
        <v>1</v>
      </c>
      <c r="AC13" s="1558">
        <f t="shared" si="5"/>
        <v>1</v>
      </c>
    </row>
    <row r="14" spans="1:29" ht="85.5">
      <c r="A14" s="2865"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65" t="s">
        <v>540</v>
      </c>
      <c r="Q14" s="1559" t="str">
        <f t="shared" si="6"/>
        <v>交通便捷度</v>
      </c>
      <c r="R14" s="1560" t="s">
        <v>8</v>
      </c>
      <c r="S14" s="1561">
        <f t="shared" si="0"/>
        <v>100</v>
      </c>
      <c r="T14" s="1560" t="s">
        <v>8</v>
      </c>
      <c r="U14" s="1561">
        <f t="shared" si="1"/>
        <v>100</v>
      </c>
      <c r="V14" s="1560" t="s">
        <v>8</v>
      </c>
      <c r="W14" s="1561">
        <f t="shared" si="2"/>
        <v>100</v>
      </c>
      <c r="X14" s="1554"/>
      <c r="Y14" s="336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66"/>
      <c r="Q15" s="1559"/>
      <c r="R15" s="1560"/>
      <c r="S15" s="1561"/>
      <c r="T15" s="1560"/>
      <c r="U15" s="1561"/>
      <c r="V15" s="1560"/>
      <c r="W15" s="1561"/>
      <c r="X15" s="1554"/>
      <c r="Y15" s="336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66"/>
      <c r="Q16" s="1559" t="str">
        <f>B16</f>
        <v>公共配套设施</v>
      </c>
      <c r="R16" s="1560" t="s">
        <v>8</v>
      </c>
      <c r="S16" s="1561">
        <f>F16</f>
        <v>100</v>
      </c>
      <c r="T16" s="1560" t="s">
        <v>8</v>
      </c>
      <c r="U16" s="1561">
        <f>H16</f>
        <v>100</v>
      </c>
      <c r="V16" s="1560" t="s">
        <v>8</v>
      </c>
      <c r="W16" s="1561">
        <f>J16</f>
        <v>100</v>
      </c>
      <c r="X16" s="1554"/>
      <c r="Y16" s="336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66"/>
      <c r="Q17" s="1559"/>
      <c r="R17" s="1560"/>
      <c r="S17" s="1561"/>
      <c r="T17" s="1560"/>
      <c r="U17" s="1561"/>
      <c r="V17" s="1560"/>
      <c r="W17" s="1561"/>
      <c r="X17" s="1554"/>
      <c r="Y17" s="336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66"/>
      <c r="Q18" s="2544" t="str">
        <f>B18</f>
        <v>基础设施水平</v>
      </c>
      <c r="R18" s="1560" t="s">
        <v>8</v>
      </c>
      <c r="S18" s="1561">
        <f>F18</f>
        <v>100</v>
      </c>
      <c r="T18" s="1560" t="s">
        <v>8</v>
      </c>
      <c r="U18" s="1561">
        <f>H18</f>
        <v>100</v>
      </c>
      <c r="V18" s="1560" t="s">
        <v>8</v>
      </c>
      <c r="W18" s="1561">
        <f>J18</f>
        <v>100</v>
      </c>
      <c r="X18" s="2546"/>
      <c r="Y18" s="336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66"/>
      <c r="Q19" s="2544"/>
      <c r="R19" s="1560"/>
      <c r="S19" s="1561"/>
      <c r="T19" s="1560"/>
      <c r="U19" s="1561"/>
      <c r="V19" s="1560"/>
      <c r="W19" s="1561"/>
      <c r="X19" s="2546"/>
      <c r="Y19" s="336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66"/>
      <c r="Q20" s="1559" t="str">
        <f>B20</f>
        <v>自然及人文环境</v>
      </c>
      <c r="R20" s="1560" t="s">
        <v>8</v>
      </c>
      <c r="S20" s="1561">
        <f>F20</f>
        <v>100</v>
      </c>
      <c r="T20" s="1560" t="s">
        <v>8</v>
      </c>
      <c r="U20" s="1561">
        <f>H20</f>
        <v>100</v>
      </c>
      <c r="V20" s="1560" t="s">
        <v>8</v>
      </c>
      <c r="W20" s="1561">
        <f>J20</f>
        <v>100</v>
      </c>
      <c r="X20" s="1554"/>
      <c r="Y20" s="336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66"/>
      <c r="Q21" s="1559"/>
      <c r="R21" s="1560"/>
      <c r="S21" s="1561"/>
      <c r="T21" s="1560"/>
      <c r="U21" s="1561"/>
      <c r="V21" s="1560"/>
      <c r="W21" s="1561"/>
      <c r="X21" s="1554"/>
      <c r="Y21" s="336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66"/>
      <c r="Q22" s="1559" t="str">
        <f>B22</f>
        <v>楼层</v>
      </c>
      <c r="R22" s="1560" t="s">
        <v>8</v>
      </c>
      <c r="S22" s="1561">
        <f>F22</f>
        <v>100</v>
      </c>
      <c r="T22" s="1560" t="s">
        <v>8</v>
      </c>
      <c r="U22" s="1561">
        <f>H22</f>
        <v>100</v>
      </c>
      <c r="V22" s="1560" t="s">
        <v>8</v>
      </c>
      <c r="W22" s="1561">
        <f>J22</f>
        <v>100</v>
      </c>
      <c r="X22" s="1554"/>
      <c r="Y22" s="336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66"/>
      <c r="Q23" s="1559">
        <f>B23</f>
        <v>111</v>
      </c>
      <c r="R23" s="1560" t="s">
        <v>8</v>
      </c>
      <c r="S23" s="1561">
        <f>F23</f>
        <v>100</v>
      </c>
      <c r="T23" s="1560" t="s">
        <v>8</v>
      </c>
      <c r="U23" s="1561">
        <f>H23</f>
        <v>100</v>
      </c>
      <c r="V23" s="1560" t="s">
        <v>8</v>
      </c>
      <c r="W23" s="1561">
        <f>J23</f>
        <v>100</v>
      </c>
      <c r="X23" s="1554"/>
      <c r="Y23" s="336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66"/>
      <c r="Q24" s="1559">
        <f t="shared" ref="Q24:Q36" si="11">B24</f>
        <v>111</v>
      </c>
      <c r="R24" s="1560" t="s">
        <v>8</v>
      </c>
      <c r="S24" s="1561">
        <f>F24</f>
        <v>100</v>
      </c>
      <c r="T24" s="1560" t="s">
        <v>8</v>
      </c>
      <c r="U24" s="1561">
        <f>H24</f>
        <v>100</v>
      </c>
      <c r="V24" s="1560" t="s">
        <v>8</v>
      </c>
      <c r="W24" s="1561">
        <f>J24</f>
        <v>100</v>
      </c>
      <c r="X24" s="1554"/>
      <c r="Y24" s="336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66"/>
      <c r="Q25" s="1147">
        <f t="shared" si="11"/>
        <v>111</v>
      </c>
      <c r="R25" s="1555" t="s">
        <v>8</v>
      </c>
      <c r="S25" s="1556">
        <f>F25</f>
        <v>100</v>
      </c>
      <c r="T25" s="1555" t="s">
        <v>8</v>
      </c>
      <c r="U25" s="1556">
        <f>H25</f>
        <v>100</v>
      </c>
      <c r="V25" s="1555" t="s">
        <v>8</v>
      </c>
      <c r="W25" s="1556">
        <f>J25</f>
        <v>100</v>
      </c>
      <c r="X25" s="1557"/>
      <c r="Y25" s="336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6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6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68"/>
      <c r="Q27" s="1591" t="str">
        <f t="shared" si="11"/>
        <v>项目停车位配比</v>
      </c>
      <c r="R27" s="1564" t="s">
        <v>8</v>
      </c>
      <c r="S27" s="1565">
        <f t="shared" si="12"/>
        <v>100</v>
      </c>
      <c r="T27" s="1564" t="s">
        <v>8</v>
      </c>
      <c r="U27" s="1565">
        <f t="shared" si="13"/>
        <v>100</v>
      </c>
      <c r="V27" s="1564" t="s">
        <v>8</v>
      </c>
      <c r="W27" s="1565">
        <f t="shared" si="14"/>
        <v>100</v>
      </c>
      <c r="X27" s="1566"/>
      <c r="Y27" s="336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68"/>
      <c r="Q28" s="1559" t="str">
        <f t="shared" si="11"/>
        <v>公共部分装修</v>
      </c>
      <c r="R28" s="1560" t="s">
        <v>8</v>
      </c>
      <c r="S28" s="1561">
        <f t="shared" si="12"/>
        <v>100</v>
      </c>
      <c r="T28" s="1560" t="s">
        <v>8</v>
      </c>
      <c r="U28" s="1561">
        <f t="shared" si="13"/>
        <v>100</v>
      </c>
      <c r="V28" s="1560" t="s">
        <v>8</v>
      </c>
      <c r="W28" s="1561">
        <f t="shared" si="14"/>
        <v>100</v>
      </c>
      <c r="X28" s="1554"/>
      <c r="Y28" s="336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68"/>
      <c r="Q29" s="1559" t="str">
        <f t="shared" si="11"/>
        <v>成新率</v>
      </c>
      <c r="R29" s="1560" t="s">
        <v>8</v>
      </c>
      <c r="S29" s="1561" t="e">
        <f t="shared" si="12"/>
        <v>#N/A</v>
      </c>
      <c r="T29" s="1560" t="s">
        <v>8</v>
      </c>
      <c r="U29" s="1561" t="e">
        <f t="shared" si="13"/>
        <v>#N/A</v>
      </c>
      <c r="V29" s="1560" t="s">
        <v>8</v>
      </c>
      <c r="W29" s="1561" t="e">
        <f t="shared" si="14"/>
        <v>#N/A</v>
      </c>
      <c r="X29" s="1554"/>
      <c r="Y29" s="336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68"/>
      <c r="Q30" s="1559" t="str">
        <f t="shared" si="11"/>
        <v>物业等级</v>
      </c>
      <c r="R30" s="1560" t="s">
        <v>8</v>
      </c>
      <c r="S30" s="1561">
        <f t="shared" si="12"/>
        <v>100</v>
      </c>
      <c r="T30" s="1560" t="s">
        <v>8</v>
      </c>
      <c r="U30" s="1561">
        <f t="shared" si="13"/>
        <v>100</v>
      </c>
      <c r="V30" s="1560" t="s">
        <v>8</v>
      </c>
      <c r="W30" s="1561">
        <f t="shared" si="14"/>
        <v>100</v>
      </c>
      <c r="X30" s="1554"/>
      <c r="Y30" s="336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68"/>
      <c r="Q31" s="1147" t="str">
        <f t="shared" si="11"/>
        <v>停车位面积</v>
      </c>
      <c r="R31" s="1555" t="s">
        <v>8</v>
      </c>
      <c r="S31" s="1556" t="e">
        <f t="shared" si="12"/>
        <v>#N/A</v>
      </c>
      <c r="T31" s="1555" t="s">
        <v>8</v>
      </c>
      <c r="U31" s="1556" t="e">
        <f t="shared" si="13"/>
        <v>#N/A</v>
      </c>
      <c r="V31" s="1555" t="s">
        <v>8</v>
      </c>
      <c r="W31" s="1556" t="e">
        <f t="shared" si="14"/>
        <v>#N/A</v>
      </c>
      <c r="X31" s="1557"/>
      <c r="Y31" s="336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68" t="s">
        <v>550</v>
      </c>
      <c r="Q32" s="1559" t="str">
        <f t="shared" si="11"/>
        <v>车位类型</v>
      </c>
      <c r="R32" s="1560" t="s">
        <v>8</v>
      </c>
      <c r="S32" s="1561">
        <f t="shared" si="12"/>
        <v>100</v>
      </c>
      <c r="T32" s="1560" t="s">
        <v>8</v>
      </c>
      <c r="U32" s="1561">
        <f t="shared" si="13"/>
        <v>100</v>
      </c>
      <c r="V32" s="1560" t="s">
        <v>8</v>
      </c>
      <c r="W32" s="1561">
        <f t="shared" si="14"/>
        <v>100</v>
      </c>
      <c r="X32" s="1554"/>
      <c r="Y32" s="336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68"/>
      <c r="Q33" s="1559" t="str">
        <f t="shared" si="11"/>
        <v>是否直接入户</v>
      </c>
      <c r="R33" s="1560" t="s">
        <v>8</v>
      </c>
      <c r="S33" s="1561">
        <f t="shared" si="12"/>
        <v>100</v>
      </c>
      <c r="T33" s="1560" t="s">
        <v>8</v>
      </c>
      <c r="U33" s="1561">
        <f t="shared" si="13"/>
        <v>100</v>
      </c>
      <c r="V33" s="1560" t="s">
        <v>8</v>
      </c>
      <c r="W33" s="1561">
        <f t="shared" si="14"/>
        <v>100</v>
      </c>
      <c r="X33" s="1554"/>
      <c r="Y33" s="336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68"/>
      <c r="Q34" s="1559">
        <f t="shared" si="11"/>
        <v>111</v>
      </c>
      <c r="R34" s="1560" t="s">
        <v>8</v>
      </c>
      <c r="S34" s="1561">
        <f t="shared" si="12"/>
        <v>100</v>
      </c>
      <c r="T34" s="1560" t="s">
        <v>8</v>
      </c>
      <c r="U34" s="1561">
        <f t="shared" si="13"/>
        <v>100</v>
      </c>
      <c r="V34" s="1560" t="s">
        <v>8</v>
      </c>
      <c r="W34" s="1561">
        <f t="shared" si="14"/>
        <v>100</v>
      </c>
      <c r="X34" s="1554"/>
      <c r="Y34" s="336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68"/>
      <c r="Q35" s="1591">
        <f t="shared" si="11"/>
        <v>111</v>
      </c>
      <c r="R35" s="1564" t="s">
        <v>8</v>
      </c>
      <c r="S35" s="1565">
        <f t="shared" si="12"/>
        <v>100</v>
      </c>
      <c r="T35" s="1564" t="s">
        <v>8</v>
      </c>
      <c r="U35" s="1565">
        <f t="shared" si="13"/>
        <v>100</v>
      </c>
      <c r="V35" s="1564" t="s">
        <v>8</v>
      </c>
      <c r="W35" s="1565">
        <f t="shared" si="14"/>
        <v>100</v>
      </c>
      <c r="X35" s="1566"/>
      <c r="Y35" s="336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68"/>
      <c r="Q36" s="1559">
        <f t="shared" si="11"/>
        <v>111</v>
      </c>
      <c r="R36" s="1560" t="s">
        <v>8</v>
      </c>
      <c r="S36" s="1561">
        <f t="shared" si="12"/>
        <v>100</v>
      </c>
      <c r="T36" s="1560" t="s">
        <v>8</v>
      </c>
      <c r="U36" s="1561">
        <f t="shared" si="13"/>
        <v>100</v>
      </c>
      <c r="V36" s="1560" t="s">
        <v>8</v>
      </c>
      <c r="W36" s="1561">
        <f t="shared" si="14"/>
        <v>100</v>
      </c>
      <c r="X36" s="1554"/>
      <c r="Y36" s="336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63" t="str">
        <f>A37</f>
        <v>成交单价</v>
      </c>
      <c r="Q37" s="3363"/>
      <c r="R37" s="3467">
        <f>E37</f>
        <v>0</v>
      </c>
      <c r="S37" s="3467"/>
      <c r="T37" s="3467">
        <f>G37</f>
        <v>0</v>
      </c>
      <c r="U37" s="3467"/>
      <c r="V37" s="3467">
        <f>I37</f>
        <v>0</v>
      </c>
      <c r="W37" s="346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63" t="str">
        <f>A38</f>
        <v>比较价格（元/平方米）</v>
      </c>
      <c r="Q38" s="336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84" t="str">
        <f>A39</f>
        <v>估价对象XX用房的比较价格（楼面单价，元/平方米）</v>
      </c>
      <c r="Q39" s="3385"/>
      <c r="R39" s="3466" t="e">
        <f>IF(F1="售价",ROUND(AVERAGE(R38:V38),0),ROUND(AVERAGE(R38:V38),1))</f>
        <v>#DIV/0!</v>
      </c>
      <c r="S39" s="3466"/>
      <c r="T39" s="3466"/>
      <c r="U39" s="3466"/>
      <c r="V39" s="3466"/>
      <c r="W39" s="346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2019-10</v>
      </c>
      <c r="D48" s="2760">
        <f>EDATE(C48,-1)</f>
        <v>43709</v>
      </c>
      <c r="E48" s="2760">
        <f t="shared" ref="E48:O48" si="16">EDATE(D48,-1)</f>
        <v>43678</v>
      </c>
      <c r="F48" s="2760">
        <f t="shared" si="16"/>
        <v>43647</v>
      </c>
      <c r="G48" s="2760">
        <f t="shared" si="16"/>
        <v>43617</v>
      </c>
      <c r="H48" s="2760">
        <f t="shared" si="16"/>
        <v>43586</v>
      </c>
      <c r="I48" s="2760">
        <f t="shared" si="16"/>
        <v>43556</v>
      </c>
      <c r="J48" s="2760">
        <f t="shared" si="16"/>
        <v>43525</v>
      </c>
      <c r="K48" s="2760">
        <f t="shared" si="16"/>
        <v>43497</v>
      </c>
      <c r="L48" s="2760">
        <f t="shared" si="16"/>
        <v>43466</v>
      </c>
      <c r="M48" s="2760">
        <f t="shared" si="16"/>
        <v>43435</v>
      </c>
      <c r="N48" s="2760">
        <f t="shared" si="16"/>
        <v>43405</v>
      </c>
      <c r="O48" s="2760">
        <f t="shared" si="16"/>
        <v>43374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9" t="s">
        <v>798</v>
      </c>
      <c r="D4" s="3370"/>
      <c r="E4" s="3393" t="s">
        <v>799</v>
      </c>
      <c r="F4" s="3394"/>
      <c r="G4" s="3369" t="s">
        <v>800</v>
      </c>
      <c r="H4" s="3370"/>
      <c r="I4" s="3369" t="s">
        <v>801</v>
      </c>
      <c r="J4" s="3370"/>
      <c r="K4" s="514" t="s">
        <v>802</v>
      </c>
      <c r="L4" s="2119"/>
      <c r="M4" s="2120"/>
      <c r="N4" s="2120"/>
      <c r="O4" s="2120"/>
      <c r="P4" s="3371" t="s">
        <v>803</v>
      </c>
      <c r="Q4" s="3372"/>
      <c r="R4" s="3357" t="s">
        <v>799</v>
      </c>
      <c r="S4" s="3358"/>
      <c r="T4" s="3357" t="s">
        <v>800</v>
      </c>
      <c r="U4" s="3358"/>
      <c r="V4" s="3377" t="s">
        <v>801</v>
      </c>
      <c r="W4" s="3377"/>
      <c r="X4" s="1554"/>
      <c r="Y4" s="3357" t="s">
        <v>803</v>
      </c>
      <c r="Z4" s="3358"/>
      <c r="AA4" s="3352" t="s">
        <v>799</v>
      </c>
      <c r="AB4" s="3353" t="s">
        <v>800</v>
      </c>
      <c r="AC4" s="3352" t="s">
        <v>801</v>
      </c>
    </row>
    <row r="5" spans="1:29" ht="15">
      <c r="A5" s="515"/>
      <c r="B5" s="516"/>
      <c r="C5" s="3380" t="s">
        <v>2931</v>
      </c>
      <c r="D5" s="3381"/>
      <c r="E5" s="3395" t="s">
        <v>2932</v>
      </c>
      <c r="F5" s="3396"/>
      <c r="G5" s="3380" t="s">
        <v>2933</v>
      </c>
      <c r="H5" s="3381"/>
      <c r="I5" s="3380" t="s">
        <v>2934</v>
      </c>
      <c r="J5" s="3381"/>
      <c r="K5" s="514"/>
      <c r="L5" s="2119"/>
      <c r="M5" s="2120"/>
      <c r="N5" s="2120"/>
      <c r="O5" s="2120"/>
      <c r="P5" s="3373"/>
      <c r="Q5" s="3374"/>
      <c r="R5" s="3359"/>
      <c r="S5" s="3360"/>
      <c r="T5" s="3359"/>
      <c r="U5" s="3360"/>
      <c r="V5" s="3377"/>
      <c r="W5" s="3377"/>
      <c r="X5" s="1554"/>
      <c r="Y5" s="3359"/>
      <c r="Z5" s="3360"/>
      <c r="AA5" s="3353"/>
      <c r="AB5" s="3353"/>
      <c r="AC5" s="3353"/>
    </row>
    <row r="6" spans="1:29" ht="15.75" thickBot="1">
      <c r="A6" s="517"/>
      <c r="B6" s="518"/>
      <c r="C6" s="3378" t="s">
        <v>2935</v>
      </c>
      <c r="D6" s="3379"/>
      <c r="E6" s="3397" t="s">
        <v>2935</v>
      </c>
      <c r="F6" s="3398"/>
      <c r="G6" s="3378" t="s">
        <v>2935</v>
      </c>
      <c r="H6" s="3379"/>
      <c r="I6" s="3378" t="s">
        <v>2935</v>
      </c>
      <c r="J6" s="3379"/>
      <c r="K6" s="514" t="s">
        <v>528</v>
      </c>
      <c r="L6" s="2119"/>
      <c r="M6" s="2120"/>
      <c r="N6" s="2120"/>
      <c r="O6" s="2120"/>
      <c r="P6" s="3375"/>
      <c r="Q6" s="3376"/>
      <c r="R6" s="3359"/>
      <c r="S6" s="3360"/>
      <c r="T6" s="3361"/>
      <c r="U6" s="3362"/>
      <c r="V6" s="3377"/>
      <c r="W6" s="3377"/>
      <c r="X6" s="1554"/>
      <c r="Y6" s="3361"/>
      <c r="Z6" s="3362"/>
      <c r="AA6" s="3354"/>
      <c r="AB6" s="3354"/>
      <c r="AC6" s="3354"/>
    </row>
    <row r="7" spans="1:29" s="1216" customFormat="1" ht="15.75" thickBot="1">
      <c r="A7" s="2867"/>
      <c r="B7" s="2874" t="s">
        <v>529</v>
      </c>
      <c r="C7" s="519">
        <f>'数据-取费表'!B2</f>
        <v>43768</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55" t="s">
        <v>530</v>
      </c>
      <c r="Q7" s="3364"/>
      <c r="R7" s="1555" t="s">
        <v>8</v>
      </c>
      <c r="S7" s="1556">
        <f t="shared" ref="S7:S14" si="0">F7</f>
        <v>0</v>
      </c>
      <c r="T7" s="1555" t="s">
        <v>8</v>
      </c>
      <c r="U7" s="1556">
        <f t="shared" ref="U7:U14" si="1">H7</f>
        <v>0</v>
      </c>
      <c r="V7" s="1555" t="s">
        <v>8</v>
      </c>
      <c r="W7" s="1556">
        <f t="shared" ref="W7:W14" si="2">J7</f>
        <v>0</v>
      </c>
      <c r="X7" s="1557"/>
      <c r="Y7" s="3355" t="s">
        <v>530</v>
      </c>
      <c r="Z7" s="3356"/>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55" t="s">
        <v>533</v>
      </c>
      <c r="Q8" s="3356"/>
      <c r="R8" s="1555" t="s">
        <v>8</v>
      </c>
      <c r="S8" s="1556">
        <f t="shared" si="0"/>
        <v>0</v>
      </c>
      <c r="T8" s="1555" t="s">
        <v>8</v>
      </c>
      <c r="U8" s="1556">
        <f t="shared" si="1"/>
        <v>0</v>
      </c>
      <c r="V8" s="1555" t="s">
        <v>8</v>
      </c>
      <c r="W8" s="1556">
        <f t="shared" si="2"/>
        <v>0</v>
      </c>
      <c r="X8" s="1557"/>
      <c r="Y8" s="3355" t="s">
        <v>533</v>
      </c>
      <c r="Z8" s="3356"/>
      <c r="AA8" s="1558" t="e">
        <f t="shared" ref="AA8:AA34" si="3">D8/F8</f>
        <v>#DIV/0!</v>
      </c>
      <c r="AB8" s="1558" t="e">
        <f t="shared" ref="AB8:AB34" si="4">D8/H8</f>
        <v>#DIV/0!</v>
      </c>
      <c r="AC8" s="1558" t="e">
        <f t="shared" ref="AC8:AC34" si="5">D8/J8</f>
        <v>#DIV/0!</v>
      </c>
    </row>
    <row r="9" spans="1:29" s="1216" customFormat="1" ht="15">
      <c r="A9" s="2869"/>
      <c r="B9" s="2876"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3" t="s">
        <v>535</v>
      </c>
      <c r="Q9" s="1147" t="str">
        <f t="shared" ref="Q9:Q14" si="6">B9</f>
        <v>用途</v>
      </c>
      <c r="R9" s="1555" t="s">
        <v>8</v>
      </c>
      <c r="S9" s="1556">
        <f t="shared" si="0"/>
        <v>100</v>
      </c>
      <c r="T9" s="1555" t="s">
        <v>8</v>
      </c>
      <c r="U9" s="1556">
        <f t="shared" si="1"/>
        <v>100</v>
      </c>
      <c r="V9" s="1555" t="s">
        <v>8</v>
      </c>
      <c r="W9" s="1556">
        <f t="shared" si="2"/>
        <v>100</v>
      </c>
      <c r="X9" s="1557"/>
      <c r="Y9" s="3320" t="s">
        <v>536</v>
      </c>
      <c r="Z9" s="1146" t="str">
        <f t="shared" ref="Z9:Z14" si="7">Q9</f>
        <v>用途</v>
      </c>
      <c r="AA9" s="1558">
        <f t="shared" si="3"/>
        <v>1</v>
      </c>
      <c r="AB9" s="1558">
        <f t="shared" si="4"/>
        <v>1</v>
      </c>
      <c r="AC9" s="1558">
        <f t="shared" si="5"/>
        <v>1</v>
      </c>
    </row>
    <row r="10" spans="1:29" s="1334" customFormat="1" ht="27">
      <c r="A10" s="2870"/>
      <c r="B10" s="2875"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3"/>
      <c r="Q10" s="1147" t="str">
        <f t="shared" si="6"/>
        <v>土地使用年限（年）</v>
      </c>
      <c r="R10" s="1555" t="s">
        <v>8</v>
      </c>
      <c r="S10" s="1556">
        <f t="shared" si="0"/>
        <v>100</v>
      </c>
      <c r="T10" s="1555" t="s">
        <v>8</v>
      </c>
      <c r="U10" s="1556">
        <f t="shared" si="1"/>
        <v>100</v>
      </c>
      <c r="V10" s="1555" t="s">
        <v>8</v>
      </c>
      <c r="W10" s="1556">
        <f t="shared" si="2"/>
        <v>100</v>
      </c>
      <c r="X10" s="1557"/>
      <c r="Y10" s="3320"/>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3"/>
      <c r="Q11" s="1147">
        <f t="shared" si="6"/>
        <v>111</v>
      </c>
      <c r="R11" s="1555" t="s">
        <v>8</v>
      </c>
      <c r="S11" s="1556">
        <f t="shared" si="0"/>
        <v>100</v>
      </c>
      <c r="T11" s="1555" t="s">
        <v>8</v>
      </c>
      <c r="U11" s="1556">
        <f t="shared" si="1"/>
        <v>100</v>
      </c>
      <c r="V11" s="1555" t="s">
        <v>8</v>
      </c>
      <c r="W11" s="1556">
        <f t="shared" si="2"/>
        <v>100</v>
      </c>
      <c r="X11" s="1557"/>
      <c r="Y11" s="3320"/>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3"/>
      <c r="Q12" s="1147">
        <f t="shared" si="6"/>
        <v>111</v>
      </c>
      <c r="R12" s="1555" t="s">
        <v>8</v>
      </c>
      <c r="S12" s="1556">
        <f t="shared" si="0"/>
        <v>100</v>
      </c>
      <c r="T12" s="1555" t="s">
        <v>8</v>
      </c>
      <c r="U12" s="1556">
        <f t="shared" si="1"/>
        <v>100</v>
      </c>
      <c r="V12" s="1555" t="s">
        <v>8</v>
      </c>
      <c r="W12" s="1556">
        <f t="shared" si="2"/>
        <v>100</v>
      </c>
      <c r="X12" s="1557"/>
      <c r="Y12" s="3320"/>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3"/>
      <c r="Q13" s="1147">
        <f t="shared" si="6"/>
        <v>111</v>
      </c>
      <c r="R13" s="1555" t="s">
        <v>8</v>
      </c>
      <c r="S13" s="1556">
        <f t="shared" si="0"/>
        <v>100</v>
      </c>
      <c r="T13" s="1555" t="s">
        <v>8</v>
      </c>
      <c r="U13" s="1556">
        <f t="shared" si="1"/>
        <v>100</v>
      </c>
      <c r="V13" s="1555" t="s">
        <v>8</v>
      </c>
      <c r="W13" s="1556">
        <f t="shared" si="2"/>
        <v>100</v>
      </c>
      <c r="X13" s="1557"/>
      <c r="Y13" s="3320"/>
      <c r="Z13" s="1146">
        <f t="shared" si="7"/>
        <v>111</v>
      </c>
      <c r="AA13" s="1558">
        <f t="shared" si="3"/>
        <v>1</v>
      </c>
      <c r="AB13" s="1558">
        <f t="shared" si="4"/>
        <v>1</v>
      </c>
      <c r="AC13" s="1558">
        <f t="shared" si="5"/>
        <v>1</v>
      </c>
    </row>
    <row r="14" spans="1:29" ht="85.5">
      <c r="A14" s="2865"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65" t="s">
        <v>540</v>
      </c>
      <c r="Q14" s="1559" t="str">
        <f t="shared" si="6"/>
        <v>交通便捷度</v>
      </c>
      <c r="R14" s="1560" t="s">
        <v>8</v>
      </c>
      <c r="S14" s="1561">
        <f t="shared" si="0"/>
        <v>100</v>
      </c>
      <c r="T14" s="1560" t="s">
        <v>8</v>
      </c>
      <c r="U14" s="1561">
        <f t="shared" si="1"/>
        <v>100</v>
      </c>
      <c r="V14" s="1560" t="s">
        <v>8</v>
      </c>
      <c r="W14" s="1561">
        <f t="shared" si="2"/>
        <v>100</v>
      </c>
      <c r="X14" s="1554"/>
      <c r="Y14" s="336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66"/>
      <c r="Q15" s="1559"/>
      <c r="R15" s="1560"/>
      <c r="S15" s="1561"/>
      <c r="T15" s="1560"/>
      <c r="U15" s="1561"/>
      <c r="V15" s="1560"/>
      <c r="W15" s="1561"/>
      <c r="X15" s="1554"/>
      <c r="Y15" s="336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66"/>
      <c r="Q16" s="1559" t="str">
        <f>B16</f>
        <v>公共配套设施</v>
      </c>
      <c r="R16" s="1560" t="s">
        <v>8</v>
      </c>
      <c r="S16" s="1561">
        <f>F16</f>
        <v>100</v>
      </c>
      <c r="T16" s="1560" t="s">
        <v>8</v>
      </c>
      <c r="U16" s="1561">
        <f>H16</f>
        <v>100</v>
      </c>
      <c r="V16" s="1560" t="s">
        <v>8</v>
      </c>
      <c r="W16" s="1561">
        <f>J16</f>
        <v>100</v>
      </c>
      <c r="X16" s="1554"/>
      <c r="Y16" s="336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66"/>
      <c r="Q17" s="1559"/>
      <c r="R17" s="1560"/>
      <c r="S17" s="1561"/>
      <c r="T17" s="1560"/>
      <c r="U17" s="1561"/>
      <c r="V17" s="1560"/>
      <c r="W17" s="1561"/>
      <c r="X17" s="1554"/>
      <c r="Y17" s="336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66"/>
      <c r="Q18" s="2544" t="str">
        <f>B18</f>
        <v>基础设施水平</v>
      </c>
      <c r="R18" s="1560" t="s">
        <v>8</v>
      </c>
      <c r="S18" s="1561">
        <f>F18</f>
        <v>100</v>
      </c>
      <c r="T18" s="1560" t="s">
        <v>8</v>
      </c>
      <c r="U18" s="1561">
        <f>H18</f>
        <v>100</v>
      </c>
      <c r="V18" s="1560" t="s">
        <v>8</v>
      </c>
      <c r="W18" s="1561">
        <f>J18</f>
        <v>100</v>
      </c>
      <c r="X18" s="2546"/>
      <c r="Y18" s="336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66"/>
      <c r="Q19" s="2544"/>
      <c r="R19" s="1560"/>
      <c r="S19" s="1561"/>
      <c r="T19" s="1560"/>
      <c r="U19" s="1561"/>
      <c r="V19" s="1560"/>
      <c r="W19" s="1561"/>
      <c r="X19" s="2546"/>
      <c r="Y19" s="336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66"/>
      <c r="Q20" s="1559" t="str">
        <f>B20</f>
        <v>自然及人文环境</v>
      </c>
      <c r="R20" s="1560" t="s">
        <v>8</v>
      </c>
      <c r="S20" s="1561">
        <f>F20</f>
        <v>100</v>
      </c>
      <c r="T20" s="1560" t="s">
        <v>8</v>
      </c>
      <c r="U20" s="1561">
        <f>H20</f>
        <v>100</v>
      </c>
      <c r="V20" s="1560" t="s">
        <v>8</v>
      </c>
      <c r="W20" s="1561">
        <f>J20</f>
        <v>100</v>
      </c>
      <c r="X20" s="1554"/>
      <c r="Y20" s="336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66"/>
      <c r="Q21" s="1559"/>
      <c r="R21" s="1560"/>
      <c r="S21" s="1561"/>
      <c r="T21" s="1560"/>
      <c r="U21" s="1561"/>
      <c r="V21" s="1560"/>
      <c r="W21" s="1561"/>
      <c r="X21" s="1554"/>
      <c r="Y21" s="336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66"/>
      <c r="Q22" s="1559" t="str">
        <f>B22</f>
        <v>楼层</v>
      </c>
      <c r="R22" s="1560" t="s">
        <v>8</v>
      </c>
      <c r="S22" s="1561">
        <f>F22</f>
        <v>100</v>
      </c>
      <c r="T22" s="1560" t="s">
        <v>8</v>
      </c>
      <c r="U22" s="1561">
        <f>H22</f>
        <v>100</v>
      </c>
      <c r="V22" s="1560" t="s">
        <v>8</v>
      </c>
      <c r="W22" s="1561">
        <f>J22</f>
        <v>100</v>
      </c>
      <c r="X22" s="1554"/>
      <c r="Y22" s="336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66"/>
      <c r="Q23" s="1559">
        <f>B23</f>
        <v>111</v>
      </c>
      <c r="R23" s="1560" t="s">
        <v>8</v>
      </c>
      <c r="S23" s="1561">
        <f>F23</f>
        <v>100</v>
      </c>
      <c r="T23" s="1560" t="s">
        <v>8</v>
      </c>
      <c r="U23" s="1561">
        <f>H23</f>
        <v>100</v>
      </c>
      <c r="V23" s="1560" t="s">
        <v>8</v>
      </c>
      <c r="W23" s="1561">
        <f>J23</f>
        <v>100</v>
      </c>
      <c r="X23" s="1554"/>
      <c r="Y23" s="336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66"/>
      <c r="Q24" s="1559">
        <f t="shared" ref="Q24:Q34" si="11">B24</f>
        <v>111</v>
      </c>
      <c r="R24" s="1560" t="s">
        <v>8</v>
      </c>
      <c r="S24" s="1561">
        <f>F24</f>
        <v>100</v>
      </c>
      <c r="T24" s="1560" t="s">
        <v>8</v>
      </c>
      <c r="U24" s="1561">
        <f>H24</f>
        <v>100</v>
      </c>
      <c r="V24" s="1560" t="s">
        <v>8</v>
      </c>
      <c r="W24" s="1561">
        <f>J24</f>
        <v>100</v>
      </c>
      <c r="X24" s="1554"/>
      <c r="Y24" s="336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66"/>
      <c r="Q25" s="1147">
        <f t="shared" si="11"/>
        <v>111</v>
      </c>
      <c r="R25" s="1555" t="s">
        <v>8</v>
      </c>
      <c r="S25" s="1556">
        <f>F25</f>
        <v>100</v>
      </c>
      <c r="T25" s="1555" t="s">
        <v>8</v>
      </c>
      <c r="U25" s="1556">
        <f>H25</f>
        <v>100</v>
      </c>
      <c r="V25" s="1555" t="s">
        <v>8</v>
      </c>
      <c r="W25" s="1556">
        <f>J25</f>
        <v>100</v>
      </c>
      <c r="X25" s="1557"/>
      <c r="Y25" s="336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6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6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68"/>
      <c r="Q27" s="1591" t="str">
        <f t="shared" si="11"/>
        <v>成新率</v>
      </c>
      <c r="R27" s="1564" t="s">
        <v>8</v>
      </c>
      <c r="S27" s="1565" t="e">
        <f t="shared" si="12"/>
        <v>#N/A</v>
      </c>
      <c r="T27" s="1564" t="s">
        <v>8</v>
      </c>
      <c r="U27" s="1565" t="e">
        <f t="shared" si="13"/>
        <v>#N/A</v>
      </c>
      <c r="V27" s="1564" t="s">
        <v>8</v>
      </c>
      <c r="W27" s="1565" t="e">
        <f t="shared" si="14"/>
        <v>#N/A</v>
      </c>
      <c r="X27" s="1566"/>
      <c r="Y27" s="336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68"/>
      <c r="Q28" s="1559" t="str">
        <f t="shared" si="11"/>
        <v>物业等级</v>
      </c>
      <c r="R28" s="1560" t="s">
        <v>8</v>
      </c>
      <c r="S28" s="1561">
        <f t="shared" si="12"/>
        <v>100</v>
      </c>
      <c r="T28" s="1560" t="s">
        <v>8</v>
      </c>
      <c r="U28" s="1561">
        <f t="shared" si="13"/>
        <v>100</v>
      </c>
      <c r="V28" s="1560" t="s">
        <v>8</v>
      </c>
      <c r="W28" s="1561">
        <f t="shared" si="14"/>
        <v>100</v>
      </c>
      <c r="X28" s="1554"/>
      <c r="Y28" s="336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68"/>
      <c r="Q29" s="1559" t="str">
        <f t="shared" si="11"/>
        <v>有无电梯</v>
      </c>
      <c r="R29" s="1560" t="s">
        <v>8</v>
      </c>
      <c r="S29" s="1561">
        <f t="shared" si="12"/>
        <v>100</v>
      </c>
      <c r="T29" s="1560" t="s">
        <v>8</v>
      </c>
      <c r="U29" s="1561">
        <f t="shared" si="13"/>
        <v>100</v>
      </c>
      <c r="V29" s="1560" t="s">
        <v>8</v>
      </c>
      <c r="W29" s="1561">
        <f t="shared" si="14"/>
        <v>100</v>
      </c>
      <c r="X29" s="1554"/>
      <c r="Y29" s="336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68"/>
      <c r="Q30" s="1559" t="str">
        <f t="shared" si="11"/>
        <v>建筑面积</v>
      </c>
      <c r="R30" s="1560" t="s">
        <v>8</v>
      </c>
      <c r="S30" s="1561" t="e">
        <f t="shared" si="12"/>
        <v>#N/A</v>
      </c>
      <c r="T30" s="1560" t="s">
        <v>8</v>
      </c>
      <c r="U30" s="1561" t="e">
        <f t="shared" si="13"/>
        <v>#N/A</v>
      </c>
      <c r="V30" s="1560" t="s">
        <v>8</v>
      </c>
      <c r="W30" s="1561" t="e">
        <f t="shared" si="14"/>
        <v>#N/A</v>
      </c>
      <c r="X30" s="1554"/>
      <c r="Y30" s="336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68"/>
      <c r="Q31" s="1147" t="str">
        <f t="shared" si="11"/>
        <v>是否封闭</v>
      </c>
      <c r="R31" s="1555" t="s">
        <v>8</v>
      </c>
      <c r="S31" s="1556">
        <f t="shared" si="12"/>
        <v>100</v>
      </c>
      <c r="T31" s="1555" t="s">
        <v>8</v>
      </c>
      <c r="U31" s="1556">
        <f t="shared" si="13"/>
        <v>100</v>
      </c>
      <c r="V31" s="1555" t="s">
        <v>8</v>
      </c>
      <c r="W31" s="1556">
        <f t="shared" si="14"/>
        <v>100</v>
      </c>
      <c r="X31" s="1557"/>
      <c r="Y31" s="336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68" t="s">
        <v>550</v>
      </c>
      <c r="Q32" s="1559">
        <f t="shared" si="11"/>
        <v>111</v>
      </c>
      <c r="R32" s="1560" t="s">
        <v>8</v>
      </c>
      <c r="S32" s="1561">
        <f t="shared" si="12"/>
        <v>100</v>
      </c>
      <c r="T32" s="1560" t="s">
        <v>8</v>
      </c>
      <c r="U32" s="1561">
        <f t="shared" si="13"/>
        <v>100</v>
      </c>
      <c r="V32" s="1560" t="s">
        <v>8</v>
      </c>
      <c r="W32" s="1561">
        <f t="shared" si="14"/>
        <v>100</v>
      </c>
      <c r="X32" s="1554"/>
      <c r="Y32" s="336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68"/>
      <c r="Q33" s="1559">
        <f t="shared" si="11"/>
        <v>111</v>
      </c>
      <c r="R33" s="1560" t="s">
        <v>8</v>
      </c>
      <c r="S33" s="1561">
        <f t="shared" si="12"/>
        <v>100</v>
      </c>
      <c r="T33" s="1560" t="s">
        <v>8</v>
      </c>
      <c r="U33" s="1561">
        <f t="shared" si="13"/>
        <v>100</v>
      </c>
      <c r="V33" s="1560" t="s">
        <v>8</v>
      </c>
      <c r="W33" s="1561">
        <f t="shared" si="14"/>
        <v>100</v>
      </c>
      <c r="X33" s="1554"/>
      <c r="Y33" s="336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68"/>
      <c r="Q34" s="1559">
        <f t="shared" si="11"/>
        <v>111</v>
      </c>
      <c r="R34" s="1560" t="s">
        <v>8</v>
      </c>
      <c r="S34" s="1561">
        <f t="shared" si="12"/>
        <v>100</v>
      </c>
      <c r="T34" s="1560" t="s">
        <v>8</v>
      </c>
      <c r="U34" s="1561">
        <f t="shared" si="13"/>
        <v>100</v>
      </c>
      <c r="V34" s="1560" t="s">
        <v>8</v>
      </c>
      <c r="W34" s="1561">
        <f t="shared" si="14"/>
        <v>100</v>
      </c>
      <c r="X34" s="1554"/>
      <c r="Y34" s="336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63" t="str">
        <f>A35</f>
        <v>成交单价（元/平方米）</v>
      </c>
      <c r="Q35" s="3363"/>
      <c r="R35" s="3467">
        <f>E35</f>
        <v>0</v>
      </c>
      <c r="S35" s="3467"/>
      <c r="T35" s="3467">
        <f>G35</f>
        <v>0</v>
      </c>
      <c r="U35" s="3467"/>
      <c r="V35" s="3467">
        <f>I35</f>
        <v>0</v>
      </c>
      <c r="W35" s="346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63" t="str">
        <f>A36</f>
        <v>比较价格（元/平方米）</v>
      </c>
      <c r="Q36" s="336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84" t="str">
        <f>A37</f>
        <v>估价对象XX用房的比较价格（楼面单价，元/平方米）</v>
      </c>
      <c r="Q37" s="3385"/>
      <c r="R37" s="3466" t="e">
        <f>IF(F1="售价",ROUND(AVERAGE(R36:V36),0),ROUND(AVERAGE(R36:V36),1))</f>
        <v>#DIV/0!</v>
      </c>
      <c r="S37" s="3466"/>
      <c r="T37" s="3466"/>
      <c r="U37" s="3466"/>
      <c r="V37" s="3466"/>
      <c r="W37" s="346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2019-10</v>
      </c>
      <c r="D46" s="2760">
        <f>EDATE(C46,-1)</f>
        <v>43709</v>
      </c>
      <c r="E46" s="2760">
        <f t="shared" ref="E46:O46" si="16">EDATE(D46,-1)</f>
        <v>43678</v>
      </c>
      <c r="F46" s="2760">
        <f t="shared" si="16"/>
        <v>43647</v>
      </c>
      <c r="G46" s="2760">
        <f t="shared" si="16"/>
        <v>43617</v>
      </c>
      <c r="H46" s="2760">
        <f t="shared" si="16"/>
        <v>43586</v>
      </c>
      <c r="I46" s="2760">
        <f t="shared" si="16"/>
        <v>43556</v>
      </c>
      <c r="J46" s="2760">
        <f t="shared" si="16"/>
        <v>43525</v>
      </c>
      <c r="K46" s="2760">
        <f t="shared" si="16"/>
        <v>43497</v>
      </c>
      <c r="L46" s="2760">
        <f t="shared" si="16"/>
        <v>43466</v>
      </c>
      <c r="M46" s="2760">
        <f t="shared" si="16"/>
        <v>43435</v>
      </c>
      <c r="N46" s="2760">
        <f t="shared" si="16"/>
        <v>43405</v>
      </c>
      <c r="O46" s="2760">
        <f t="shared" si="16"/>
        <v>43374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76" t="s">
        <v>2304</v>
      </c>
      <c r="D1" s="3477"/>
      <c r="E1" s="3477"/>
      <c r="F1" s="3477"/>
      <c r="G1" s="3477"/>
      <c r="H1" s="3477"/>
      <c r="I1" s="3477"/>
      <c r="J1" s="3477"/>
      <c r="K1" s="3477"/>
      <c r="L1" s="3477"/>
      <c r="M1" s="3477"/>
      <c r="N1" s="3477"/>
      <c r="O1" s="3477"/>
      <c r="P1" s="3477"/>
      <c r="Q1" s="3477"/>
      <c r="R1" s="3477"/>
      <c r="S1" s="347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1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46262.48平方米。根据《建设工程规划许可证》[]、《出让合同》[]，估价对象规划建筑面积为141821.06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2019年10月30日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18.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根据《国有土地使用证》[]，估价对象（分摊）出让国有建设用地使用权面积为46262.48平方米。根据《建设工程规划许可证》[]、《出让合同》[]，估价对象规划建筑面积为141821.06平方米。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2788</v>
      </c>
      <c r="C1" s="2959">
        <f>项目基本情况!D3</f>
        <v>43768</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2819</v>
      </c>
      <c r="C2" s="2960">
        <f>'数据-取费表'!B22</f>
        <v>2</v>
      </c>
      <c r="D2" s="2955" t="s">
        <v>2789</v>
      </c>
      <c r="E2" s="2958">
        <f ca="1">INDIRECT("I"&amp;$I$1)/100</f>
        <v>4.7500000000000001E-2</v>
      </c>
      <c r="G2" s="2895"/>
      <c r="H2" s="2895"/>
      <c r="I2" s="2895" t="s">
        <v>2790</v>
      </c>
      <c r="K2" s="2895"/>
      <c r="L2" s="2895"/>
      <c r="M2" s="2895"/>
      <c r="N2" s="2895" t="s">
        <v>2791</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2821</v>
      </c>
      <c r="C3" s="2957">
        <f>'数据-取费表'!B19</f>
        <v>0</v>
      </c>
      <c r="D3" s="2955" t="s">
        <v>2789</v>
      </c>
      <c r="E3" s="2958">
        <f ca="1">INDIRECT("J"&amp;$J$1)/100</f>
        <v>0</v>
      </c>
      <c r="G3" s="2897" t="s">
        <v>2792</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2820</v>
      </c>
      <c r="C4" s="2958">
        <f ca="1">N4/100</f>
        <v>1.4999999999999999E-2</v>
      </c>
      <c r="G4" s="2903" t="s">
        <v>2793</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2794</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2795</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2796</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2797</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2798</v>
      </c>
      <c r="C10" s="2922"/>
      <c r="D10" s="2922"/>
      <c r="E10" s="2922"/>
      <c r="F10" s="2922"/>
      <c r="G10" s="2922"/>
      <c r="H10" s="2922"/>
      <c r="I10" s="2896"/>
      <c r="J10" s="2896"/>
      <c r="K10" s="2922"/>
      <c r="L10" s="2923" t="s">
        <v>2799</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2800</v>
      </c>
      <c r="C11" s="2927" t="s">
        <v>2801</v>
      </c>
      <c r="D11" s="2928" t="s">
        <v>2802</v>
      </c>
      <c r="E11" s="2929"/>
      <c r="F11" s="2928" t="s">
        <v>2803</v>
      </c>
      <c r="G11" s="2930"/>
      <c r="H11" s="2929"/>
      <c r="I11" s="2928" t="s">
        <v>2804</v>
      </c>
      <c r="J11" s="2929"/>
      <c r="K11" s="2925"/>
      <c r="L11" s="2926" t="s">
        <v>2800</v>
      </c>
      <c r="M11" s="2927" t="s">
        <v>2801</v>
      </c>
      <c r="N11" s="2926" t="s">
        <v>2805</v>
      </c>
      <c r="O11" s="2928" t="s">
        <v>2806</v>
      </c>
      <c r="P11" s="2930"/>
      <c r="Q11" s="2930"/>
      <c r="R11" s="2930"/>
      <c r="S11" s="2930"/>
      <c r="T11" s="2929"/>
      <c r="U11" s="2928" t="s">
        <v>2807</v>
      </c>
      <c r="V11" s="2930"/>
      <c r="W11" s="2929"/>
      <c r="X11" s="2926" t="s">
        <v>2808</v>
      </c>
      <c r="Y11" s="2926" t="s">
        <v>2809</v>
      </c>
      <c r="Z11" s="2926" t="s">
        <v>2810</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2811</v>
      </c>
      <c r="E12" s="2935" t="s">
        <v>2812</v>
      </c>
      <c r="F12" s="2935" t="s">
        <v>2813</v>
      </c>
      <c r="G12" s="2935" t="s">
        <v>2814</v>
      </c>
      <c r="H12" s="2935" t="s">
        <v>2796</v>
      </c>
      <c r="I12" s="2936" t="s">
        <v>2815</v>
      </c>
      <c r="J12" s="2936" t="s">
        <v>2815</v>
      </c>
      <c r="K12" s="2932"/>
      <c r="L12" s="2933"/>
      <c r="M12" s="2934"/>
      <c r="N12" s="2933"/>
      <c r="O12" s="2936" t="s">
        <v>2816</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2817</v>
      </c>
      <c r="C13" s="2940">
        <v>42301</v>
      </c>
      <c r="D13" s="2941">
        <v>4.3499999999999996</v>
      </c>
      <c r="E13" s="2941">
        <v>4.3499999999999996</v>
      </c>
      <c r="F13" s="2941">
        <v>4.75</v>
      </c>
      <c r="G13" s="2941">
        <v>4.75</v>
      </c>
      <c r="H13" s="2941">
        <v>4.9000000000000004</v>
      </c>
      <c r="I13" s="2941">
        <v>2.75</v>
      </c>
      <c r="J13" s="2941">
        <v>3.25</v>
      </c>
      <c r="K13" s="2938"/>
      <c r="L13" s="2939" t="s">
        <v>2817</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2818</v>
      </c>
      <c r="Y42" s="2945" t="s">
        <v>2818</v>
      </c>
      <c r="Z42" s="2945" t="s">
        <v>2818</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2818</v>
      </c>
      <c r="Y43" s="2945" t="s">
        <v>2818</v>
      </c>
      <c r="Z43" s="2945" t="s">
        <v>2818</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2818</v>
      </c>
      <c r="Y44" s="2945" t="s">
        <v>2818</v>
      </c>
      <c r="Z44" s="2945" t="s">
        <v>2818</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2818</v>
      </c>
      <c r="Y45" s="2945" t="s">
        <v>2818</v>
      </c>
      <c r="Z45" s="2945" t="s">
        <v>2818</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2818</v>
      </c>
      <c r="Y46" s="2945" t="s">
        <v>2818</v>
      </c>
      <c r="Z46" s="2945" t="s">
        <v>2818</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2818</v>
      </c>
      <c r="Y47" s="2945" t="s">
        <v>2818</v>
      </c>
      <c r="Z47" s="2945" t="s">
        <v>2818</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2818</v>
      </c>
      <c r="Y48" s="2945" t="s">
        <v>2818</v>
      </c>
      <c r="Z48" s="2945" t="s">
        <v>2818</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2818</v>
      </c>
      <c r="Y49" s="2945" t="s">
        <v>2818</v>
      </c>
      <c r="Z49" s="2945" t="s">
        <v>2818</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2818</v>
      </c>
      <c r="Y50" s="2945" t="s">
        <v>2818</v>
      </c>
      <c r="Z50" s="2945" t="s">
        <v>2818</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2818</v>
      </c>
      <c r="V51" s="2945" t="s">
        <v>2818</v>
      </c>
      <c r="W51" s="2945" t="s">
        <v>2818</v>
      </c>
      <c r="X51" s="2945" t="s">
        <v>2818</v>
      </c>
      <c r="Y51" s="2945" t="s">
        <v>2818</v>
      </c>
      <c r="Z51" s="2945" t="s">
        <v>2818</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2818</v>
      </c>
      <c r="J55" s="2945" t="s">
        <v>2818</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14" sqref="A14"/>
    </sheetView>
  </sheetViews>
  <sheetFormatPr defaultColWidth="7" defaultRowHeight="13.5"/>
  <cols>
    <col min="1" max="1" width="21.625" style="2894" customWidth="1"/>
    <col min="2" max="2" width="7" style="2894"/>
    <col min="3" max="3" width="9.375" style="2894" customWidth="1"/>
    <col min="4" max="4" width="8.375" style="2894" customWidth="1"/>
    <col min="5" max="5" width="8.875" style="2894" customWidth="1"/>
    <col min="6" max="6" width="29.875" style="2894" customWidth="1"/>
    <col min="7" max="7" width="7" style="2894"/>
    <col min="8" max="8" width="11" style="2894" customWidth="1"/>
    <col min="9" max="9" width="9.625" style="2894" customWidth="1"/>
    <col min="10" max="10" width="11.875" style="2894" customWidth="1"/>
    <col min="11" max="11" width="10.25" style="2894" customWidth="1"/>
    <col min="12" max="12" width="7" style="2894"/>
    <col min="13" max="13" width="14.625" style="2894" customWidth="1"/>
    <col min="14" max="16384" width="7" style="2894"/>
  </cols>
  <sheetData>
    <row r="1" spans="1:14">
      <c r="A1" s="2894" t="s">
        <v>3026</v>
      </c>
      <c r="B1" s="2894" t="s">
        <v>3027</v>
      </c>
      <c r="C1" s="2894" t="s">
        <v>3028</v>
      </c>
      <c r="D1" s="2894" t="s">
        <v>3029</v>
      </c>
      <c r="E1" s="2894" t="s">
        <v>3030</v>
      </c>
      <c r="F1" s="2894" t="s">
        <v>2032</v>
      </c>
      <c r="G1" s="2894" t="s">
        <v>3031</v>
      </c>
      <c r="H1" s="2894" t="s">
        <v>3032</v>
      </c>
      <c r="I1" s="2894" t="s">
        <v>3033</v>
      </c>
      <c r="J1" s="2894" t="s">
        <v>3034</v>
      </c>
      <c r="K1" s="2894" t="s">
        <v>3035</v>
      </c>
      <c r="L1" s="2894" t="s">
        <v>3036</v>
      </c>
      <c r="M1" s="2894" t="s">
        <v>3037</v>
      </c>
      <c r="N1" s="2894" t="s">
        <v>3038</v>
      </c>
    </row>
    <row r="2" spans="1:14">
      <c r="A2" s="2894" t="s">
        <v>3039</v>
      </c>
      <c r="B2" s="2894" t="s">
        <v>3040</v>
      </c>
      <c r="C2" s="2894" t="s">
        <v>3041</v>
      </c>
      <c r="D2" s="2894">
        <v>73933</v>
      </c>
      <c r="E2" s="2894">
        <v>170045.9</v>
      </c>
      <c r="F2" s="2894" t="s">
        <v>3042</v>
      </c>
      <c r="G2" s="2894" t="s">
        <v>3043</v>
      </c>
      <c r="H2" s="2894" t="s">
        <v>3044</v>
      </c>
      <c r="I2" s="2894">
        <v>33000</v>
      </c>
      <c r="J2" s="2894">
        <v>33000</v>
      </c>
      <c r="K2" s="2894">
        <v>1940.65</v>
      </c>
      <c r="L2" s="2894">
        <v>0</v>
      </c>
      <c r="M2" s="2894" t="s">
        <v>3045</v>
      </c>
      <c r="N2" s="2894" t="s">
        <v>3046</v>
      </c>
    </row>
    <row r="3" spans="1:14">
      <c r="A3" s="2894" t="s">
        <v>3047</v>
      </c>
      <c r="B3" s="2894" t="s">
        <v>3040</v>
      </c>
      <c r="C3" s="2894" t="s">
        <v>3041</v>
      </c>
      <c r="D3" s="2894">
        <v>7162</v>
      </c>
      <c r="E3" s="2894">
        <v>12175.4</v>
      </c>
      <c r="F3" s="2894" t="s">
        <v>3048</v>
      </c>
      <c r="G3" s="2894" t="s">
        <v>3043</v>
      </c>
      <c r="H3" s="2894" t="s">
        <v>3044</v>
      </c>
      <c r="I3" s="2894">
        <v>1305</v>
      </c>
      <c r="J3" s="2894">
        <v>1305</v>
      </c>
      <c r="K3" s="2894">
        <v>1071.82</v>
      </c>
      <c r="L3" s="2894">
        <v>0</v>
      </c>
      <c r="M3" s="2894" t="s">
        <v>3049</v>
      </c>
      <c r="N3" s="2894" t="s">
        <v>3046</v>
      </c>
    </row>
    <row r="4" spans="1:14">
      <c r="A4" s="2894" t="s">
        <v>3050</v>
      </c>
      <c r="B4" s="2894" t="s">
        <v>3040</v>
      </c>
      <c r="C4" s="2894" t="s">
        <v>3041</v>
      </c>
      <c r="D4" s="2894">
        <v>46916</v>
      </c>
      <c r="E4" s="2894">
        <v>93832</v>
      </c>
      <c r="F4" s="2894" t="s">
        <v>3051</v>
      </c>
      <c r="G4" s="2894" t="s">
        <v>3043</v>
      </c>
      <c r="H4" s="2894" t="s">
        <v>3052</v>
      </c>
      <c r="I4" s="2894">
        <v>31700</v>
      </c>
      <c r="J4" s="2894">
        <v>31700</v>
      </c>
      <c r="K4" s="2894">
        <v>3378.38</v>
      </c>
      <c r="L4" s="2894">
        <v>0</v>
      </c>
      <c r="M4" s="2894" t="s">
        <v>3049</v>
      </c>
      <c r="N4" s="2894" t="s">
        <v>3046</v>
      </c>
    </row>
    <row r="5" spans="1:14">
      <c r="A5" s="2894" t="s">
        <v>3053</v>
      </c>
      <c r="B5" s="2894" t="s">
        <v>3040</v>
      </c>
      <c r="C5" s="2894" t="s">
        <v>3041</v>
      </c>
      <c r="D5" s="2894">
        <v>38252</v>
      </c>
      <c r="E5" s="2894">
        <v>76504</v>
      </c>
      <c r="F5" s="2894" t="s">
        <v>3054</v>
      </c>
      <c r="G5" s="2894" t="s">
        <v>3043</v>
      </c>
      <c r="H5" s="2894" t="s">
        <v>3055</v>
      </c>
      <c r="I5" s="2894">
        <v>13000</v>
      </c>
      <c r="J5" s="2894">
        <v>13000</v>
      </c>
      <c r="K5" s="2894">
        <v>1699.25</v>
      </c>
      <c r="L5" s="2894">
        <v>0</v>
      </c>
      <c r="M5" s="2894" t="s">
        <v>3049</v>
      </c>
      <c r="N5" s="2894" t="s">
        <v>3046</v>
      </c>
    </row>
    <row r="6" spans="1:14">
      <c r="A6" s="2894" t="s">
        <v>3056</v>
      </c>
      <c r="B6" s="2894" t="s">
        <v>3040</v>
      </c>
      <c r="C6" s="2894" t="s">
        <v>3041</v>
      </c>
      <c r="D6" s="2894">
        <v>6901</v>
      </c>
      <c r="E6" s="2894">
        <v>6901</v>
      </c>
      <c r="F6" s="2894" t="s">
        <v>3057</v>
      </c>
      <c r="G6" s="2894" t="s">
        <v>3058</v>
      </c>
      <c r="H6" s="2894" t="s">
        <v>3059</v>
      </c>
      <c r="I6" s="2894">
        <v>586</v>
      </c>
      <c r="J6" s="2894">
        <v>586</v>
      </c>
      <c r="K6" s="2894">
        <v>849.14</v>
      </c>
      <c r="L6" s="2894">
        <v>0</v>
      </c>
      <c r="M6" s="2894" t="s">
        <v>3060</v>
      </c>
      <c r="N6" s="2894" t="s">
        <v>3046</v>
      </c>
    </row>
    <row r="7" spans="1:14">
      <c r="A7" s="2894" t="s">
        <v>3061</v>
      </c>
      <c r="B7" s="2894" t="s">
        <v>3040</v>
      </c>
      <c r="C7" s="2894" t="s">
        <v>3041</v>
      </c>
      <c r="D7" s="2894">
        <v>9425</v>
      </c>
      <c r="E7" s="2894">
        <v>26390</v>
      </c>
      <c r="F7" s="2894" t="s">
        <v>3062</v>
      </c>
      <c r="G7" s="2894" t="s">
        <v>3058</v>
      </c>
      <c r="H7" s="2894" t="s">
        <v>3063</v>
      </c>
      <c r="I7" s="2894">
        <v>1139</v>
      </c>
      <c r="J7" s="2894">
        <v>1139</v>
      </c>
      <c r="K7" s="2894">
        <v>431.6</v>
      </c>
      <c r="L7" s="2894">
        <v>0</v>
      </c>
      <c r="M7" s="2894" t="s">
        <v>3064</v>
      </c>
      <c r="N7" s="2894" t="s">
        <v>3065</v>
      </c>
    </row>
    <row r="8" spans="1:14">
      <c r="A8" s="2894" t="s">
        <v>3066</v>
      </c>
      <c r="B8" s="2894" t="s">
        <v>3040</v>
      </c>
      <c r="C8" s="2894" t="s">
        <v>3041</v>
      </c>
      <c r="D8" s="2894">
        <v>16644</v>
      </c>
      <c r="E8" s="2894">
        <v>21637.200000000001</v>
      </c>
      <c r="F8" s="2894" t="s">
        <v>3067</v>
      </c>
      <c r="G8" s="2894" t="s">
        <v>3058</v>
      </c>
      <c r="H8" s="2894" t="s">
        <v>3068</v>
      </c>
      <c r="I8" s="2894">
        <v>1636</v>
      </c>
      <c r="J8" s="2894">
        <v>1636</v>
      </c>
      <c r="K8" s="2894">
        <v>756.11</v>
      </c>
      <c r="L8" s="2894">
        <v>0</v>
      </c>
      <c r="M8" s="2894" t="s">
        <v>3069</v>
      </c>
      <c r="N8" s="2894" t="s">
        <v>3046</v>
      </c>
    </row>
    <row r="9" spans="1:14">
      <c r="A9" s="2894" t="s">
        <v>3070</v>
      </c>
      <c r="B9" s="2894" t="s">
        <v>3040</v>
      </c>
      <c r="C9" s="2894" t="s">
        <v>3041</v>
      </c>
      <c r="D9" s="2894">
        <v>20769</v>
      </c>
      <c r="E9" s="2894">
        <v>31153.5</v>
      </c>
      <c r="F9" s="2894" t="s">
        <v>3071</v>
      </c>
      <c r="G9" s="2894" t="s">
        <v>3058</v>
      </c>
      <c r="H9" s="2894" t="s">
        <v>3072</v>
      </c>
      <c r="I9" s="2894">
        <v>5772</v>
      </c>
      <c r="J9" s="2894">
        <v>5772</v>
      </c>
      <c r="K9" s="2894">
        <v>1852.75</v>
      </c>
      <c r="L9" s="2894">
        <v>0</v>
      </c>
      <c r="M9" s="2894" t="s">
        <v>3073</v>
      </c>
      <c r="N9" s="2894" t="s">
        <v>3074</v>
      </c>
    </row>
    <row r="10" spans="1:14">
      <c r="A10" s="2894" t="s">
        <v>3075</v>
      </c>
      <c r="B10" s="2894" t="s">
        <v>3040</v>
      </c>
      <c r="C10" s="2894" t="s">
        <v>3041</v>
      </c>
      <c r="D10" s="2894">
        <v>6906</v>
      </c>
      <c r="E10" s="2894">
        <v>12430.8</v>
      </c>
      <c r="F10" s="2894" t="s">
        <v>3076</v>
      </c>
      <c r="G10" s="2894" t="s">
        <v>3058</v>
      </c>
      <c r="H10" s="2894" t="s">
        <v>3077</v>
      </c>
      <c r="I10" s="2894">
        <v>840</v>
      </c>
      <c r="J10" s="2894">
        <v>840</v>
      </c>
      <c r="K10" s="2894">
        <v>675.74</v>
      </c>
      <c r="L10" s="2894">
        <v>0</v>
      </c>
      <c r="M10" s="2894" t="s">
        <v>3078</v>
      </c>
      <c r="N10" s="2894" t="s">
        <v>3046</v>
      </c>
    </row>
    <row r="11" spans="1:14">
      <c r="A11" s="2894" t="s">
        <v>3079</v>
      </c>
      <c r="B11" s="2894" t="s">
        <v>3040</v>
      </c>
      <c r="C11" s="2894" t="s">
        <v>3041</v>
      </c>
      <c r="D11" s="2894">
        <v>1317</v>
      </c>
      <c r="E11" s="2894">
        <v>1053.5999999999999</v>
      </c>
      <c r="F11" s="2894" t="s">
        <v>3080</v>
      </c>
      <c r="G11" s="2894" t="s">
        <v>3058</v>
      </c>
      <c r="H11" s="2894" t="s">
        <v>3081</v>
      </c>
      <c r="I11" s="2894">
        <v>400</v>
      </c>
      <c r="J11" s="2894">
        <v>3650</v>
      </c>
      <c r="K11" s="2894">
        <v>34643.120000000003</v>
      </c>
      <c r="L11" s="2894">
        <v>812.5</v>
      </c>
      <c r="M11" s="2894" t="s">
        <v>3082</v>
      </c>
      <c r="N11" s="2894" t="s">
        <v>3046</v>
      </c>
    </row>
    <row r="12" spans="1:14">
      <c r="A12" s="2894" t="s">
        <v>3083</v>
      </c>
      <c r="B12" s="2894" t="s">
        <v>3040</v>
      </c>
      <c r="C12" s="2894" t="s">
        <v>3041</v>
      </c>
      <c r="D12" s="2894">
        <v>12624</v>
      </c>
      <c r="E12" s="2894">
        <v>15148.8</v>
      </c>
      <c r="F12" s="2894" t="s">
        <v>3084</v>
      </c>
      <c r="G12" s="2894" t="s">
        <v>3058</v>
      </c>
      <c r="H12" s="2894" t="s">
        <v>3085</v>
      </c>
      <c r="I12" s="2894">
        <v>1340</v>
      </c>
      <c r="J12" s="2894">
        <v>1340</v>
      </c>
      <c r="K12" s="2894">
        <v>884.55</v>
      </c>
      <c r="L12" s="2894">
        <v>0</v>
      </c>
      <c r="M12" s="2894" t="s">
        <v>3086</v>
      </c>
      <c r="N12" s="2894" t="s">
        <v>3065</v>
      </c>
    </row>
    <row r="13" spans="1:14">
      <c r="A13" s="2894" t="s">
        <v>3087</v>
      </c>
      <c r="B13" s="2894" t="s">
        <v>3040</v>
      </c>
      <c r="C13" s="2894" t="s">
        <v>3041</v>
      </c>
      <c r="D13" s="2894">
        <v>6589</v>
      </c>
      <c r="E13" s="2894">
        <v>13178</v>
      </c>
      <c r="F13" s="2894" t="s">
        <v>3088</v>
      </c>
      <c r="G13" s="2894" t="s">
        <v>3058</v>
      </c>
      <c r="H13" s="2894" t="s">
        <v>3089</v>
      </c>
      <c r="I13" s="2894">
        <v>3052</v>
      </c>
      <c r="J13" s="2894">
        <v>3727</v>
      </c>
      <c r="K13" s="2894">
        <v>2828.19</v>
      </c>
      <c r="L13" s="2894">
        <v>22.12</v>
      </c>
      <c r="M13" s="2894" t="s">
        <v>3090</v>
      </c>
      <c r="N13" s="2894" t="s">
        <v>3091</v>
      </c>
    </row>
    <row r="14" spans="1:14" s="3480" customFormat="1">
      <c r="A14" s="3480" t="s">
        <v>3092</v>
      </c>
      <c r="B14" s="3480" t="s">
        <v>3040</v>
      </c>
      <c r="C14" s="3480" t="s">
        <v>3041</v>
      </c>
      <c r="D14" s="3480">
        <v>17089</v>
      </c>
      <c r="E14" s="3480">
        <v>42722.5</v>
      </c>
      <c r="F14" s="3480" t="s">
        <v>3093</v>
      </c>
      <c r="G14" s="3480" t="s">
        <v>3058</v>
      </c>
      <c r="H14" s="3480" t="s">
        <v>3094</v>
      </c>
      <c r="I14" s="3480">
        <v>3845</v>
      </c>
      <c r="J14" s="3480">
        <v>3845</v>
      </c>
      <c r="K14" s="3480">
        <v>899.99</v>
      </c>
      <c r="L14" s="3480">
        <v>0</v>
      </c>
      <c r="M14" s="3480" t="s">
        <v>3095</v>
      </c>
      <c r="N14" s="3480" t="s">
        <v>3096</v>
      </c>
    </row>
    <row r="15" spans="1:14">
      <c r="A15" s="2894" t="s">
        <v>3097</v>
      </c>
      <c r="B15" s="2894" t="s">
        <v>3040</v>
      </c>
      <c r="C15" s="2894" t="s">
        <v>3041</v>
      </c>
      <c r="D15" s="2894">
        <v>5410</v>
      </c>
      <c r="E15" s="2894">
        <v>5951</v>
      </c>
      <c r="F15" s="2894" t="s">
        <v>3098</v>
      </c>
      <c r="G15" s="2894" t="s">
        <v>3058</v>
      </c>
      <c r="H15" s="2894" t="s">
        <v>3099</v>
      </c>
      <c r="I15" s="2894">
        <v>1063</v>
      </c>
      <c r="J15" s="2894">
        <v>1063</v>
      </c>
      <c r="K15" s="2894">
        <v>1786.25</v>
      </c>
      <c r="L15" s="2894">
        <v>0</v>
      </c>
      <c r="M15" s="2894" t="s">
        <v>3100</v>
      </c>
      <c r="N15" s="2894" t="s">
        <v>3065</v>
      </c>
    </row>
    <row r="16" spans="1:14">
      <c r="A16" s="2894" t="s">
        <v>3101</v>
      </c>
      <c r="B16" s="2894" t="s">
        <v>3040</v>
      </c>
      <c r="C16" s="2894" t="s">
        <v>3041</v>
      </c>
      <c r="D16" s="2894">
        <v>41737</v>
      </c>
      <c r="E16" s="2894">
        <v>45910.7</v>
      </c>
      <c r="F16" s="2894" t="s">
        <v>3102</v>
      </c>
      <c r="G16" s="2894" t="s">
        <v>3058</v>
      </c>
      <c r="H16" s="2894" t="s">
        <v>3103</v>
      </c>
      <c r="I16" s="2894">
        <v>5600</v>
      </c>
      <c r="J16" s="2894">
        <v>5600</v>
      </c>
      <c r="K16" s="2894">
        <v>1219.75</v>
      </c>
      <c r="L16" s="2894">
        <v>0</v>
      </c>
      <c r="M16" s="2894" t="s">
        <v>3104</v>
      </c>
      <c r="N16" s="2894" t="s">
        <v>3046</v>
      </c>
    </row>
    <row r="17" spans="1:14">
      <c r="A17" s="2894" t="s">
        <v>3105</v>
      </c>
      <c r="B17" s="2894" t="s">
        <v>3040</v>
      </c>
      <c r="C17" s="2894" t="s">
        <v>3041</v>
      </c>
      <c r="D17" s="2894">
        <v>68026</v>
      </c>
      <c r="E17" s="2894">
        <v>102039</v>
      </c>
      <c r="F17" s="2894" t="s">
        <v>3071</v>
      </c>
      <c r="G17" s="2894" t="s">
        <v>3058</v>
      </c>
      <c r="H17" s="2894" t="s">
        <v>3106</v>
      </c>
      <c r="I17" s="2894">
        <v>17300</v>
      </c>
      <c r="J17" s="2894">
        <v>17300</v>
      </c>
      <c r="K17" s="2894">
        <v>1695.43</v>
      </c>
      <c r="L17" s="2894">
        <v>0</v>
      </c>
      <c r="M17" s="2894" t="s">
        <v>3107</v>
      </c>
      <c r="N17" s="2894" t="s">
        <v>3096</v>
      </c>
    </row>
    <row r="18" spans="1:14">
      <c r="A18" s="2894" t="s">
        <v>3108</v>
      </c>
      <c r="B18" s="2894" t="s">
        <v>3040</v>
      </c>
      <c r="C18" s="2894" t="s">
        <v>3041</v>
      </c>
      <c r="D18" s="2894">
        <v>23375</v>
      </c>
      <c r="E18" s="2894">
        <v>25712.5</v>
      </c>
      <c r="F18" s="2894" t="s">
        <v>3109</v>
      </c>
      <c r="G18" s="2894" t="s">
        <v>3058</v>
      </c>
      <c r="H18" s="2894" t="s">
        <v>3110</v>
      </c>
      <c r="I18" s="2894">
        <v>3150</v>
      </c>
      <c r="J18" s="2894">
        <v>3150</v>
      </c>
      <c r="K18" s="2894">
        <v>1225.08</v>
      </c>
      <c r="L18" s="2894">
        <v>0</v>
      </c>
      <c r="M18" s="2894" t="s">
        <v>3104</v>
      </c>
      <c r="N18" s="2894" t="s">
        <v>3046</v>
      </c>
    </row>
    <row r="19" spans="1:14">
      <c r="A19" s="2894" t="s">
        <v>3111</v>
      </c>
      <c r="B19" s="2894" t="s">
        <v>3040</v>
      </c>
      <c r="C19" s="2894" t="s">
        <v>3041</v>
      </c>
      <c r="D19" s="2894">
        <v>103397</v>
      </c>
      <c r="E19" s="2894">
        <v>217133.7</v>
      </c>
      <c r="F19" s="2894" t="s">
        <v>3112</v>
      </c>
      <c r="G19" s="2894" t="s">
        <v>3058</v>
      </c>
      <c r="H19" s="2894" t="s">
        <v>3110</v>
      </c>
      <c r="I19" s="2894">
        <v>28500</v>
      </c>
      <c r="J19" s="2894">
        <v>28500</v>
      </c>
      <c r="K19" s="2894">
        <v>1312.55</v>
      </c>
      <c r="L19" s="2894">
        <v>0</v>
      </c>
      <c r="M19" s="2894" t="s">
        <v>3113</v>
      </c>
      <c r="N19" s="2894" t="s">
        <v>3065</v>
      </c>
    </row>
    <row r="20" spans="1:14">
      <c r="A20" s="2894" t="s">
        <v>3114</v>
      </c>
      <c r="B20" s="2894" t="s">
        <v>3040</v>
      </c>
      <c r="C20" s="2894" t="s">
        <v>3041</v>
      </c>
      <c r="D20" s="2894">
        <v>9230</v>
      </c>
      <c r="E20" s="2894">
        <v>18460</v>
      </c>
      <c r="F20" s="2894" t="s">
        <v>3115</v>
      </c>
      <c r="G20" s="2894" t="s">
        <v>3058</v>
      </c>
      <c r="H20" s="2894" t="s">
        <v>3116</v>
      </c>
      <c r="I20" s="2894">
        <v>1125</v>
      </c>
      <c r="J20" s="2894">
        <v>1125</v>
      </c>
      <c r="K20" s="2894">
        <v>609.41999999999996</v>
      </c>
      <c r="L20" s="2894">
        <v>0</v>
      </c>
      <c r="M20" s="2894" t="s">
        <v>3117</v>
      </c>
      <c r="N20" s="2894" t="s">
        <v>3046</v>
      </c>
    </row>
    <row r="21" spans="1:14">
      <c r="A21" s="2894" t="s">
        <v>3118</v>
      </c>
      <c r="B21" s="2894" t="s">
        <v>3040</v>
      </c>
      <c r="C21" s="2894" t="s">
        <v>3041</v>
      </c>
      <c r="D21" s="2894">
        <v>2553</v>
      </c>
      <c r="E21" s="2894">
        <v>5616.6</v>
      </c>
      <c r="F21" s="2894" t="s">
        <v>3119</v>
      </c>
      <c r="G21" s="2894" t="s">
        <v>3058</v>
      </c>
      <c r="H21" s="2894" t="s">
        <v>3120</v>
      </c>
      <c r="I21" s="2894">
        <v>313</v>
      </c>
      <c r="J21" s="2894">
        <v>313</v>
      </c>
      <c r="K21" s="2894">
        <v>557.27</v>
      </c>
      <c r="L21" s="2894">
        <v>0</v>
      </c>
      <c r="M21" s="2894" t="s">
        <v>3121</v>
      </c>
      <c r="N21" s="2894" t="s">
        <v>3046</v>
      </c>
    </row>
    <row r="22" spans="1:14">
      <c r="A22" s="2894" t="s">
        <v>3122</v>
      </c>
      <c r="B22" s="2894" t="s">
        <v>3040</v>
      </c>
      <c r="C22" s="2894" t="s">
        <v>3041</v>
      </c>
      <c r="D22" s="2894">
        <v>9840</v>
      </c>
      <c r="E22" s="2894">
        <v>12792</v>
      </c>
      <c r="F22" s="2894" t="s">
        <v>3067</v>
      </c>
      <c r="G22" s="2894" t="s">
        <v>3058</v>
      </c>
      <c r="H22" s="2894" t="s">
        <v>3123</v>
      </c>
      <c r="I22" s="2894">
        <v>1104</v>
      </c>
      <c r="J22" s="2894">
        <v>1104</v>
      </c>
      <c r="K22" s="2894">
        <v>863.03</v>
      </c>
      <c r="L22" s="2894">
        <v>0</v>
      </c>
      <c r="M22" s="2894" t="s">
        <v>3124</v>
      </c>
      <c r="N22" s="2894" t="s">
        <v>3046</v>
      </c>
    </row>
    <row r="23" spans="1:14">
      <c r="A23" s="2894" t="s">
        <v>3125</v>
      </c>
      <c r="B23" s="2894" t="s">
        <v>3040</v>
      </c>
      <c r="C23" s="2894" t="s">
        <v>3041</v>
      </c>
      <c r="D23" s="2894">
        <v>15934</v>
      </c>
      <c r="E23" s="2894">
        <v>31868</v>
      </c>
      <c r="F23" s="2894" t="s">
        <v>3115</v>
      </c>
      <c r="G23" s="2894" t="s">
        <v>3058</v>
      </c>
      <c r="H23" s="2894" t="s">
        <v>3123</v>
      </c>
      <c r="I23" s="2894">
        <v>1857</v>
      </c>
      <c r="J23" s="2894">
        <v>1857</v>
      </c>
      <c r="K23" s="2894">
        <v>582.72</v>
      </c>
      <c r="L23" s="2894">
        <v>0</v>
      </c>
      <c r="M23" s="2894" t="s">
        <v>3126</v>
      </c>
      <c r="N23" s="2894" t="s">
        <v>3046</v>
      </c>
    </row>
    <row r="24" spans="1:14">
      <c r="A24" s="2894" t="s">
        <v>3127</v>
      </c>
      <c r="B24" s="2894" t="s">
        <v>3040</v>
      </c>
      <c r="C24" s="2894" t="s">
        <v>3041</v>
      </c>
      <c r="D24" s="2894">
        <v>26176</v>
      </c>
      <c r="E24" s="2894">
        <v>28793.599999999999</v>
      </c>
      <c r="F24" s="2894" t="s">
        <v>3128</v>
      </c>
      <c r="G24" s="2894" t="s">
        <v>3058</v>
      </c>
      <c r="H24" s="2894" t="s">
        <v>3129</v>
      </c>
      <c r="I24" s="2894">
        <v>3926</v>
      </c>
      <c r="J24" s="2894">
        <v>3926</v>
      </c>
      <c r="K24" s="2894">
        <v>1363.5</v>
      </c>
      <c r="L24" s="2894">
        <v>0</v>
      </c>
      <c r="M24" s="2894" t="s">
        <v>3130</v>
      </c>
      <c r="N24" s="2894" t="s">
        <v>3046</v>
      </c>
    </row>
    <row r="25" spans="1:14" s="3480" customFormat="1">
      <c r="A25" s="3480" t="s">
        <v>3131</v>
      </c>
      <c r="B25" s="3480" t="s">
        <v>3040</v>
      </c>
      <c r="C25" s="3480" t="s">
        <v>3041</v>
      </c>
      <c r="D25" s="3480">
        <v>82385</v>
      </c>
      <c r="E25" s="3480">
        <v>164770</v>
      </c>
      <c r="F25" s="3480" t="s">
        <v>3115</v>
      </c>
      <c r="G25" s="3480" t="s">
        <v>3058</v>
      </c>
      <c r="H25" s="3480" t="s">
        <v>3132</v>
      </c>
      <c r="I25" s="3480">
        <v>24700</v>
      </c>
      <c r="J25" s="3480">
        <v>24700</v>
      </c>
      <c r="K25" s="3480">
        <v>1499.05</v>
      </c>
      <c r="L25" s="3480">
        <v>0</v>
      </c>
      <c r="M25" s="3480" t="s">
        <v>3133</v>
      </c>
      <c r="N25" s="3480" t="s">
        <v>3074</v>
      </c>
    </row>
    <row r="26" spans="1:14">
      <c r="A26" s="2894" t="s">
        <v>3134</v>
      </c>
      <c r="B26" s="2894" t="s">
        <v>3040</v>
      </c>
      <c r="C26" s="2894" t="s">
        <v>3041</v>
      </c>
      <c r="D26" s="2894">
        <v>28863</v>
      </c>
      <c r="E26" s="2894">
        <v>37521.9</v>
      </c>
      <c r="F26" s="2894" t="s">
        <v>3135</v>
      </c>
      <c r="G26" s="2894" t="s">
        <v>3043</v>
      </c>
      <c r="H26" s="2894" t="s">
        <v>3136</v>
      </c>
      <c r="I26" s="2894">
        <v>4113</v>
      </c>
      <c r="J26" s="2894">
        <v>4113</v>
      </c>
      <c r="K26" s="2894">
        <v>1096.1600000000001</v>
      </c>
      <c r="L26" s="2894">
        <v>0</v>
      </c>
      <c r="M26" s="2894" t="s">
        <v>3130</v>
      </c>
      <c r="N26" s="2894" t="s">
        <v>3046</v>
      </c>
    </row>
    <row r="27" spans="1:14">
      <c r="A27" s="2894" t="s">
        <v>3137</v>
      </c>
      <c r="B27" s="2894" t="s">
        <v>3040</v>
      </c>
      <c r="C27" s="2894" t="s">
        <v>3041</v>
      </c>
      <c r="D27" s="2894">
        <v>13000</v>
      </c>
      <c r="E27" s="2894">
        <v>28600</v>
      </c>
      <c r="F27" s="2894" t="s">
        <v>3119</v>
      </c>
      <c r="G27" s="2894" t="s">
        <v>3058</v>
      </c>
      <c r="H27" s="2894" t="s">
        <v>3138</v>
      </c>
      <c r="I27" s="2894">
        <v>4110</v>
      </c>
      <c r="J27" s="2894">
        <v>4110</v>
      </c>
      <c r="K27" s="2894">
        <v>1437.05</v>
      </c>
      <c r="L27" s="2894">
        <v>0</v>
      </c>
      <c r="M27" s="2894" t="s">
        <v>3139</v>
      </c>
      <c r="N27" s="2894" t="s">
        <v>3074</v>
      </c>
    </row>
    <row r="28" spans="1:14">
      <c r="A28" s="2894" t="s">
        <v>3140</v>
      </c>
      <c r="B28" s="2894" t="s">
        <v>3040</v>
      </c>
      <c r="C28" s="2894" t="s">
        <v>3041</v>
      </c>
      <c r="D28" s="2894">
        <v>9304</v>
      </c>
      <c r="E28" s="2894">
        <v>18608</v>
      </c>
      <c r="F28" s="2894" t="s">
        <v>3115</v>
      </c>
      <c r="G28" s="2894" t="s">
        <v>3058</v>
      </c>
      <c r="H28" s="2894" t="s">
        <v>3141</v>
      </c>
      <c r="I28" s="2894">
        <v>3210</v>
      </c>
      <c r="J28" s="2894">
        <v>3230</v>
      </c>
      <c r="K28" s="2894">
        <v>1735.8</v>
      </c>
      <c r="L28" s="2894">
        <v>0.62</v>
      </c>
      <c r="M28" s="2894" t="s">
        <v>3142</v>
      </c>
      <c r="N28" s="2894" t="s">
        <v>3096</v>
      </c>
    </row>
    <row r="29" spans="1:14">
      <c r="A29" s="2894" t="s">
        <v>3143</v>
      </c>
      <c r="B29" s="2894" t="s">
        <v>3040</v>
      </c>
      <c r="C29" s="2894" t="s">
        <v>3041</v>
      </c>
      <c r="D29" s="2894">
        <v>8016</v>
      </c>
      <c r="E29" s="2894">
        <v>11222.4</v>
      </c>
      <c r="F29" s="2894" t="s">
        <v>3144</v>
      </c>
      <c r="G29" s="2894" t="s">
        <v>3058</v>
      </c>
      <c r="H29" s="2894" t="s">
        <v>3145</v>
      </c>
      <c r="I29" s="2894">
        <v>2020</v>
      </c>
      <c r="J29" s="2894">
        <v>2020</v>
      </c>
      <c r="K29" s="2894">
        <v>1799.97</v>
      </c>
      <c r="L29" s="2894">
        <v>0</v>
      </c>
      <c r="M29" s="2894" t="s">
        <v>3146</v>
      </c>
      <c r="N29" s="2894" t="s">
        <v>3096</v>
      </c>
    </row>
    <row r="30" spans="1:14" s="3480" customFormat="1">
      <c r="A30" s="3480" t="s">
        <v>3147</v>
      </c>
      <c r="B30" s="3480" t="s">
        <v>3040</v>
      </c>
      <c r="C30" s="3480" t="s">
        <v>3041</v>
      </c>
      <c r="D30" s="3480">
        <v>83845</v>
      </c>
      <c r="E30" s="3480">
        <v>125767.5</v>
      </c>
      <c r="F30" s="3480" t="s">
        <v>3148</v>
      </c>
      <c r="G30" s="3480" t="s">
        <v>3058</v>
      </c>
      <c r="H30" s="3480" t="s">
        <v>3149</v>
      </c>
      <c r="I30" s="3480">
        <v>15800</v>
      </c>
      <c r="J30" s="3480">
        <v>15800</v>
      </c>
      <c r="K30" s="3480">
        <v>1256.28</v>
      </c>
      <c r="L30" s="3480">
        <v>0</v>
      </c>
      <c r="M30" s="3480" t="s">
        <v>3150</v>
      </c>
      <c r="N30" s="3480" t="s">
        <v>3065</v>
      </c>
    </row>
    <row r="31" spans="1:14">
      <c r="A31" s="2894" t="s">
        <v>3151</v>
      </c>
      <c r="B31" s="2894" t="s">
        <v>3040</v>
      </c>
      <c r="C31" s="2894" t="s">
        <v>3041</v>
      </c>
      <c r="D31" s="2894">
        <v>2462</v>
      </c>
      <c r="E31" s="2894">
        <v>3693</v>
      </c>
      <c r="F31" s="2894" t="s">
        <v>3071</v>
      </c>
      <c r="G31" s="2894" t="s">
        <v>3058</v>
      </c>
      <c r="H31" s="2894" t="s">
        <v>3149</v>
      </c>
      <c r="I31" s="2894">
        <v>304</v>
      </c>
      <c r="J31" s="2894">
        <v>304</v>
      </c>
      <c r="K31" s="2894">
        <v>823.17</v>
      </c>
      <c r="L31" s="2894">
        <v>0</v>
      </c>
      <c r="M31" s="2894" t="s">
        <v>3152</v>
      </c>
      <c r="N31" s="2894" t="s">
        <v>3065</v>
      </c>
    </row>
    <row r="32" spans="1:14">
      <c r="A32" s="2894" t="s">
        <v>3153</v>
      </c>
      <c r="B32" s="2894" t="s">
        <v>3040</v>
      </c>
      <c r="C32" s="2894" t="s">
        <v>3041</v>
      </c>
      <c r="D32" s="2894">
        <v>13699</v>
      </c>
      <c r="E32" s="2894">
        <v>24658.2</v>
      </c>
      <c r="F32" s="2894" t="s">
        <v>3154</v>
      </c>
      <c r="G32" s="2894" t="s">
        <v>3058</v>
      </c>
      <c r="H32" s="2894" t="s">
        <v>3155</v>
      </c>
      <c r="I32" s="2894">
        <v>4800</v>
      </c>
      <c r="J32" s="2894">
        <v>4800</v>
      </c>
      <c r="K32" s="2894">
        <v>1946.6</v>
      </c>
      <c r="L32" s="2894">
        <v>0</v>
      </c>
      <c r="M32" s="2894" t="s">
        <v>3146</v>
      </c>
      <c r="N32" s="2894" t="s">
        <v>3096</v>
      </c>
    </row>
    <row r="33" spans="1:14">
      <c r="A33" s="2894" t="s">
        <v>3156</v>
      </c>
      <c r="B33" s="2894" t="s">
        <v>3040</v>
      </c>
      <c r="C33" s="2894" t="s">
        <v>3041</v>
      </c>
      <c r="D33" s="2894">
        <v>3059</v>
      </c>
      <c r="E33" s="2894">
        <v>4894.3999999999996</v>
      </c>
      <c r="F33" s="2894" t="s">
        <v>3157</v>
      </c>
      <c r="G33" s="2894" t="s">
        <v>3058</v>
      </c>
      <c r="H33" s="2894" t="s">
        <v>3158</v>
      </c>
      <c r="I33" s="2894">
        <v>550</v>
      </c>
      <c r="J33" s="2894">
        <v>750</v>
      </c>
      <c r="K33" s="2894">
        <v>1532.35</v>
      </c>
      <c r="L33" s="2894">
        <v>36.36</v>
      </c>
      <c r="M33" s="2894" t="s">
        <v>3159</v>
      </c>
      <c r="N33" s="2894" t="s">
        <v>3046</v>
      </c>
    </row>
    <row r="34" spans="1:14">
      <c r="A34" s="2894" t="s">
        <v>3160</v>
      </c>
      <c r="B34" s="2894" t="s">
        <v>3040</v>
      </c>
      <c r="C34" s="2894" t="s">
        <v>3041</v>
      </c>
      <c r="D34" s="2894">
        <v>918</v>
      </c>
      <c r="E34" s="2894">
        <v>2019.6</v>
      </c>
      <c r="F34" s="2894" t="s">
        <v>3161</v>
      </c>
      <c r="G34" s="2894" t="s">
        <v>3058</v>
      </c>
      <c r="H34" s="2894" t="s">
        <v>3162</v>
      </c>
      <c r="I34" s="2894">
        <v>270</v>
      </c>
      <c r="J34" s="2894">
        <v>280</v>
      </c>
      <c r="K34" s="2894">
        <v>1386.41</v>
      </c>
      <c r="L34" s="2894">
        <v>3.7</v>
      </c>
      <c r="M34" s="2894" t="s">
        <v>3163</v>
      </c>
      <c r="N34" s="2894" t="s">
        <v>3096</v>
      </c>
    </row>
    <row r="35" spans="1:14">
      <c r="A35" s="2894" t="s">
        <v>3164</v>
      </c>
      <c r="B35" s="2894" t="s">
        <v>3040</v>
      </c>
      <c r="C35" s="2894" t="s">
        <v>3041</v>
      </c>
      <c r="D35" s="2894">
        <v>3958</v>
      </c>
      <c r="E35" s="2894">
        <v>7916</v>
      </c>
      <c r="F35" s="2894" t="s">
        <v>3115</v>
      </c>
      <c r="G35" s="2894" t="s">
        <v>3058</v>
      </c>
      <c r="H35" s="2894" t="s">
        <v>3162</v>
      </c>
      <c r="I35" s="2894">
        <v>1100</v>
      </c>
      <c r="J35" s="2894">
        <v>1110</v>
      </c>
      <c r="K35" s="2894">
        <v>1402.22</v>
      </c>
      <c r="L35" s="2894">
        <v>0.91</v>
      </c>
      <c r="M35" s="2894" t="s">
        <v>3163</v>
      </c>
      <c r="N35" s="2894" t="s">
        <v>3096</v>
      </c>
    </row>
    <row r="36" spans="1:14">
      <c r="A36" s="2894" t="s">
        <v>3165</v>
      </c>
      <c r="B36" s="2894" t="s">
        <v>3040</v>
      </c>
      <c r="C36" s="2894" t="s">
        <v>3041</v>
      </c>
      <c r="D36" s="2894">
        <v>2165</v>
      </c>
      <c r="E36" s="2894">
        <v>3897</v>
      </c>
      <c r="F36" s="2894" t="s">
        <v>3076</v>
      </c>
      <c r="G36" s="2894" t="s">
        <v>3058</v>
      </c>
      <c r="H36" s="2894" t="s">
        <v>3166</v>
      </c>
      <c r="I36" s="2894">
        <v>136</v>
      </c>
      <c r="J36" s="2894">
        <v>136</v>
      </c>
      <c r="K36" s="2894">
        <v>348.99</v>
      </c>
      <c r="L36" s="2894">
        <v>0</v>
      </c>
      <c r="M36" s="2894" t="s">
        <v>3121</v>
      </c>
      <c r="N36" s="2894" t="s">
        <v>3046</v>
      </c>
    </row>
    <row r="37" spans="1:14">
      <c r="A37" s="2894" t="s">
        <v>3167</v>
      </c>
      <c r="B37" s="2894" t="s">
        <v>3040</v>
      </c>
      <c r="C37" s="2894" t="s">
        <v>3041</v>
      </c>
      <c r="D37" s="2894">
        <v>2373</v>
      </c>
      <c r="E37" s="2894">
        <v>5220.6000000000004</v>
      </c>
      <c r="F37" s="2894" t="s">
        <v>3168</v>
      </c>
      <c r="G37" s="2894" t="s">
        <v>3058</v>
      </c>
      <c r="H37" s="2894" t="s">
        <v>3166</v>
      </c>
      <c r="I37" s="2894">
        <v>173</v>
      </c>
      <c r="J37" s="2894">
        <v>173</v>
      </c>
      <c r="K37" s="2894">
        <v>331.37</v>
      </c>
      <c r="L37" s="2894">
        <v>0</v>
      </c>
      <c r="M37" s="2894" t="s">
        <v>3169</v>
      </c>
      <c r="N37" s="2894" t="s">
        <v>3046</v>
      </c>
    </row>
    <row r="38" spans="1:14">
      <c r="A38" s="2894" t="s">
        <v>3170</v>
      </c>
      <c r="B38" s="2894" t="s">
        <v>3040</v>
      </c>
      <c r="C38" s="2894" t="s">
        <v>3041</v>
      </c>
      <c r="D38" s="2894">
        <v>1928</v>
      </c>
      <c r="E38" s="2894">
        <v>3856</v>
      </c>
      <c r="F38" s="2894" t="s">
        <v>3171</v>
      </c>
      <c r="G38" s="2894" t="s">
        <v>3058</v>
      </c>
      <c r="H38" s="2894" t="s">
        <v>3166</v>
      </c>
      <c r="I38" s="2894">
        <v>131</v>
      </c>
      <c r="J38" s="2894">
        <v>131</v>
      </c>
      <c r="K38" s="2894">
        <v>339.73</v>
      </c>
      <c r="L38" s="2894">
        <v>0</v>
      </c>
      <c r="M38" s="2894" t="s">
        <v>3172</v>
      </c>
      <c r="N38" s="2894" t="s">
        <v>3046</v>
      </c>
    </row>
    <row r="39" spans="1:14">
      <c r="A39" s="2894" t="s">
        <v>3173</v>
      </c>
      <c r="B39" s="2894" t="s">
        <v>3040</v>
      </c>
      <c r="C39" s="2894" t="s">
        <v>3041</v>
      </c>
      <c r="D39" s="2894">
        <v>1597</v>
      </c>
      <c r="E39" s="2894">
        <v>2874.6</v>
      </c>
      <c r="F39" s="2894" t="s">
        <v>3076</v>
      </c>
      <c r="G39" s="2894" t="s">
        <v>3058</v>
      </c>
      <c r="H39" s="2894" t="s">
        <v>3166</v>
      </c>
      <c r="I39" s="2894">
        <v>100</v>
      </c>
      <c r="J39" s="2894">
        <v>100</v>
      </c>
      <c r="K39" s="2894">
        <v>347.87</v>
      </c>
      <c r="L39" s="2894">
        <v>0</v>
      </c>
      <c r="M39" s="2894" t="s">
        <v>3174</v>
      </c>
      <c r="N39" s="2894" t="s">
        <v>3046</v>
      </c>
    </row>
    <row r="40" spans="1:14">
      <c r="A40" s="2894" t="s">
        <v>3167</v>
      </c>
      <c r="B40" s="2894" t="s">
        <v>3040</v>
      </c>
      <c r="C40" s="2894" t="s">
        <v>3041</v>
      </c>
      <c r="D40" s="2894">
        <v>5764</v>
      </c>
      <c r="E40" s="2894">
        <v>6916.8</v>
      </c>
      <c r="F40" s="2894" t="s">
        <v>3175</v>
      </c>
      <c r="G40" s="2894" t="s">
        <v>3058</v>
      </c>
      <c r="H40" s="2894" t="s">
        <v>3166</v>
      </c>
      <c r="I40" s="2894">
        <v>319</v>
      </c>
      <c r="J40" s="2894">
        <v>319</v>
      </c>
      <c r="K40" s="2894">
        <v>461.19</v>
      </c>
      <c r="L40" s="2894">
        <v>0</v>
      </c>
      <c r="M40" s="2894" t="s">
        <v>3176</v>
      </c>
      <c r="N40" s="2894" t="s">
        <v>3046</v>
      </c>
    </row>
    <row r="41" spans="1:14">
      <c r="A41" s="2894" t="s">
        <v>3177</v>
      </c>
      <c r="B41" s="2894" t="s">
        <v>3040</v>
      </c>
      <c r="C41" s="2894" t="s">
        <v>3041</v>
      </c>
      <c r="D41" s="2894">
        <v>1408</v>
      </c>
      <c r="E41" s="2894">
        <v>1689.6</v>
      </c>
      <c r="F41" s="2894" t="s">
        <v>3084</v>
      </c>
      <c r="G41" s="2894" t="s">
        <v>3058</v>
      </c>
      <c r="H41" s="2894" t="s">
        <v>3178</v>
      </c>
      <c r="I41" s="2894">
        <v>1430</v>
      </c>
      <c r="J41" s="2894">
        <v>1450</v>
      </c>
      <c r="K41" s="2894">
        <v>8581.9</v>
      </c>
      <c r="L41" s="2894">
        <v>1.4</v>
      </c>
      <c r="M41" s="2894" t="s">
        <v>3179</v>
      </c>
      <c r="N41" s="2894" t="s">
        <v>3091</v>
      </c>
    </row>
    <row r="42" spans="1:14">
      <c r="A42" s="2894" t="s">
        <v>3180</v>
      </c>
      <c r="B42" s="2894" t="s">
        <v>3040</v>
      </c>
      <c r="C42" s="2894" t="s">
        <v>3041</v>
      </c>
      <c r="D42" s="2894">
        <v>15948</v>
      </c>
      <c r="E42" s="2894">
        <v>31896</v>
      </c>
      <c r="F42" s="2894" t="s">
        <v>3181</v>
      </c>
      <c r="G42" s="2894" t="s">
        <v>3058</v>
      </c>
      <c r="H42" s="2894" t="s">
        <v>3182</v>
      </c>
      <c r="I42" s="2894">
        <v>1079</v>
      </c>
      <c r="J42" s="2894">
        <v>1079</v>
      </c>
      <c r="K42" s="2894">
        <v>338.29</v>
      </c>
      <c r="L42" s="2894">
        <v>0</v>
      </c>
      <c r="M42" s="2894" t="s">
        <v>3183</v>
      </c>
      <c r="N42" s="2894" t="s">
        <v>3046</v>
      </c>
    </row>
    <row r="43" spans="1:14">
      <c r="A43" s="2894" t="s">
        <v>3184</v>
      </c>
      <c r="B43" s="2894" t="s">
        <v>3040</v>
      </c>
      <c r="C43" s="2894" t="s">
        <v>3041</v>
      </c>
      <c r="D43" s="2894">
        <v>4701</v>
      </c>
      <c r="E43" s="2894">
        <v>2350.5</v>
      </c>
      <c r="F43" s="2894" t="s">
        <v>3185</v>
      </c>
      <c r="G43" s="2894" t="s">
        <v>3058</v>
      </c>
      <c r="H43" s="2894" t="s">
        <v>3186</v>
      </c>
      <c r="I43" s="2894">
        <v>1200</v>
      </c>
      <c r="J43" s="2894">
        <v>6200</v>
      </c>
      <c r="K43" s="2894">
        <v>26377.360000000001</v>
      </c>
      <c r="L43" s="2894">
        <v>416.67</v>
      </c>
      <c r="M43" s="2894" t="s">
        <v>3187</v>
      </c>
      <c r="N43" s="2894" t="s">
        <v>3065</v>
      </c>
    </row>
    <row r="44" spans="1:14">
      <c r="A44" s="2894" t="s">
        <v>3188</v>
      </c>
      <c r="B44" s="2894" t="s">
        <v>3040</v>
      </c>
      <c r="C44" s="2894" t="s">
        <v>3041</v>
      </c>
      <c r="D44" s="2894">
        <v>27333</v>
      </c>
      <c r="E44" s="2894">
        <v>54666</v>
      </c>
      <c r="F44" s="2894" t="s">
        <v>3189</v>
      </c>
      <c r="G44" s="2894" t="s">
        <v>3058</v>
      </c>
      <c r="H44" s="2894" t="s">
        <v>3190</v>
      </c>
      <c r="I44" s="2894">
        <v>2015</v>
      </c>
      <c r="J44" s="2894">
        <v>2015</v>
      </c>
      <c r="K44" s="2894">
        <v>368.6</v>
      </c>
      <c r="L44" s="2894">
        <v>0</v>
      </c>
      <c r="M44" s="2894" t="s">
        <v>3191</v>
      </c>
      <c r="N44" s="2894" t="s">
        <v>3046</v>
      </c>
    </row>
    <row r="45" spans="1:14">
      <c r="A45" s="2894" t="s">
        <v>3192</v>
      </c>
      <c r="B45" s="2894" t="s">
        <v>3040</v>
      </c>
      <c r="C45" s="2894" t="s">
        <v>3041</v>
      </c>
      <c r="D45" s="2894">
        <v>54421</v>
      </c>
      <c r="E45" s="2894">
        <v>87073.600000000006</v>
      </c>
      <c r="F45" s="2894" t="s">
        <v>3193</v>
      </c>
      <c r="G45" s="2894" t="s">
        <v>3058</v>
      </c>
      <c r="H45" s="2894" t="s">
        <v>3190</v>
      </c>
      <c r="I45" s="2894">
        <v>2437</v>
      </c>
      <c r="J45" s="2894">
        <v>2437</v>
      </c>
      <c r="K45" s="2894">
        <v>279.87</v>
      </c>
      <c r="L45" s="2894">
        <v>0</v>
      </c>
      <c r="M45" s="2894" t="s">
        <v>3194</v>
      </c>
      <c r="N45" s="2894" t="s">
        <v>3046</v>
      </c>
    </row>
    <row r="46" spans="1:14">
      <c r="A46" s="2894" t="s">
        <v>3195</v>
      </c>
      <c r="B46" s="2894" t="s">
        <v>3040</v>
      </c>
      <c r="C46" s="2894" t="s">
        <v>3041</v>
      </c>
      <c r="D46" s="2894">
        <v>10004</v>
      </c>
      <c r="E46" s="2894">
        <v>12004.8</v>
      </c>
      <c r="F46" s="2894" t="s">
        <v>3196</v>
      </c>
      <c r="G46" s="2894" t="s">
        <v>3058</v>
      </c>
      <c r="H46" s="2894" t="s">
        <v>3197</v>
      </c>
      <c r="I46" s="2894">
        <v>1110</v>
      </c>
      <c r="J46" s="2894">
        <v>1120</v>
      </c>
      <c r="K46" s="2894">
        <v>932.96</v>
      </c>
      <c r="L46" s="2894">
        <v>0.9</v>
      </c>
      <c r="M46" s="2894" t="s">
        <v>3198</v>
      </c>
      <c r="N46" s="2894" t="s">
        <v>3096</v>
      </c>
    </row>
    <row r="47" spans="1:14">
      <c r="A47" s="2894" t="s">
        <v>3199</v>
      </c>
      <c r="B47" s="2894" t="s">
        <v>3040</v>
      </c>
      <c r="C47" s="2894" t="s">
        <v>3041</v>
      </c>
      <c r="D47" s="2894">
        <v>25069</v>
      </c>
      <c r="E47" s="2894">
        <v>45124.2</v>
      </c>
      <c r="F47" s="2894" t="s">
        <v>3076</v>
      </c>
      <c r="G47" s="2894" t="s">
        <v>3058</v>
      </c>
      <c r="H47" s="2894" t="s">
        <v>3200</v>
      </c>
      <c r="I47" s="2894">
        <v>3480</v>
      </c>
      <c r="J47" s="2894">
        <v>3530</v>
      </c>
      <c r="K47" s="2894">
        <v>782.28</v>
      </c>
      <c r="L47" s="2894">
        <v>1.44</v>
      </c>
      <c r="M47" s="2894" t="s">
        <v>3201</v>
      </c>
      <c r="N47" s="2894" t="s">
        <v>3096</v>
      </c>
    </row>
    <row r="48" spans="1:14">
      <c r="A48" s="2894" t="s">
        <v>3202</v>
      </c>
      <c r="B48" s="2894" t="s">
        <v>3040</v>
      </c>
      <c r="C48" s="2894" t="s">
        <v>3041</v>
      </c>
      <c r="D48" s="2894">
        <v>31261</v>
      </c>
      <c r="E48" s="2894">
        <v>46891.5</v>
      </c>
      <c r="F48" s="2894" t="s">
        <v>3071</v>
      </c>
      <c r="G48" s="2894" t="s">
        <v>3058</v>
      </c>
      <c r="H48" s="2894" t="s">
        <v>3200</v>
      </c>
      <c r="I48" s="2894">
        <v>1660</v>
      </c>
      <c r="J48" s="2894">
        <v>1680</v>
      </c>
      <c r="K48" s="2894">
        <v>358.26</v>
      </c>
      <c r="L48" s="2894">
        <v>1.2</v>
      </c>
      <c r="M48" s="2894" t="s">
        <v>3203</v>
      </c>
      <c r="N48" s="2894" t="s">
        <v>3046</v>
      </c>
    </row>
    <row r="49" spans="1:14">
      <c r="A49" s="2894" t="s">
        <v>3204</v>
      </c>
      <c r="B49" s="2894" t="s">
        <v>3040</v>
      </c>
      <c r="C49" s="2894" t="s">
        <v>3041</v>
      </c>
      <c r="D49" s="2894">
        <v>3742</v>
      </c>
      <c r="E49" s="2894">
        <v>7484</v>
      </c>
      <c r="F49" s="2894" t="s">
        <v>3115</v>
      </c>
      <c r="G49" s="2894" t="s">
        <v>3058</v>
      </c>
      <c r="H49" s="2894" t="s">
        <v>3205</v>
      </c>
      <c r="I49" s="2894">
        <v>660</v>
      </c>
      <c r="J49" s="2894">
        <v>2000</v>
      </c>
      <c r="K49" s="2894">
        <v>2672.36</v>
      </c>
      <c r="L49" s="2894">
        <v>203.03</v>
      </c>
      <c r="M49" s="2894" t="s">
        <v>3206</v>
      </c>
      <c r="N49" s="2894" t="s">
        <v>3074</v>
      </c>
    </row>
    <row r="50" spans="1:14">
      <c r="A50" s="2894" t="s">
        <v>3207</v>
      </c>
      <c r="B50" s="2894" t="s">
        <v>3040</v>
      </c>
      <c r="C50" s="2894" t="s">
        <v>3041</v>
      </c>
      <c r="D50" s="2894">
        <v>4979</v>
      </c>
      <c r="E50" s="2894">
        <v>9958</v>
      </c>
      <c r="F50" s="2894" t="s">
        <v>3115</v>
      </c>
      <c r="G50" s="2894" t="s">
        <v>3058</v>
      </c>
      <c r="H50" s="2894" t="s">
        <v>3205</v>
      </c>
      <c r="I50" s="2894">
        <v>2080</v>
      </c>
      <c r="J50" s="2894">
        <v>4360</v>
      </c>
      <c r="K50" s="2894">
        <v>4378.3900000000003</v>
      </c>
      <c r="L50" s="2894">
        <v>109.62</v>
      </c>
      <c r="M50" s="2894" t="s">
        <v>3208</v>
      </c>
      <c r="N50" s="2894" t="s">
        <v>3074</v>
      </c>
    </row>
    <row r="51" spans="1:14">
      <c r="A51" s="2894" t="s">
        <v>3209</v>
      </c>
      <c r="B51" s="2894" t="s">
        <v>3040</v>
      </c>
      <c r="C51" s="2894" t="s">
        <v>3041</v>
      </c>
      <c r="D51" s="2894">
        <v>2727</v>
      </c>
      <c r="E51" s="2894">
        <v>4090.5</v>
      </c>
      <c r="F51" s="2894" t="s">
        <v>3210</v>
      </c>
      <c r="G51" s="2894" t="s">
        <v>3058</v>
      </c>
      <c r="H51" s="2894" t="s">
        <v>3205</v>
      </c>
      <c r="I51" s="2894">
        <v>900</v>
      </c>
      <c r="J51" s="2894">
        <v>2900</v>
      </c>
      <c r="K51" s="2894">
        <v>7089.6</v>
      </c>
      <c r="L51" s="2894">
        <v>222.22</v>
      </c>
      <c r="M51" s="2894" t="s">
        <v>3211</v>
      </c>
      <c r="N51" s="2894" t="s">
        <v>3074</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2038</v>
      </c>
      <c r="B1" s="3183"/>
      <c r="C1" s="3183"/>
      <c r="D1" s="3183"/>
      <c r="E1" s="3183"/>
      <c r="F1" s="3183"/>
      <c r="G1" s="3183"/>
      <c r="H1" s="3183"/>
      <c r="I1" s="3183"/>
      <c r="J1" s="3183"/>
      <c r="K1" s="3183"/>
      <c r="L1" s="3183"/>
      <c r="M1" s="3183"/>
      <c r="N1" s="3183"/>
      <c r="O1" s="3183"/>
      <c r="P1" s="3183"/>
      <c r="Q1" s="3183"/>
      <c r="R1" s="3183"/>
    </row>
    <row r="2" spans="1:18">
      <c r="A2" s="1793" t="s">
        <v>2040</v>
      </c>
      <c r="B2" s="1793"/>
      <c r="C2" s="1793"/>
      <c r="D2" s="1793"/>
      <c r="E2" s="1793"/>
      <c r="F2" s="1793"/>
      <c r="G2" s="1793"/>
      <c r="H2" s="1793"/>
      <c r="I2" s="1794"/>
      <c r="J2" s="1794"/>
      <c r="K2" s="1795" t="str">
        <f>"估价期日："&amp;TEXT(项目基本情况!D3,"yyyy年m月d日;;")</f>
        <v>估价期日：2019年10月30日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84" t="s">
        <v>2029</v>
      </c>
      <c r="B3" s="3184" t="s">
        <v>2731</v>
      </c>
      <c r="C3" s="3185" t="s">
        <v>2030</v>
      </c>
      <c r="D3" s="3184" t="s">
        <v>2735</v>
      </c>
      <c r="E3" s="3187" t="s">
        <v>2031</v>
      </c>
      <c r="F3" s="3187"/>
      <c r="G3" s="3187"/>
      <c r="H3" s="3187" t="s">
        <v>2032</v>
      </c>
      <c r="I3" s="3187"/>
      <c r="J3" s="3187"/>
      <c r="K3" s="3185" t="s">
        <v>2033</v>
      </c>
      <c r="L3" s="3185" t="s">
        <v>2034</v>
      </c>
      <c r="M3" s="3184" t="s">
        <v>2732</v>
      </c>
      <c r="N3" s="3186" t="str">
        <f>"（分摊）"&amp;项目基本情况!B16&amp;"国有建设用地使用权面积/㎡"</f>
        <v>（分摊）出让国有建设用地使用权面积/㎡</v>
      </c>
      <c r="O3" s="3184" t="s">
        <v>2063</v>
      </c>
      <c r="P3" s="3185" t="s">
        <v>2043</v>
      </c>
      <c r="Q3" s="3185" t="s">
        <v>2064</v>
      </c>
      <c r="R3" s="3185" t="s">
        <v>2035</v>
      </c>
    </row>
    <row r="4" spans="1:18" ht="36.75" customHeight="1">
      <c r="A4" s="3184"/>
      <c r="B4" s="3184"/>
      <c r="C4" s="3185"/>
      <c r="D4" s="3184"/>
      <c r="E4" s="2614" t="s">
        <v>2042</v>
      </c>
      <c r="F4" s="2614" t="s">
        <v>2744</v>
      </c>
      <c r="G4" s="2614" t="s">
        <v>2036</v>
      </c>
      <c r="H4" s="2614" t="s">
        <v>2037</v>
      </c>
      <c r="I4" s="2614" t="s">
        <v>2745</v>
      </c>
      <c r="J4" s="2614" t="s">
        <v>2036</v>
      </c>
      <c r="K4" s="3185"/>
      <c r="L4" s="3185"/>
      <c r="M4" s="3184"/>
      <c r="N4" s="3186"/>
      <c r="O4" s="3184"/>
      <c r="P4" s="3185"/>
      <c r="Q4" s="3185"/>
      <c r="R4" s="3185"/>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46262.48</v>
      </c>
      <c r="O5" s="1796">
        <f>项目基本情况!C21</f>
        <v>141821.06</v>
      </c>
      <c r="P5" s="1796">
        <f ca="1">结果表!E42</f>
        <v>4620</v>
      </c>
      <c r="Q5" s="1796">
        <f ca="1">结果表!D42</f>
        <v>1507</v>
      </c>
      <c r="R5" s="1797">
        <f ca="1">结果表!C42</f>
        <v>21373</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798">
        <f ca="1">结果表!O39</f>
        <v>21373</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798"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191" t="s">
        <v>2065</v>
      </c>
      <c r="B1" s="3191"/>
      <c r="C1" s="3191"/>
      <c r="D1" s="3191"/>
    </row>
    <row r="2" spans="1:4" ht="47.25" customHeight="1">
      <c r="A2" s="3195" t="str">
        <f>"1.权利限制："&amp;项目基本情况!L24&amp;"未设定租赁等其他他项权利。"</f>
        <v>1.权利限制：根据估价对象《不动产权证书》原件、《国有土地使用权》复印件，截至估价期日，估价对象抵押权未见登记。未设定租赁等其他他项权利。</v>
      </c>
      <c r="B2" s="3195"/>
      <c r="C2" s="3195"/>
      <c r="D2" s="3195"/>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4" t="s">
        <v>2066</v>
      </c>
      <c r="B5" s="3194"/>
      <c r="C5" s="3194"/>
      <c r="D5" s="3194"/>
    </row>
    <row r="6" spans="1:4">
      <c r="A6" s="3191" t="s">
        <v>2044</v>
      </c>
      <c r="B6" s="3191"/>
      <c r="C6" s="3191"/>
      <c r="D6" s="3191"/>
    </row>
    <row r="7" spans="1:4" ht="33" customHeight="1">
      <c r="A7" s="3191" t="s">
        <v>2575</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4" t="s">
        <v>2068</v>
      </c>
      <c r="B12" s="3194"/>
      <c r="C12" s="3194"/>
      <c r="D12" s="3194"/>
    </row>
    <row r="13" spans="1:4">
      <c r="A13" s="3192" t="s">
        <v>2746</v>
      </c>
      <c r="B13" s="3192"/>
      <c r="C13" s="3192"/>
      <c r="D13" s="3192"/>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2702</v>
      </c>
      <c r="B17" s="3191"/>
      <c r="C17" s="3191"/>
      <c r="D17" s="3191"/>
    </row>
    <row r="18" spans="1:4">
      <c r="A18" s="3191" t="s">
        <v>2694</v>
      </c>
      <c r="B18" s="3191"/>
      <c r="C18" s="3191"/>
      <c r="D18" s="319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191" t="s">
        <v>2699</v>
      </c>
      <c r="B23" s="3191"/>
      <c r="C23" s="3191"/>
      <c r="D23" s="319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03" t="s">
        <v>53</v>
      </c>
      <c r="B15" s="3204" t="s">
        <v>846</v>
      </c>
      <c r="C15" s="3200"/>
    </row>
    <row r="16" spans="1:7" ht="14.25">
      <c r="A16" s="3203"/>
      <c r="B16" s="3201" t="s">
        <v>54</v>
      </c>
      <c r="C16" s="1168" t="s">
        <v>53</v>
      </c>
    </row>
    <row r="17" spans="1:3" ht="14.25">
      <c r="A17" s="3203"/>
      <c r="B17" s="3201"/>
      <c r="C17" s="1168" t="s">
        <v>55</v>
      </c>
    </row>
    <row r="18" spans="1:3" ht="14.25">
      <c r="A18" s="3203"/>
      <c r="B18" s="3201"/>
      <c r="C18" s="1168" t="s">
        <v>56</v>
      </c>
    </row>
    <row r="19" spans="1:3" ht="14.25">
      <c r="A19" s="3203"/>
      <c r="B19" s="3199" t="s">
        <v>57</v>
      </c>
      <c r="C19" s="3200"/>
    </row>
    <row r="20" spans="1:3" ht="14.25">
      <c r="A20" s="1169" t="s">
        <v>58</v>
      </c>
      <c r="B20" s="1170"/>
      <c r="C20" s="1171"/>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2" t="s">
        <v>837</v>
      </c>
    </row>
    <row r="25" spans="1:3" ht="14.25">
      <c r="A25" s="3202"/>
      <c r="B25" s="3206"/>
      <c r="C25" s="1172" t="s">
        <v>838</v>
      </c>
    </row>
    <row r="26" spans="1:3" ht="14.25">
      <c r="A26" s="3202"/>
      <c r="B26" s="3206"/>
      <c r="C26" s="1172" t="s">
        <v>839</v>
      </c>
    </row>
    <row r="27" spans="1:3" ht="14.25">
      <c r="A27" s="3202"/>
      <c r="B27" s="3206"/>
      <c r="C27" s="1172" t="s">
        <v>840</v>
      </c>
    </row>
    <row r="28" spans="1:3" ht="14.25">
      <c r="A28" s="3202"/>
      <c r="B28" s="3206"/>
      <c r="C28" s="1172" t="s">
        <v>841</v>
      </c>
    </row>
    <row r="29" spans="1:3" ht="14.25">
      <c r="A29" s="3202"/>
      <c r="B29" s="3206"/>
      <c r="C29" s="1172" t="s">
        <v>842</v>
      </c>
    </row>
    <row r="30" spans="1:3" ht="14.25">
      <c r="A30" s="3202"/>
      <c r="B30" s="3206"/>
      <c r="C30" s="1172" t="s">
        <v>843</v>
      </c>
    </row>
    <row r="31" spans="1:3" ht="14.25">
      <c r="A31" s="3202"/>
      <c r="B31" s="3206"/>
      <c r="C31" s="1172" t="s">
        <v>844</v>
      </c>
    </row>
    <row r="32" spans="1:3" ht="14.25">
      <c r="A32" s="3202"/>
      <c r="B32" s="3206"/>
      <c r="C32" s="1172" t="s">
        <v>1646</v>
      </c>
    </row>
    <row r="33" spans="1:3" ht="14.25">
      <c r="A33" s="3202"/>
      <c r="B33" s="3196" t="s">
        <v>1652</v>
      </c>
      <c r="C33" s="1172" t="s">
        <v>1647</v>
      </c>
    </row>
    <row r="34" spans="1:3" ht="14.25">
      <c r="A34" s="3202"/>
      <c r="B34" s="3197"/>
      <c r="C34" s="1177" t="s">
        <v>1648</v>
      </c>
    </row>
    <row r="35" spans="1:3" ht="14.25">
      <c r="A35" s="3202"/>
      <c r="B35" s="3197"/>
      <c r="C35" s="1178" t="s">
        <v>1649</v>
      </c>
    </row>
    <row r="36" spans="1:3" ht="14.25">
      <c r="A36" s="3202"/>
      <c r="B36" s="3197"/>
      <c r="C36" s="1178" t="s">
        <v>1650</v>
      </c>
    </row>
    <row r="37" spans="1:3" ht="14.25">
      <c r="A37" s="3202"/>
      <c r="B37" s="319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43774</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2982</v>
      </c>
      <c r="B14" s="3131">
        <f ca="1">IF(C14&lt;B2,"已过期",1120040230)</f>
        <v>1120040230</v>
      </c>
      <c r="C14" s="3135">
        <v>43835</v>
      </c>
      <c r="D14" s="3136" t="s">
        <v>2983</v>
      </c>
      <c r="E14" s="3131">
        <f ca="1">IF(F14&lt;B2,"已过期",98030020)</f>
        <v>98030020</v>
      </c>
      <c r="F14" s="3134">
        <v>47118</v>
      </c>
    </row>
    <row r="15" spans="1:6" ht="20.25" customHeight="1">
      <c r="A15" s="3131" t="s">
        <v>2574</v>
      </c>
      <c r="B15" s="3131">
        <f ca="1">IF(C15&lt;B2,"已过期",1120070085)</f>
        <v>1120070085</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t="s">
        <v>2999</v>
      </c>
      <c r="B18" s="3131">
        <v>1120190079</v>
      </c>
      <c r="C18" s="3133">
        <v>44826</v>
      </c>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07" t="s">
        <v>1926</v>
      </c>
      <c r="B25" s="3207"/>
      <c r="C25" s="3207"/>
      <c r="D25" s="3207"/>
      <c r="E25" s="3207"/>
      <c r="F25" s="3207"/>
      <c r="G25" s="3207"/>
    </row>
    <row r="26" spans="1:7" ht="20.25" customHeight="1">
      <c r="A26" s="3208" t="s">
        <v>1927</v>
      </c>
      <c r="B26" s="3208"/>
      <c r="C26" s="3208"/>
      <c r="D26" s="3208" t="s">
        <v>1928</v>
      </c>
      <c r="E26" s="3208"/>
      <c r="F26" s="3208"/>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44820</v>
      </c>
      <c r="D28" s="3142" t="s">
        <v>1934</v>
      </c>
      <c r="E28" s="3142" t="s">
        <v>1935</v>
      </c>
      <c r="F28" s="3143">
        <v>44377</v>
      </c>
    </row>
    <row r="29" spans="1:7" s="3126" customFormat="1" ht="20.25" customHeight="1">
      <c r="A29" s="3142"/>
      <c r="B29" s="3142"/>
      <c r="C29" s="3144"/>
      <c r="D29" s="3142" t="s">
        <v>1936</v>
      </c>
      <c r="E29" s="3142" t="s">
        <v>3000</v>
      </c>
      <c r="F29" s="3143">
        <v>44012</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0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1753"/>
      <c r="E53" s="1753"/>
    </row>
    <row r="54" spans="1:5">
      <c r="A54" s="320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0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0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0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2019-11-05T09:36:04Z</dcterms:modified>
</cp:coreProperties>
</file>