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12726A75-2F26-40B4-A369-5EA6116A027C}"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中指" sheetId="83" r:id="rId24"/>
    <sheet name="售价案例" sheetId="82" r:id="rId25"/>
    <sheet name="租金案例" sheetId="81" r:id="rId26"/>
    <sheet name="收益法-酒店模型" sheetId="77" state="hidden" r:id="rId27"/>
    <sheet name="收益法（汇总）" sheetId="70" state="hidden" r:id="rId28"/>
    <sheet name="比较法-住宅" sheetId="21" state="hidden" r:id="rId29"/>
    <sheet name="比较法-商业" sheetId="33" state="hidden" r:id="rId30"/>
    <sheet name="信息" sheetId="80" r:id="rId31"/>
    <sheet name="成本法 (元)" sheetId="69"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3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4" i="34"/>
  <c r="E37" i="34"/>
  <c r="I37" i="34"/>
  <c r="G37" i="34"/>
  <c r="C37" i="34"/>
  <c r="E105" i="34"/>
  <c r="F105" i="34" s="1"/>
  <c r="G105" i="34" s="1"/>
  <c r="D105" i="34"/>
  <c r="E67" i="34"/>
  <c r="D67" i="34" s="1"/>
  <c r="C67" i="34" s="1"/>
  <c r="F67" i="34"/>
  <c r="I7" i="34"/>
  <c r="G7" i="34"/>
  <c r="E7" i="34"/>
  <c r="D33" i="43"/>
  <c r="J49" i="67"/>
  <c r="Y6" i="1"/>
  <c r="N6" i="1"/>
  <c r="N18" i="1"/>
  <c r="B59" i="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5" i="79"/>
  <c r="AG35" i="79" s="1"/>
  <c r="S34" i="79"/>
  <c r="AG34" i="79" s="1"/>
  <c r="U46" i="79"/>
  <c r="AI46" i="79" s="1"/>
  <c r="AD47" i="79"/>
  <c r="S48" i="79"/>
  <c r="AG48" i="79" s="1"/>
  <c r="U50" i="79"/>
  <c r="AI50" i="79" s="1"/>
  <c r="AD51" i="79"/>
  <c r="Z3" i="79"/>
  <c r="T40" i="79"/>
  <c r="AR18" i="79"/>
  <c r="AR19" i="79" s="1"/>
  <c r="AR20" i="79" s="1"/>
  <c r="AR21" i="79" s="1"/>
  <c r="AR22" i="79" s="1"/>
  <c r="AR23" i="79" s="1"/>
  <c r="AR24" i="79" s="1"/>
  <c r="T34" i="79"/>
  <c r="T35" i="79"/>
  <c r="T33" i="79"/>
  <c r="AA31" i="79"/>
  <c r="AD31"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21" i="79"/>
  <c r="AK21" i="79" s="1"/>
  <c r="AH21" i="79"/>
  <c r="W47" i="79"/>
  <c r="AK47" i="79" s="1"/>
  <c r="AH47"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N68" i="71"/>
  <c r="C30" i="71"/>
  <c r="X35" i="71"/>
  <c r="AA35" i="71"/>
  <c r="C38" i="71"/>
  <c r="D38" i="71" s="1"/>
  <c r="Y37" i="71"/>
  <c r="Z37" i="71" s="1"/>
  <c r="X38" i="71"/>
  <c r="C28" i="71"/>
  <c r="C39" i="71"/>
  <c r="C43" i="71"/>
  <c r="C51" i="71"/>
  <c r="P28" i="71"/>
  <c r="E28" i="71" s="1"/>
  <c r="E55" i="71"/>
  <c r="E56" i="71" s="1"/>
  <c r="U56" i="71" s="1"/>
  <c r="E63" i="71"/>
  <c r="E64" i="71"/>
  <c r="U64" i="71" s="1"/>
  <c r="E67" i="71"/>
  <c r="P67" i="71" s="1"/>
  <c r="Q28" i="71"/>
  <c r="AB27" i="71" s="1"/>
  <c r="C59" i="71"/>
  <c r="D58" i="71"/>
  <c r="N67" i="71"/>
  <c r="B66" i="71"/>
  <c r="N66" i="71" s="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N65" i="71"/>
  <c r="C78" i="71"/>
  <c r="D78" i="71" s="1"/>
  <c r="D71" i="71"/>
  <c r="C60" i="71"/>
  <c r="D60" i="71" s="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U21" i="37"/>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H39" i="33"/>
  <c r="AB39" i="33" s="1"/>
  <c r="F26" i="33"/>
  <c r="AA26" i="33"/>
  <c r="U33" i="33"/>
  <c r="U35" i="33"/>
  <c r="S40" i="33"/>
  <c r="W33" i="33"/>
  <c r="W39" i="33"/>
  <c r="H39" i="37"/>
  <c r="AB39" i="37" s="1"/>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AB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s="1"/>
  <c r="BL168" i="3"/>
  <c r="G169" i="3"/>
  <c r="BA171" i="3"/>
  <c r="BL172" i="3"/>
  <c r="G173" i="3"/>
  <c r="BA175" i="3"/>
  <c r="AZ175" i="3" s="1"/>
  <c r="BL176" i="3"/>
  <c r="G177" i="3"/>
  <c r="BA179" i="3"/>
  <c r="BL180" i="3"/>
  <c r="G181" i="3"/>
  <c r="BA183" i="3"/>
  <c r="AZ183" i="3" s="1"/>
  <c r="BL184" i="3"/>
  <c r="G185" i="3"/>
  <c r="BA187" i="3"/>
  <c r="BL188" i="3"/>
  <c r="AZ188" i="3" s="1"/>
  <c r="G189" i="3"/>
  <c r="BA191" i="3"/>
  <c r="AZ191" i="3" s="1"/>
  <c r="BL192" i="3"/>
  <c r="G193" i="3"/>
  <c r="BA195" i="3"/>
  <c r="BL196" i="3"/>
  <c r="AZ196" i="3" s="1"/>
  <c r="G197" i="3"/>
  <c r="BA199" i="3"/>
  <c r="BL200" i="3"/>
  <c r="G201" i="3"/>
  <c r="BA203" i="3"/>
  <c r="BL204" i="3"/>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AZ303" i="3" s="1"/>
  <c r="G304" i="3"/>
  <c r="BA306" i="3"/>
  <c r="BL307" i="3"/>
  <c r="AZ307" i="3" s="1"/>
  <c r="G308" i="3"/>
  <c r="BA310" i="3"/>
  <c r="BL311" i="3"/>
  <c r="G312" i="3"/>
  <c r="BA314" i="3"/>
  <c r="AZ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BL392" i="3"/>
  <c r="G393" i="3"/>
  <c r="AZ275"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BA1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82"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586" i="3"/>
  <c r="W12" i="33"/>
  <c r="AC12" i="33"/>
  <c r="AA32" i="36"/>
  <c r="S32" i="36"/>
  <c r="AZ473" i="3"/>
  <c r="BL14" i="3"/>
  <c r="U30" i="33"/>
  <c r="AC13" i="34"/>
  <c r="AA47" i="34"/>
  <c r="W28" i="37"/>
  <c r="S19" i="39"/>
  <c r="F12" i="33"/>
  <c r="H12" i="39"/>
  <c r="U12" i="39" s="1"/>
  <c r="AB12" i="39"/>
  <c r="F39" i="40"/>
  <c r="BA14" i="3"/>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D6" i="52"/>
  <c r="AP7" i="1"/>
  <c r="AB45" i="21"/>
  <c r="AB9" i="21"/>
  <c r="AA32" i="21"/>
  <c r="S32" i="21"/>
  <c r="W9" i="21"/>
  <c r="AB32" i="21"/>
  <c r="U32" i="21"/>
  <c r="A18" i="62"/>
  <c r="B64" i="72" s="1"/>
  <c r="U32" i="39"/>
  <c r="AC32" i="39"/>
  <c r="W32" i="39"/>
  <c r="W23" i="37"/>
  <c r="J63" i="37"/>
  <c r="K63" i="37" s="1"/>
  <c r="L63" i="37" s="1"/>
  <c r="M63" i="37" s="1"/>
  <c r="J11" i="37"/>
  <c r="AC11" i="37" s="1"/>
  <c r="H70" i="34"/>
  <c r="I70" i="34" s="1"/>
  <c r="J70" i="34" s="1"/>
  <c r="K70" i="34" s="1"/>
  <c r="L70" i="34" s="1"/>
  <c r="M70" i="34"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F16" i="67"/>
  <c r="F9" i="67"/>
  <c r="M26" i="15"/>
  <c r="M8" i="15"/>
  <c r="E9" i="76"/>
  <c r="F6" i="73"/>
  <c r="B13" i="76"/>
  <c r="F43" i="67"/>
  <c r="F13" i="67"/>
  <c r="F7" i="67"/>
  <c r="M28" i="67"/>
  <c r="L48" i="15"/>
  <c r="F9" i="15"/>
  <c r="F42" i="67"/>
  <c r="M23" i="67"/>
  <c r="M29" i="67"/>
  <c r="M23" i="15"/>
  <c r="F5" i="73"/>
  <c r="M29" i="15"/>
  <c r="E12" i="76"/>
  <c r="M24" i="67"/>
  <c r="C76" i="67"/>
  <c r="F43" i="15"/>
  <c r="F20" i="31"/>
  <c r="F16" i="15"/>
  <c r="M6" i="67"/>
  <c r="F6" i="15"/>
  <c r="M8" i="67"/>
  <c r="AO13" i="1"/>
  <c r="F13" i="15"/>
  <c r="E13" i="76"/>
  <c r="E10" i="76"/>
  <c r="J15" i="67"/>
  <c r="F4" i="73"/>
  <c r="M22" i="15"/>
  <c r="E11" i="76"/>
  <c r="F6" i="67"/>
  <c r="M24" i="15"/>
  <c r="F26" i="15"/>
  <c r="J15" i="15"/>
  <c r="F37" i="15"/>
  <c r="M22" i="67"/>
  <c r="F36" i="67"/>
  <c r="B10" i="76"/>
  <c r="F36" i="15"/>
  <c r="F26" i="67"/>
  <c r="M28" i="15"/>
  <c r="F40" i="15"/>
  <c r="F38" i="15"/>
  <c r="M9" i="67"/>
  <c r="B9" i="76"/>
  <c r="B8" i="76"/>
  <c r="E2" i="68"/>
  <c r="F7" i="73"/>
  <c r="M9" i="15"/>
  <c r="M6" i="15"/>
  <c r="M26" i="67"/>
  <c r="B7" i="76"/>
  <c r="F7" i="15"/>
  <c r="E8" i="76"/>
  <c r="B11" i="76"/>
  <c r="D6" i="73"/>
  <c r="C76" i="15"/>
  <c r="F8" i="15"/>
  <c r="F8" i="67"/>
  <c r="E7" i="76"/>
  <c r="F40" i="67"/>
  <c r="F37" i="67"/>
  <c r="L47" i="15"/>
  <c r="F42" i="15"/>
  <c r="L48" i="67"/>
  <c r="F3" i="73"/>
  <c r="F38" i="67"/>
  <c r="E2" i="69"/>
  <c r="B12" i="76"/>
  <c r="A4" i="52" l="1"/>
  <c r="B41" i="72" s="1"/>
  <c r="A118" i="9"/>
  <c r="A2" i="9"/>
  <c r="C18" i="9"/>
  <c r="D18" i="9" s="1"/>
  <c r="W8" i="34"/>
  <c r="S37" i="34"/>
  <c r="U34" i="34"/>
  <c r="W27" i="34"/>
  <c r="U27" i="34"/>
  <c r="S8" i="34"/>
  <c r="W9" i="34"/>
  <c r="F30" i="68"/>
  <c r="F48" i="68" s="1"/>
  <c r="BB5" i="3"/>
  <c r="AZ179" i="3"/>
  <c r="AB23" i="21"/>
  <c r="S20" i="35"/>
  <c r="U33" i="34"/>
  <c r="AA23" i="39"/>
  <c r="AZ391" i="3"/>
  <c r="AZ200" i="3"/>
  <c r="AZ520" i="3"/>
  <c r="S14" i="37"/>
  <c r="AA14" i="37"/>
  <c r="U30" i="21"/>
  <c r="AB30" i="21"/>
  <c r="AZ15" i="3"/>
  <c r="AZ513" i="3"/>
  <c r="U46" i="34"/>
  <c r="AB46" i="34"/>
  <c r="W31" i="33"/>
  <c r="AC31" i="33"/>
  <c r="AZ388" i="3"/>
  <c r="AZ311" i="3"/>
  <c r="AZ344" i="3"/>
  <c r="AZ305" i="3"/>
  <c r="AZ548" i="3"/>
  <c r="U33" i="40"/>
  <c r="AB33" i="40"/>
  <c r="U45" i="33"/>
  <c r="AB45" i="33"/>
  <c r="AA44" i="34"/>
  <c r="S44" i="34"/>
  <c r="AA17" i="33"/>
  <c r="S17" i="37"/>
  <c r="S43" i="34"/>
  <c r="AZ14" i="3"/>
  <c r="AZ387" i="3"/>
  <c r="AZ338" i="3"/>
  <c r="AZ390" i="3"/>
  <c r="AZ371" i="3"/>
  <c r="AZ351" i="3"/>
  <c r="AZ329" i="3"/>
  <c r="AZ304" i="3"/>
  <c r="AZ140" i="3"/>
  <c r="AA11" i="39"/>
  <c r="W36" i="34"/>
  <c r="AC36" i="34"/>
  <c r="S29" i="35"/>
  <c r="AA29" i="35"/>
  <c r="AC12" i="40"/>
  <c r="W12" i="40"/>
  <c r="BL587" i="3"/>
  <c r="AZ587" i="3" s="1"/>
  <c r="F44" i="39"/>
  <c r="G582" i="3"/>
  <c r="G574" i="3"/>
  <c r="BA551" i="3"/>
  <c r="AZ551" i="3" s="1"/>
  <c r="BA550" i="3"/>
  <c r="BL548" i="3"/>
  <c r="AZ357" i="3"/>
  <c r="AZ322" i="3"/>
  <c r="AZ313" i="3"/>
  <c r="AZ394" i="3"/>
  <c r="AA25" i="21"/>
  <c r="AZ519" i="3"/>
  <c r="AZ531" i="3"/>
  <c r="AZ573" i="3"/>
  <c r="AZ583" i="3"/>
  <c r="AZ568" i="3"/>
  <c r="AZ576" i="3"/>
  <c r="AA14" i="34"/>
  <c r="G587" i="3"/>
  <c r="H23" i="35"/>
  <c r="J9" i="36"/>
  <c r="F38" i="40"/>
  <c r="AZ523" i="3"/>
  <c r="AZ547" i="3"/>
  <c r="AZ571" i="3"/>
  <c r="AZ579" i="3"/>
  <c r="S41" i="33"/>
  <c r="AB23" i="34"/>
  <c r="BL585" i="3"/>
  <c r="B75" i="43"/>
  <c r="H12" i="33"/>
  <c r="U12" i="33" s="1"/>
  <c r="J36" i="35"/>
  <c r="AC36" i="35" s="1"/>
  <c r="J24" i="36"/>
  <c r="H24" i="36"/>
  <c r="H39" i="40"/>
  <c r="W31" i="35"/>
  <c r="AC31" i="35"/>
  <c r="AZ539" i="3"/>
  <c r="AZ529" i="3"/>
  <c r="AZ537" i="3"/>
  <c r="AZ518" i="3"/>
  <c r="AZ546" i="3"/>
  <c r="AZ585" i="3"/>
  <c r="AB17" i="34"/>
  <c r="B79" i="43"/>
  <c r="G558" i="3"/>
  <c r="AZ400" i="3"/>
  <c r="AZ406" i="3"/>
  <c r="AZ407" i="3"/>
  <c r="C55" i="71"/>
  <c r="D54" i="71"/>
  <c r="BL550" i="3"/>
  <c r="BL15" i="3"/>
  <c r="BA398" i="3"/>
  <c r="AZ398" i="3" s="1"/>
  <c r="BA399" i="3"/>
  <c r="AZ399" i="3" s="1"/>
  <c r="BA401" i="3"/>
  <c r="AZ401" i="3" s="1"/>
  <c r="BL404" i="3"/>
  <c r="BL405" i="3"/>
  <c r="BL408" i="3"/>
  <c r="AZ415" i="3"/>
  <c r="AZ419" i="3"/>
  <c r="AZ451" i="3"/>
  <c r="BL16" i="3"/>
  <c r="AZ16" i="3" s="1"/>
  <c r="BL400" i="3"/>
  <c r="G403" i="3"/>
  <c r="BA404" i="3"/>
  <c r="AZ404" i="3" s="1"/>
  <c r="BA405" i="3"/>
  <c r="AZ405" i="3" s="1"/>
  <c r="BL409" i="3"/>
  <c r="BA412" i="3"/>
  <c r="AZ412" i="3" s="1"/>
  <c r="BL417" i="3"/>
  <c r="BL418" i="3"/>
  <c r="BA420" i="3"/>
  <c r="BL423" i="3"/>
  <c r="BL424" i="3"/>
  <c r="BL430" i="3"/>
  <c r="BL443" i="3"/>
  <c r="G448" i="3"/>
  <c r="BA456" i="3"/>
  <c r="AZ456" i="3" s="1"/>
  <c r="BA462" i="3"/>
  <c r="AZ462" i="3" s="1"/>
  <c r="BL465" i="3"/>
  <c r="BL469" i="3"/>
  <c r="AZ469" i="3" s="1"/>
  <c r="G323" i="3"/>
  <c r="BA225" i="3"/>
  <c r="G229" i="3"/>
  <c r="G249" i="3"/>
  <c r="G253" i="3"/>
  <c r="BA402" i="3"/>
  <c r="AZ402" i="3" s="1"/>
  <c r="BA403" i="3"/>
  <c r="G407" i="3"/>
  <c r="BL407" i="3"/>
  <c r="BL410" i="3"/>
  <c r="G412" i="3"/>
  <c r="BL413" i="3"/>
  <c r="AZ413" i="3" s="1"/>
  <c r="BA422" i="3"/>
  <c r="BA443" i="3"/>
  <c r="AZ443" i="3" s="1"/>
  <c r="BL447" i="3"/>
  <c r="AZ448" i="3"/>
  <c r="BL451" i="3"/>
  <c r="G464" i="3"/>
  <c r="BL479" i="3"/>
  <c r="BA319" i="3"/>
  <c r="AZ319" i="3" s="1"/>
  <c r="G351" i="3"/>
  <c r="BA214" i="3"/>
  <c r="BL219" i="3"/>
  <c r="BL252" i="3"/>
  <c r="BA260" i="3"/>
  <c r="BA270" i="3"/>
  <c r="AZ270" i="3" s="1"/>
  <c r="AC21" i="21"/>
  <c r="W21" i="21"/>
  <c r="S18" i="35"/>
  <c r="AA18" i="35"/>
  <c r="C44" i="71"/>
  <c r="D43" i="71"/>
  <c r="F79" i="71"/>
  <c r="F78" i="71" s="1"/>
  <c r="V80" i="71"/>
  <c r="Y26" i="71"/>
  <c r="Z26" i="71" s="1"/>
  <c r="Y25" i="71"/>
  <c r="Z25" i="71" s="1"/>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AZ478" i="3" s="1"/>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BL225" i="3"/>
  <c r="BL226" i="3"/>
  <c r="BA239" i="3"/>
  <c r="AZ239" i="3" s="1"/>
  <c r="BL239" i="3"/>
  <c r="BA241" i="3"/>
  <c r="AZ241" i="3" s="1"/>
  <c r="BL241" i="3"/>
  <c r="BA244" i="3"/>
  <c r="AZ244" i="3" s="1"/>
  <c r="BL244" i="3"/>
  <c r="BA246" i="3"/>
  <c r="BA252" i="3"/>
  <c r="BA254" i="3"/>
  <c r="AZ254" i="3" s="1"/>
  <c r="BA256" i="3"/>
  <c r="BL256" i="3"/>
  <c r="BA258" i="3"/>
  <c r="BL264" i="3"/>
  <c r="BL266" i="3"/>
  <c r="BA268" i="3"/>
  <c r="BL273" i="3"/>
  <c r="G274" i="3"/>
  <c r="BL292" i="3"/>
  <c r="BL123" i="3"/>
  <c r="AZ123" i="3" s="1"/>
  <c r="BL125" i="3"/>
  <c r="BL126" i="3"/>
  <c r="BL141" i="3"/>
  <c r="BL143" i="3"/>
  <c r="AZ143" i="3" s="1"/>
  <c r="G146" i="3"/>
  <c r="BL161" i="3"/>
  <c r="G167" i="3"/>
  <c r="BL186" i="3"/>
  <c r="BL23" i="3"/>
  <c r="G31" i="3"/>
  <c r="BL35" i="3"/>
  <c r="BL52" i="3"/>
  <c r="P65" i="71"/>
  <c r="P66" i="71"/>
  <c r="C31" i="71"/>
  <c r="D30" i="71"/>
  <c r="B71" i="71"/>
  <c r="B70" i="71" s="1"/>
  <c r="S72" i="71"/>
  <c r="X26" i="71"/>
  <c r="BL398" i="3"/>
  <c r="G402" i="3"/>
  <c r="BL403" i="3"/>
  <c r="G405" i="3"/>
  <c r="G406" i="3"/>
  <c r="BA408" i="3"/>
  <c r="AZ408" i="3" s="1"/>
  <c r="BA409" i="3"/>
  <c r="AZ409" i="3" s="1"/>
  <c r="BA411" i="3"/>
  <c r="AZ411" i="3" s="1"/>
  <c r="BL414" i="3"/>
  <c r="AZ414" i="3" s="1"/>
  <c r="BL415" i="3"/>
  <c r="BA417" i="3"/>
  <c r="AZ417" i="3" s="1"/>
  <c r="BL421" i="3"/>
  <c r="BL422" i="3"/>
  <c r="BL425" i="3"/>
  <c r="BL426" i="3"/>
  <c r="BA428" i="3"/>
  <c r="AZ428" i="3" s="1"/>
  <c r="BA429" i="3"/>
  <c r="AZ429" i="3" s="1"/>
  <c r="BA430" i="3"/>
  <c r="BA432" i="3"/>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9" i="3"/>
  <c r="BL133" i="3"/>
  <c r="AZ133" i="3" s="1"/>
  <c r="BL137" i="3"/>
  <c r="BL154" i="3"/>
  <c r="G156" i="3"/>
  <c r="BL157" i="3"/>
  <c r="AZ157" i="3" s="1"/>
  <c r="BL159" i="3"/>
  <c r="AZ159" i="3" s="1"/>
  <c r="G160" i="3"/>
  <c r="BL166" i="3"/>
  <c r="AZ38" i="3"/>
  <c r="BA62" i="3"/>
  <c r="AZ62"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AZ442" i="3" s="1"/>
  <c r="BL444" i="3"/>
  <c r="AZ444" i="3" s="1"/>
  <c r="G446" i="3"/>
  <c r="BL448" i="3"/>
  <c r="G450" i="3"/>
  <c r="BA454" i="3"/>
  <c r="BA457" i="3"/>
  <c r="AZ457" i="3" s="1"/>
  <c r="BA459" i="3"/>
  <c r="BA460" i="3"/>
  <c r="AZ460" i="3" s="1"/>
  <c r="BA461" i="3"/>
  <c r="AZ461" i="3" s="1"/>
  <c r="BL464" i="3"/>
  <c r="AZ464" i="3" s="1"/>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G150" i="3"/>
  <c r="G154" i="3"/>
  <c r="BL163" i="3"/>
  <c r="AZ163" i="3" s="1"/>
  <c r="G170" i="3"/>
  <c r="BL178" i="3"/>
  <c r="BA180" i="3"/>
  <c r="AZ180" i="3" s="1"/>
  <c r="BL182" i="3"/>
  <c r="BA189" i="3"/>
  <c r="BL195" i="3"/>
  <c r="AZ195" i="3" s="1"/>
  <c r="G41" i="3"/>
  <c r="BA47" i="3"/>
  <c r="AZ47" i="3" s="1"/>
  <c r="AZ52" i="3"/>
  <c r="BA92" i="3"/>
  <c r="AZ92" i="3" s="1"/>
  <c r="W21" i="37"/>
  <c r="AC21" i="37"/>
  <c r="AB21" i="34"/>
  <c r="U21" i="34"/>
  <c r="D75" i="71"/>
  <c r="C74" i="71"/>
  <c r="D74" i="71" s="1"/>
  <c r="C34" i="71"/>
  <c r="Y30" i="71"/>
  <c r="Z30" i="71" s="1"/>
  <c r="Y28" i="71"/>
  <c r="Z28" i="71" s="1"/>
  <c r="C47" i="71"/>
  <c r="D47" i="71" s="1"/>
  <c r="D46" i="71"/>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BL190" i="3"/>
  <c r="BA192" i="3"/>
  <c r="AZ192" i="3" s="1"/>
  <c r="BL197" i="3"/>
  <c r="BL199" i="3"/>
  <c r="AZ199" i="3" s="1"/>
  <c r="BA200" i="3"/>
  <c r="BA202" i="3"/>
  <c r="BL207" i="3"/>
  <c r="BL18" i="3"/>
  <c r="AZ18" i="3" s="1"/>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BA73" i="3"/>
  <c r="AZ73" i="3" s="1"/>
  <c r="G81" i="3"/>
  <c r="BL85" i="3"/>
  <c r="BA86" i="3"/>
  <c r="BA98" i="3"/>
  <c r="BA106" i="3"/>
  <c r="BL108" i="3"/>
  <c r="AZ108" i="3" s="1"/>
  <c r="C29" i="39"/>
  <c r="C40" i="71"/>
  <c r="D39" i="71"/>
  <c r="X28" i="71"/>
  <c r="X31" i="71"/>
  <c r="X32" i="71"/>
  <c r="E34" i="71"/>
  <c r="E35" i="71" s="1"/>
  <c r="E36" i="71" s="1"/>
  <c r="U36" i="71" s="1"/>
  <c r="AA30" i="71"/>
  <c r="C67" i="71"/>
  <c r="T68" i="71"/>
  <c r="T76" i="71"/>
  <c r="D76" i="71"/>
  <c r="C23" i="71"/>
  <c r="B22" i="71"/>
  <c r="B21" i="71" s="1"/>
  <c r="B20" i="71" s="1"/>
  <c r="AA3" i="71"/>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L74" i="3"/>
  <c r="AZ74" i="3" s="1"/>
  <c r="G75" i="3"/>
  <c r="BL75" i="3"/>
  <c r="BA80" i="3"/>
  <c r="BL84" i="3"/>
  <c r="G89" i="3"/>
  <c r="BA90" i="3"/>
  <c r="BL101" i="3"/>
  <c r="BL102" i="3"/>
  <c r="BA104" i="3"/>
  <c r="BA109" i="3"/>
  <c r="F3" i="35"/>
  <c r="AC18" i="36"/>
  <c r="W18" i="36"/>
  <c r="AB25" i="40"/>
  <c r="U25" i="40"/>
  <c r="T60" i="71"/>
  <c r="C86" i="71"/>
  <c r="D86" i="71" s="1"/>
  <c r="D87" i="71"/>
  <c r="O68" i="71"/>
  <c r="C52" i="71"/>
  <c r="D51" i="71"/>
  <c r="AA37" i="71"/>
  <c r="AB34" i="71"/>
  <c r="C63" i="71"/>
  <c r="D62" i="71"/>
  <c r="F66" i="71"/>
  <c r="Q67" i="71"/>
  <c r="P68" i="71"/>
  <c r="U68" i="71"/>
  <c r="BA186" i="3"/>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9" i="3"/>
  <c r="G70" i="3"/>
  <c r="BL70" i="3"/>
  <c r="AZ70" i="3" s="1"/>
  <c r="BL71" i="3"/>
  <c r="BL72" i="3"/>
  <c r="AZ72" i="3" s="1"/>
  <c r="G74" i="3"/>
  <c r="BA75" i="3"/>
  <c r="AZ75" i="3" s="1"/>
  <c r="BL86" i="3"/>
  <c r="G87" i="3"/>
  <c r="BA91" i="3"/>
  <c r="AZ91" i="3" s="1"/>
  <c r="BL96" i="3"/>
  <c r="BL97" i="3"/>
  <c r="AZ97" i="3" s="1"/>
  <c r="BA110" i="3"/>
  <c r="AZ110" i="3" s="1"/>
  <c r="B13" i="1"/>
  <c r="E13" i="1" s="1"/>
  <c r="K13" i="1"/>
  <c r="M13" i="1" s="1"/>
  <c r="O13" i="1" s="1"/>
  <c r="P13" i="1" s="1"/>
  <c r="F40" i="69"/>
  <c r="C40" i="69"/>
  <c r="U21" i="33"/>
  <c r="AB21" i="33"/>
  <c r="AC18" i="35"/>
  <c r="W18" i="35"/>
  <c r="B100" i="43"/>
  <c r="B57" i="43"/>
  <c r="B68" i="43"/>
  <c r="AB25" i="71"/>
  <c r="AB28" i="71"/>
  <c r="X25" i="71"/>
  <c r="T28" i="71"/>
  <c r="D28" i="71"/>
  <c r="U28" i="71" s="1"/>
  <c r="C27" i="71"/>
  <c r="X33" i="71"/>
  <c r="X34" i="71"/>
  <c r="X36" i="71"/>
  <c r="AB37" i="71"/>
  <c r="AB35" i="71"/>
  <c r="V72" i="71"/>
  <c r="F71" i="71"/>
  <c r="F70" i="71" s="1"/>
  <c r="V24" i="71"/>
  <c r="E23" i="71"/>
  <c r="E22" i="71" s="1"/>
  <c r="E21" i="71" s="1"/>
  <c r="E20" i="71" s="1"/>
  <c r="E19" i="71" s="1"/>
  <c r="E18" i="71" s="1"/>
  <c r="E17" i="71" s="1"/>
  <c r="E16" i="71" s="1"/>
  <c r="BA66" i="3"/>
  <c r="AZ66" i="3"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AZ470" i="3"/>
  <c r="W35" i="39"/>
  <c r="F27" i="34"/>
  <c r="C21" i="39"/>
  <c r="U9" i="36"/>
  <c r="U14" i="37"/>
  <c r="H12" i="21"/>
  <c r="G526" i="3"/>
  <c r="AZ420" i="3"/>
  <c r="AZ424" i="3"/>
  <c r="AZ436" i="3"/>
  <c r="AZ438" i="3"/>
  <c r="AZ446" i="3"/>
  <c r="AZ450" i="3"/>
  <c r="G28" i="6"/>
  <c r="G30" i="6" s="1"/>
  <c r="G31" i="6" s="1"/>
  <c r="U26" i="21"/>
  <c r="W36" i="39"/>
  <c r="U23" i="40"/>
  <c r="AA39" i="37"/>
  <c r="AC16" i="36"/>
  <c r="C27" i="39"/>
  <c r="U40" i="40"/>
  <c r="AC9" i="40"/>
  <c r="W36" i="35"/>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C16" i="15"/>
  <c r="D3" i="73"/>
  <c r="C16" i="67"/>
  <c r="D5" i="73"/>
  <c r="D7" i="73"/>
  <c r="D4" i="73"/>
  <c r="N370" i="46" l="1"/>
  <c r="E26" i="43"/>
  <c r="F26" i="43"/>
  <c r="N94" i="46"/>
  <c r="H26" i="43"/>
  <c r="D26" i="43" s="1"/>
  <c r="C25" i="43" s="1"/>
  <c r="G26" i="43"/>
  <c r="H16" i="1"/>
  <c r="G16" i="1"/>
  <c r="F10" i="39" s="1"/>
  <c r="AA10" i="39" s="1"/>
  <c r="Q16" i="1"/>
  <c r="J7" i="36"/>
  <c r="T52" i="71"/>
  <c r="D52" i="71"/>
  <c r="E28" i="6"/>
  <c r="K14" i="1" s="1"/>
  <c r="K16" i="1" s="1"/>
  <c r="AZ35" i="3"/>
  <c r="AZ174" i="3"/>
  <c r="AZ117" i="3"/>
  <c r="AZ84" i="3"/>
  <c r="AZ58" i="3"/>
  <c r="AZ51" i="3"/>
  <c r="AZ154" i="3"/>
  <c r="AZ297" i="3"/>
  <c r="C22" i="71"/>
  <c r="D23" i="71"/>
  <c r="D67" i="71"/>
  <c r="C66" i="71"/>
  <c r="O67" i="71"/>
  <c r="AZ86" i="3"/>
  <c r="AZ69" i="3"/>
  <c r="AZ189" i="3"/>
  <c r="AZ459" i="3"/>
  <c r="AZ121" i="3"/>
  <c r="AZ274" i="3"/>
  <c r="AZ432" i="3"/>
  <c r="AZ256" i="3"/>
  <c r="AZ491" i="3"/>
  <c r="D44" i="71"/>
  <c r="T44" i="71"/>
  <c r="AZ214" i="3"/>
  <c r="AZ403" i="3"/>
  <c r="AB24" i="36"/>
  <c r="U24" i="36"/>
  <c r="AA38" i="40"/>
  <c r="S38" i="40"/>
  <c r="C64" i="71"/>
  <c r="D63" i="71"/>
  <c r="T40" i="71"/>
  <c r="D40" i="71"/>
  <c r="D31" i="71"/>
  <c r="C32" i="71"/>
  <c r="C56" i="71"/>
  <c r="D55" i="71"/>
  <c r="U39" i="40"/>
  <c r="AB39" i="40"/>
  <c r="D20" i="53"/>
  <c r="B40" i="72" s="1"/>
  <c r="AZ98" i="3"/>
  <c r="AZ138" i="3"/>
  <c r="AZ333" i="3"/>
  <c r="AB12" i="33"/>
  <c r="C26" i="71"/>
  <c r="D26" i="71" s="1"/>
  <c r="D27" i="71"/>
  <c r="AZ186" i="3"/>
  <c r="AZ49" i="3"/>
  <c r="AZ41" i="3"/>
  <c r="AZ31" i="3"/>
  <c r="AZ421" i="3"/>
  <c r="AZ430" i="3"/>
  <c r="AC24" i="36"/>
  <c r="W24" i="36"/>
  <c r="AC9" i="36"/>
  <c r="W9" i="36"/>
  <c r="B19" i="71"/>
  <c r="B18" i="71" s="1"/>
  <c r="B17" i="71" s="1"/>
  <c r="B16" i="71" s="1"/>
  <c r="S20" i="71"/>
  <c r="D34" i="71"/>
  <c r="C35" i="71"/>
  <c r="AZ112" i="3"/>
  <c r="G5" i="3"/>
  <c r="B3" i="3" s="1"/>
  <c r="E212" i="3" s="1"/>
  <c r="AZ348" i="3"/>
  <c r="AZ71" i="3"/>
  <c r="AZ45" i="3"/>
  <c r="AZ130" i="3"/>
  <c r="AZ59" i="3"/>
  <c r="AZ178" i="3"/>
  <c r="AZ483" i="3"/>
  <c r="AZ454" i="3"/>
  <c r="AZ418" i="3"/>
  <c r="AZ271" i="3"/>
  <c r="AZ252" i="3"/>
  <c r="AZ422" i="3"/>
  <c r="U23" i="35"/>
  <c r="AB23" i="35"/>
  <c r="AZ550" i="3"/>
  <c r="AA44" i="39"/>
  <c r="S44" i="39"/>
  <c r="J7" i="37"/>
  <c r="K1" i="73"/>
  <c r="E510" i="3"/>
  <c r="R6" i="3"/>
  <c r="E449" i="3"/>
  <c r="E417" i="3"/>
  <c r="E258" i="3"/>
  <c r="E76" i="3"/>
  <c r="E103" i="3"/>
  <c r="E310" i="3"/>
  <c r="E184" i="3"/>
  <c r="E283" i="3"/>
  <c r="E332" i="3"/>
  <c r="E18" i="3"/>
  <c r="E129" i="3"/>
  <c r="E522"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E3" i="6"/>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AE6" i="1"/>
  <c r="F41" i="67"/>
  <c r="G1" i="73"/>
  <c r="F45" i="69" l="1"/>
  <c r="C47" i="69"/>
  <c r="D45" i="69" s="1"/>
  <c r="C29" i="69"/>
  <c r="D27" i="69" s="1"/>
  <c r="S10" i="39"/>
  <c r="F10" i="40"/>
  <c r="S10" i="40" s="1"/>
  <c r="H10" i="40"/>
  <c r="AB10" i="40" s="1"/>
  <c r="J10" i="40"/>
  <c r="AC10" i="40" s="1"/>
  <c r="H10" i="39"/>
  <c r="U10" i="39" s="1"/>
  <c r="J10" i="39"/>
  <c r="W10" i="39" s="1"/>
  <c r="F27" i="68"/>
  <c r="C29" i="68" s="1"/>
  <c r="D27" i="68" s="1"/>
  <c r="M14" i="1"/>
  <c r="F28" i="12"/>
  <c r="C29" i="12" s="1"/>
  <c r="D28" i="12" s="1"/>
  <c r="F27" i="11"/>
  <c r="C29" i="11" s="1"/>
  <c r="D27" i="11" s="1"/>
  <c r="E391" i="3"/>
  <c r="E309" i="3"/>
  <c r="E381" i="3"/>
  <c r="E23" i="3"/>
  <c r="E160" i="3"/>
  <c r="E409" i="3"/>
  <c r="E241" i="3"/>
  <c r="E56" i="3"/>
  <c r="AP6" i="3"/>
  <c r="E502" i="3"/>
  <c r="E536" i="3"/>
  <c r="E202" i="3"/>
  <c r="E40" i="3"/>
  <c r="E498" i="3"/>
  <c r="E490" i="3"/>
  <c r="E486" i="3"/>
  <c r="E493" i="3"/>
  <c r="E223" i="3"/>
  <c r="E83" i="3"/>
  <c r="E370" i="3"/>
  <c r="E342" i="3"/>
  <c r="E78" i="3"/>
  <c r="E243" i="3"/>
  <c r="E104" i="3"/>
  <c r="E452" i="3"/>
  <c r="E360" i="3"/>
  <c r="E469" i="3"/>
  <c r="E534" i="3"/>
  <c r="E140" i="3"/>
  <c r="E287" i="3"/>
  <c r="E251" i="3"/>
  <c r="E235" i="3"/>
  <c r="E482" i="3"/>
  <c r="E198" i="3"/>
  <c r="E63" i="3"/>
  <c r="E144" i="3"/>
  <c r="E371" i="3"/>
  <c r="E467" i="3"/>
  <c r="E389" i="3"/>
  <c r="E192" i="3"/>
  <c r="E435" i="3"/>
  <c r="E430" i="3"/>
  <c r="E575"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21" i="3"/>
  <c r="E68" i="3"/>
  <c r="E67" i="3"/>
  <c r="E267" i="3"/>
  <c r="E425" i="3"/>
  <c r="E349" i="3"/>
  <c r="E37" i="3"/>
  <c r="E554" i="3"/>
  <c r="E541" i="3"/>
  <c r="E199" i="3"/>
  <c r="E206" i="3"/>
  <c r="E383" i="3"/>
  <c r="E96" i="3"/>
  <c r="AL6" i="3"/>
  <c r="AC6" i="3" s="1"/>
  <c r="E6" i="3" s="1"/>
  <c r="E494" i="3"/>
  <c r="E264" i="3"/>
  <c r="E233" i="3"/>
  <c r="E84" i="3"/>
  <c r="E300" i="3"/>
  <c r="E64" i="3"/>
  <c r="E59" i="3"/>
  <c r="E363" i="3"/>
  <c r="E95" i="3"/>
  <c r="E491" i="3"/>
  <c r="I3" i="6"/>
  <c r="E442" i="3"/>
  <c r="E286" i="3"/>
  <c r="C36" i="71"/>
  <c r="D35" i="71"/>
  <c r="D56" i="71"/>
  <c r="T56" i="71"/>
  <c r="D22" i="71"/>
  <c r="C21" i="71"/>
  <c r="E539" i="3"/>
  <c r="T32" i="71"/>
  <c r="D32" i="71"/>
  <c r="O65" i="71"/>
  <c r="D66" i="71"/>
  <c r="O66" i="71"/>
  <c r="T64" i="71"/>
  <c r="D64" i="71"/>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R50" i="34" l="1"/>
  <c r="C47" i="68"/>
  <c r="D45" i="68" s="1"/>
  <c r="AA10" i="40"/>
  <c r="AC10" i="39"/>
  <c r="F45" i="68"/>
  <c r="F25" i="12"/>
  <c r="C26" i="12" s="1"/>
  <c r="D25" i="12" s="1"/>
  <c r="D116" i="43"/>
  <c r="I53" i="34"/>
  <c r="J53" i="34" s="1"/>
  <c r="D21" i="71"/>
  <c r="C20" i="71"/>
  <c r="D36" i="71"/>
  <c r="T36"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34" i="69"/>
  <c r="D10" i="69"/>
  <c r="C17" i="67"/>
  <c r="C14" i="67"/>
  <c r="C17" i="15"/>
  <c r="C23" i="68" l="1"/>
  <c r="C44" i="68"/>
  <c r="D41" i="68" s="1"/>
  <c r="C26" i="68"/>
  <c r="D22" i="68" s="1"/>
  <c r="C26" i="11"/>
  <c r="D22" i="11" s="1"/>
  <c r="C44" i="11"/>
  <c r="D41"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5"/>
  <c r="D2" i="36"/>
  <c r="G19" i="9" l="1"/>
  <c r="G21" i="9" s="1"/>
  <c r="D102" i="9"/>
  <c r="D22" i="9"/>
  <c r="D21"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2" i="1"/>
  <c r="AO9" i="1"/>
  <c r="AO6" i="1"/>
  <c r="AO8" i="1"/>
  <c r="AO7" i="1"/>
  <c r="AO11"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I4" i="52" s="1"/>
  <c r="H118" i="9" l="1"/>
  <c r="H101" i="9" s="1"/>
  <c r="D14" i="74" s="1"/>
  <c r="G14" i="74" s="1"/>
  <c r="B6" i="74" s="1"/>
  <c r="D6" i="74" s="1"/>
  <c r="C105" i="9"/>
  <c r="M48" i="9"/>
  <c r="D45" i="9"/>
  <c r="D5" i="53"/>
  <c r="H107" i="9"/>
  <c r="H102" i="9"/>
  <c r="E14" i="74" s="1"/>
  <c r="F118" i="9"/>
  <c r="C104" i="9"/>
  <c r="E118" i="9"/>
  <c r="H119" i="9"/>
  <c r="H5" i="52" s="1"/>
  <c r="H4" i="52"/>
  <c r="B5" i="74" l="1"/>
  <c r="D5" i="74" s="1"/>
  <c r="F14" i="74"/>
  <c r="E4" i="52"/>
  <c r="B48" i="72" s="1"/>
  <c r="D118" i="9"/>
  <c r="B20" i="72"/>
  <c r="D6" i="53"/>
  <c r="B22" i="72" s="1"/>
  <c r="H108" i="9"/>
  <c r="M49" i="9"/>
  <c r="D13" i="53"/>
  <c r="D122" i="9"/>
  <c r="C78" i="9"/>
  <c r="C73" i="9" s="1"/>
  <c r="C85" i="9"/>
  <c r="C93" i="9"/>
  <c r="C86" i="9" s="1"/>
  <c r="D55" i="9"/>
  <c r="M53" i="9" s="1"/>
  <c r="D52" i="9"/>
  <c r="C72" i="9"/>
  <c r="D53" i="9"/>
  <c r="C64" i="9"/>
  <c r="C63" i="9" s="1"/>
  <c r="C67" i="9" s="1"/>
  <c r="F119" i="9"/>
  <c r="F5" i="52" s="1"/>
  <c r="B53" i="72" s="1"/>
  <c r="F4" i="52"/>
  <c r="B51" i="72" s="1"/>
  <c r="C5" i="74"/>
  <c r="D7" i="53"/>
  <c r="B21" i="72" s="1"/>
  <c r="C79" i="9" l="1"/>
  <c r="D123" i="9"/>
  <c r="D9" i="52" s="1"/>
  <c r="D8" i="52"/>
  <c r="C80" i="9"/>
  <c r="E80" i="9" s="1"/>
  <c r="E81" i="9" s="1"/>
  <c r="L66" i="9"/>
  <c r="M66" i="9" s="1"/>
  <c r="L67" i="9"/>
  <c r="M67" i="9" s="1"/>
  <c r="L65" i="9"/>
  <c r="M65" i="9" s="1"/>
  <c r="L63" i="9"/>
  <c r="M63" i="9" s="1"/>
  <c r="L64" i="9"/>
  <c r="M64" i="9" s="1"/>
  <c r="L68" i="9"/>
  <c r="M68" i="9" s="1"/>
  <c r="D119" i="9"/>
  <c r="D5" i="52" s="1"/>
  <c r="B49" i="72" s="1"/>
  <c r="D4" i="52"/>
  <c r="B47" i="72" s="1"/>
  <c r="C68" i="9"/>
  <c r="D54" i="9" s="1"/>
  <c r="D59" i="9"/>
  <c r="M55" i="9" s="1"/>
  <c r="B30" i="72"/>
  <c r="D14" i="53"/>
  <c r="B32" i="72" s="1"/>
  <c r="C95" i="9"/>
  <c r="D15" i="53"/>
  <c r="B31" i="72" s="1"/>
  <c r="C6" i="74"/>
  <c r="M69" i="9" l="1"/>
  <c r="N69" i="9" s="1"/>
  <c r="C81" i="9"/>
  <c r="C96" i="9"/>
  <c r="E96" i="9" s="1"/>
  <c r="E97" i="9" s="1"/>
  <c r="C97" i="9" l="1"/>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<sst xmlns="http://schemas.openxmlformats.org/spreadsheetml/2006/main" count="8105" uniqueCount="3508">
  <si>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</si>
  <si>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</si>
  <si>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</si>
  <si>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</si>
  <si>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</si>
  <si>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</si>
  <si>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</si>
  <si>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</si>
  <si>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</si>
  <si>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</si>
  <si>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</si>
  <si>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</si>
  <si>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</si>
  <si>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</si>
  <si>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</si>
  <si>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</si>
  <si>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</si>
  <si>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</si>
  <si>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</si>
  <si>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</si>
  <si>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</si>
  <si>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</si>
  <si>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</si>
  <si>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</si>
  <si>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</si>
  <si>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</si>
  <si>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</si>
  <si>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</si>
  <si>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</si>
  <si>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</si>
  <si>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</si>
  <si>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</si>
  <si>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</si>
  <si>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</si>
  <si>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</si>
  <si>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</si>
  <si>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</si>
  <si>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</si>
  <si>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</si>
  <si>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</si>
  <si>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</si>
  <si>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</si>
  <si>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</si>
  <si>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</si>
  <si>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</si>
  <si>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</si>
  <si>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</si>
  <si>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</si>
  <si>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</si>
  <si>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</si>
  <si>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</si>
  <si>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</si>
  <si>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</si>
  <si>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</si>
  <si>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</si>
  <si>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</si>
  <si>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</si>
  <si>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</si>
  <si>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</si>
  <si>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</si>
  <si>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</si>
  <si>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</si>
  <si>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</si>
  <si>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</si>
  <si>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</si>
  <si>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</si>
  <si>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</si>
  <si>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</si>
  <si>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</si>
  <si>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</si>
  <si>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</si>
  <si>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</si>
  <si>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</si>
  <si>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</si>
  <si>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</si>
  <si>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</si>
  <si>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</si>
  <si>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</si>
  <si>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</si>
  <si>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</si>
  <si>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</si>
  <si>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</si>
  <si>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</si>
  <si>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</si>
  <si>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</si>
  <si>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</si>
  <si>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</si>
  <si>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</si>
  <si>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</si>
  <si>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</si>
  <si>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</si>
  <si>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</si>
  <si>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</si>
  <si>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</si>
  <si>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</si>
  <si>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</si>
  <si>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</si>
  <si>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</si>
  <si>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</si>
  <si>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</si>
  <si>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</si>
  <si>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</si>
  <si>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</si>
  <si>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</si>
  <si>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</si>
  <si>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</si>
  <si>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</si>
  <si>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</si>
  <si>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</si>
  <si>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</si>
  <si>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</si>
  <si>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</si>
  <si>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</si>
  <si>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</si>
  <si>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</si>
  <si>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</si>
  <si>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</si>
  <si>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</si>
  <si>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</si>
  <si>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</si>
  <si>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</si>
  <si>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</si>
  <si>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</si>
  <si>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</si>
  <si>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</si>
  <si>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</si>
  <si>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</si>
  <si>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</si>
  <si>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</si>
  <si>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</si>
  <si>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</si>
  <si>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</si>
  <si>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</si>
  <si>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</si>
  <si>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</si>
  <si>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</si>
  <si>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</si>
  <si>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</si>
  <si>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</si>
  <si>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</si>
  <si>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</si>
  <si>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</si>
  <si>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</si>
  <si>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</si>
  <si>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</si>
  <si>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</si>
  <si>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</si>
  <si>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</si>
  <si>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</si>
  <si>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</si>
  <si>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</si>
  <si>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</si>
  <si>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</si>
  <si>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</si>
  <si>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</si>
  <si>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</si>
  <si>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</si>
  <si>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</si>
  <si>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</si>
  <si>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</si>
  <si>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</si>
  <si>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</si>
  <si>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</si>
  <si>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</si>
  <si>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</si>
  <si>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</si>
  <si>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</si>
  <si>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</si>
  <si>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</si>
  <si>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</si>
  <si>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</si>
  <si>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</si>
  <si>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</si>
  <si>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</si>
  <si>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</si>
  <si>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</si>
  <si>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</si>
  <si>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</si>
  <si>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</si>
  <si>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</si>
  <si>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</si>
  <si>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</si>
  <si>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</si>
  <si>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</si>
  <si>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</si>
  <si>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</si>
  <si>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</si>
  <si>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</si>
  <si>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</si>
  <si>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</si>
  <si>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</si>
  <si>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</si>
  <si>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</si>
  <si>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</si>
  <si>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</si>
  <si>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</si>
  <si>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</si>
  <si>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</si>
  <si>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</si>
  <si>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</si>
  <si>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</si>
  <si>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</si>
  <si>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</si>
  <si>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</si>
  <si>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</si>
  <si>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</si>
  <si>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</si>
  <si>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</si>
  <si>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</si>
  <si>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</si>
  <si>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</si>
  <si>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</si>
  <si>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</si>
  <si>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</si>
  <si>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</si>
  <si>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</si>
  <si>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</si>
  <si>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</si>
  <si>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</si>
  <si>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</si>
  <si>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</si>
  <si>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</si>
  <si>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</si>
  <si>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</si>
  <si>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</si>
  <si>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</si>
  <si>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</si>
  <si>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</si>
  <si>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</si>
  <si>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</si>
  <si>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</si>
  <si>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</si>
  <si>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</si>
  <si>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</si>
  <si>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</si>
  <si>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</si>
  <si>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</si>
  <si>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</si>
  <si>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</si>
  <si>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</si>
  <si>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</si>
  <si>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</si>
  <si>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</si>
  <si>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</si>
  <si>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</si>
  <si>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</si>
  <si>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</si>
  <si>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</si>
  <si>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</si>
  <si>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</si>
  <si>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</si>
  <si>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</si>
  <si>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</si>
  <si>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</si>
  <si>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</si>
  <si>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</si>
  <si>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</si>
  <si>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</si>
  <si>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</si>
  <si>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</si>
  <si>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</si>
  <si>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</si>
  <si>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</si>
  <si>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</si>
  <si>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</si>
  <si>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</si>
  <si>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</si>
  <si>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</si>
  <si>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</si>
  <si>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</si>
  <si>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</si>
  <si>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</si>
  <si>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</si>
  <si>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</si>
  <si>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</si>
  <si>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</si>
  <si>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</si>
  <si>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</si>
  <si>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</si>
  <si>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</si>
  <si>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</si>
  <si>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</si>
  <si>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</si>
  <si>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</si>
  <si>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</si>
  <si>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</si>
  <si>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</si>
  <si>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</si>
  <si>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</si>
  <si>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</si>
  <si>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</si>
  <si>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</si>
  <si>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</si>
  <si>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</si>
  <si>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</si>
  <si>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</si>
  <si>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</si>
  <si>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</si>
  <si>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</si>
  <si>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</si>
  <si>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</si>
  <si>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</si>
  <si>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</si>
  <si>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</si>
  <si>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</si>
  <si>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</si>
  <si>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</si>
  <si>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</si>
  <si>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</si>
  <si>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</si>
  <si>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</si>
  <si>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</si>
  <si>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</si>
  <si>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</si>
  <si>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</si>
  <si>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</si>
  <si>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</si>
  <si>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</si>
  <si>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</si>
  <si>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</si>
  <si>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</si>
  <si>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</si>
  <si>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</si>
  <si>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</si>
  <si>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</si>
  <si>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</si>
  <si>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</si>
  <si>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</si>
  <si>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</si>
  <si>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</si>
  <si>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</si>
  <si>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</si>
  <si>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</si>
  <si>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</si>
  <si>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</si>
  <si>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</si>
  <si>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</si>
  <si>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</si>
  <si>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</si>
  <si>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</si>
  <si>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</si>
  <si>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</si>
  <si>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</si>
  <si>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</si>
  <si>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</si>
  <si>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</si>
  <si>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</si>
  <si>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</si>
  <si>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</si>
  <si>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</si>
  <si>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</si>
  <si>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</si>
  <si>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</si>
  <si>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</si>
  <si>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</si>
  <si>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</si>
  <si>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</si>
  <si>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</si>
  <si>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</si>
  <si>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</si>
  <si>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</si>
  <si>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</si>
  <si>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</si>
  <si>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</si>
  <si>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</si>
  <si>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</si>
  <si>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</si>
  <si>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</si>
  <si>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</si>
  <si>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</si>
  <si>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</si>
  <si>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</si>
  <si>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</si>
  <si>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</si>
  <si>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</si>
  <si>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</si>
  <si>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</si>
  <si>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</si>
  <si>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</si>
  <si>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</si>
  <si>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</si>
  <si>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</si>
  <si>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</si>
  <si>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</si>
  <si>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</si>
  <si>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</si>
  <si>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</si>
  <si>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</si>
  <si>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</si>
  <si>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</si>
  <si>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</si>
  <si>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</si>
  <si>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</si>
  <si>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</si>
  <si>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</si>
  <si>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</si>
  <si>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</si>
  <si>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</si>
  <si>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</si>
  <si>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</si>
  <si>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</si>
  <si>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</si>
  <si>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</si>
  <si>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</si>
  <si>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</si>
  <si>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</si>
  <si>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</si>
  <si>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</si>
  <si>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</si>
  <si>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</si>
  <si>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</si>
  <si>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</si>
  <si>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</si>
  <si>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</si>
  <si>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</si>
  <si>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</si>
  <si>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</si>
  <si>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</si>
  <si>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</si>
  <si>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</si>
  <si>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</si>
  <si>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</si>
  <si>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</si>
  <si>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</si>
  <si>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</si>
  <si>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</si>
  <si>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</si>
  <si>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</si>
  <si>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</si>
  <si>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</si>
  <si>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</si>
  <si>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</si>
  <si>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</si>
  <si>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</si>
  <si>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</si>
  <si>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</si>
  <si>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</si>
  <si>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</si>
  <si>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</si>
  <si>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</si>
  <si>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</si>
  <si>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</si>
  <si>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</si>
  <si>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</si>
  <si>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</si>
  <si>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</si>
  <si>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</si>
  <si>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</si>
  <si>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</si>
  <si>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</si>
  <si>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</si>
  <si>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</si>
  <si>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</si>
  <si>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</si>
  <si>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</si>
  <si>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</si>
  <si>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</si>
  <si>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</si>
  <si>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</si>
  <si>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</si>
  <si>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</si>
  <si>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</si>
  <si>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</si>
  <si>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</si>
  <si>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</si>
  <si>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</si>
  <si>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</si>
  <si>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</si>
  <si>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</si>
  <si>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</si>
  <si>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</si>
  <si>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</si>
  <si>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</si>
  <si>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</si>
  <si>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</si>
  <si>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</si>
  <si>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</si>
  <si>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</si>
  <si>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</si>
  <si>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</si>
  <si>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</si>
  <si>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</si>
  <si>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</si>
  <si>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</si>
  <si>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</si>
  <si>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</si>
  <si>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</si>
  <si>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</si>
  <si>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</si>
  <si>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</si>
  <si>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</si>
  <si>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</si>
  <si>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</si>
  <si>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</si>
  <si>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</si>
  <si>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</si>
  <si>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</si>
  <si>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</si>
  <si>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</si>
  <si>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</si>
  <si>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</si>
  <si>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</si>
  <si>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</si>
  <si>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</si>
  <si>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</si>
  <si>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</si>
  <si>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</si>
  <si>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</si>
  <si>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</si>
  <si>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</si>
  <si>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</si>
  <si>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</si>
  <si>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</si>
  <si>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</si>
  <si>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</si>
  <si>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</si>
  <si>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</si>
  <si>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</si>
  <si>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</si>
  <si>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</si>
  <si>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</si>
  <si>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</si>
  <si>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</si>
  <si>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</si>
  <si>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</si>
  <si>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</si>
  <si>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</si>
  <si>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</si>
  <si>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</si>
  <si>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</si>
  <si>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</si>
  <si>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</si>
  <si>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</si>
  <si>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</si>
  <si>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</si>
  <si>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</si>
  <si>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</si>
  <si>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</si>
  <si>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</si>
  <si>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</si>
  <si>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</si>
  <si>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</si>
  <si>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</si>
  <si>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</si>
  <si>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</si>
  <si>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</si>
  <si>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</si>
  <si>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</si>
  <si>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</si>
  <si>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</si>
  <si>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</si>
  <si>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</si>
  <si>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</si>
  <si>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</si>
  <si>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</si>
  <si>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</si>
  <si>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</si>
  <si>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</si>
  <si>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</si>
  <si>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</si>
  <si>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</si>
  <si>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</si>
  <si>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</si>
  <si>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</si>
  <si>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</si>
  <si>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</si>
  <si>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</si>
  <si>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</si>
  <si>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</si>
  <si>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</si>
  <si>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</si>
  <si>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</si>
  <si>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</si>
  <si>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</si>
  <si>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</si>
  <si>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</si>
  <si>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</si>
  <si>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</si>
  <si>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</si>
  <si>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</si>
  <si>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</si>
  <si>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</si>
  <si>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</si>
  <si>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</si>
  <si>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</si>
  <si>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</si>
  <si>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</si>
  <si>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</si>
  <si>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</si>
  <si>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</si>
  <si>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</si>
  <si>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</si>
  <si>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</si>
  <si>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</si>
  <si>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</si>
  <si>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</si>
  <si>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</si>
  <si>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</si>
  <si>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</si>
  <si>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</si>
  <si>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</si>
  <si>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</si>
  <si>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</si>
  <si>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</si>
  <si>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</si>
  <si>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</si>
  <si>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</si>
  <si>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</si>
  <si>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</si>
  <si>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</si>
  <si>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</si>
  <si>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</si>
  <si>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</si>
  <si>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</si>
  <si>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</si>
  <si>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</si>
  <si>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</si>
  <si>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</si>
  <si>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</si>
  <si>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</si>
  <si>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</si>
  <si>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</si>
  <si>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</si>
  <si>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</si>
  <si>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</si>
  <si>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</si>
  <si>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</si>
  <si>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</si>
  <si>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</si>
  <si>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</si>
  <si>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</si>
  <si>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</si>
  <si>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</si>
  <si>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</si>
  <si>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</si>
  <si>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</si>
  <si>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</si>
  <si>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</si>
  <si>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</si>
  <si>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</si>
  <si>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</si>
  <si>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</si>
  <si>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</si>
  <si>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</si>
  <si>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</si>
  <si>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</si>
  <si>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</si>
  <si>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</si>
  <si>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</si>
  <si>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</si>
  <si>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</si>
  <si>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</si>
  <si>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</si>
  <si>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</si>
  <si>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</si>
  <si>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</si>
  <si>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</si>
  <si>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</si>
  <si>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</si>
  <si>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</si>
  <si>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</si>
  <si>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</si>
  <si>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</si>
  <si>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</si>
  <si>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</si>
  <si>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</si>
  <si>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</si>
  <si>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</si>
  <si>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</si>
  <si>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</si>
  <si>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</si>
  <si>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</si>
  <si>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</si>
  <si>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</si>
  <si>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</si>
  <si>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</si>
  <si>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</si>
  <si>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</si>
  <si>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</si>
  <si>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</si>
  <si>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</si>
  <si>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</si>
  <si>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</si>
  <si>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</si>
  <si>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</si>
  <si>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</si>
  <si>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</si>
  <si>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</si>
  <si>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</si>
  <si>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</si>
  <si>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</si>
  <si>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</si>
  <si>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</si>
  <si>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</si>
  <si>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</si>
  <si>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</si>
  <si>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</si>
  <si>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</si>
  <si>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</si>
  <si>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</si>
  <si>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</si>
  <si>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</si>
  <si>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</si>
  <si>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</si>
  <si>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</si>
  <si>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</si>
  <si>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</si>
  <si>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</si>
  <si>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</si>
  <si>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</si>
  <si>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</si>
  <si>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</si>
  <si>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</si>
  <si>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</si>
  <si>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</si>
  <si>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</si>
  <si>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</si>
  <si>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</si>
  <si>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</si>
  <si>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</si>
  <si>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</si>
  <si>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</si>
  <si>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</si>
  <si>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</si>
  <si>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</si>
  <si>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</si>
  <si>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</si>
  <si>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</si>
  <si>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</si>
  <si>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</si>
  <si>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</si>
  <si>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</si>
  <si>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</si>
  <si>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</si>
  <si>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</si>
  <si>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</si>
  <si>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</si>
  <si>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</si>
  <si>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</si>
  <si>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</si>
  <si>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</si>
  <si>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</si>
  <si>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</si>
  <si>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</si>
  <si>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</si>
  <si>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</si>
  <si>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</si>
  <si>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</si>
  <si>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</si>
  <si>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</si>
  <si>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</si>
  <si>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</si>
  <si>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</si>
  <si>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</si>
  <si>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</si>
  <si>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</si>
  <si>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</si>
  <si>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</si>
  <si>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</si>
  <si>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</si>
  <si>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</si>
  <si>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</si>
  <si>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</si>
  <si>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</si>
  <si>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</si>
  <si>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</si>
  <si>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</si>
  <si>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</si>
  <si>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</si>
  <si>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</si>
  <si>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</si>
  <si>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</si>
  <si>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</si>
  <si>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</si>
  <si>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</si>
  <si>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</si>
  <si>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</si>
  <si>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</si>
  <si>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</si>
  <si>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</si>
  <si>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</si>
  <si>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</si>
  <si>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</si>
  <si>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</si>
  <si>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</si>
  <si>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</si>
  <si>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</si>
  <si>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</si>
  <si>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</si>
  <si>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</si>
  <si>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</si>
  <si>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</si>
  <si>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</si>
  <si>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</si>
  <si>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</si>
  <si>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</si>
  <si>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</si>
  <si>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</si>
  <si>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</si>
  <si>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</si>
  <si>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</si>
  <si>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</si>
  <si>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</si>
  <si>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</si>
  <si>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</si>
  <si>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</si>
  <si>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</si>
  <si>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</si>
  <si>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</si>
  <si>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</si>
  <si>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</si>
  <si>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</si>
  <si>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</si>
  <si>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</si>
  <si>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</si>
  <si>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</si>
  <si>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</si>
  <si>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</si>
  <si>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</si>
  <si>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</si>
  <si>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</si>
  <si>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</si>
  <si>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</si>
  <si>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</si>
  <si>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</si>
  <si>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</si>
  <si>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</si>
  <si>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</si>
  <si>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</si>
  <si>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</si>
  <si>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</si>
  <si>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</si>
  <si>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</si>
  <si>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</si>
  <si>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</si>
  <si>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</si>
  <si>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</si>
  <si>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</si>
  <si>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</si>
  <si>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</si>
  <si>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</si>
  <si>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</si>
  <si>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</si>
  <si>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</si>
  <si>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</si>
  <si>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</si>
  <si>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</si>
  <si>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</si>
  <si>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</si>
  <si>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</si>
  <si>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</si>
  <si>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</si>
  <si>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</si>
  <si>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</si>
  <si>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</si>
  <si>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</si>
  <si>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</si>
  <si>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</si>
  <si>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</si>
  <si>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</si>
  <si>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</si>
  <si>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</si>
  <si>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</si>
  <si>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</si>
  <si>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</si>
  <si>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</si>
  <si>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</si>
  <si>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</si>
  <si>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</si>
  <si>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</si>
  <si>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</si>
  <si>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</si>
  <si>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</si>
  <si>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</si>
  <si>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</si>
  <si>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</si>
  <si>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</si>
  <si>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</si>
  <si>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</si>
  <si>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</si>
  <si>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</si>
  <si>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</si>
  <si>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</si>
  <si>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</si>
  <si>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</si>
  <si>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</si>
  <si>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</si>
  <si>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</si>
  <si>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</si>
  <si>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</si>
  <si>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</si>
  <si>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</si>
  <si>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</si>
  <si>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</si>
  <si>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</si>
  <si>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</si>
  <si>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</si>
  <si>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</si>
  <si>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</si>
  <si>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</si>
  <si>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</si>
  <si>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</si>
  <si>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</si>
  <si>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</si>
  <si>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</si>
  <si>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</si>
  <si>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</si>
  <si>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</si>
  <si>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</si>
  <si>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</si>
  <si>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</si>
  <si>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</si>
  <si>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</si>
  <si>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</si>
  <si>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</si>
  <si>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</si>
  <si>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</si>
  <si>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</si>
  <si>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</si>
  <si>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</si>
  <si>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</si>
  <si>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</si>
  <si>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</si>
  <si>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</si>
  <si>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</si>
  <si>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</si>
  <si>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</si>
  <si>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</si>
  <si>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</si>
  <si>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</si>
  <si>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</si>
  <si>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</si>
  <si>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</si>
  <si>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</si>
  <si>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</si>
  <si>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</si>
  <si>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</si>
  <si>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</si>
  <si>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</si>
  <si>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</si>
  <si>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</si>
  <si>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</si>
  <si>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</si>
  <si>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</si>
  <si>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</si>
  <si>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</si>
  <si>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</si>
  <si>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</si>
  <si>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</si>
  <si>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</si>
  <si>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</si>
  <si>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</si>
  <si>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</si>
  <si>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</si>
  <si>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</si>
  <si>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</si>
  <si>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</si>
  <si>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</si>
  <si>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</si>
  <si>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</si>
  <si>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</si>
  <si>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</si>
  <si>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</si>
  <si>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</si>
  <si>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</si>
  <si>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</si>
  <si>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</si>
  <si>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</si>
  <si>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</si>
  <si>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</si>
  <si>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</si>
  <si>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</si>
  <si>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</si>
  <si>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</si>
  <si>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</si>
  <si>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</si>
  <si>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</si>
  <si>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</si>
  <si>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</si>
  <si>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</si>
  <si>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</si>
  <si>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</si>
  <si>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</si>
  <si>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</si>
  <si>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</si>
  <si>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</si>
  <si>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</si>
  <si>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</si>
  <si>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</si>
  <si>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</si>
  <si>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</si>
  <si>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</si>
  <si>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</si>
  <si>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</si>
  <si>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</si>
  <si>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</si>
  <si>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</si>
  <si>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</si>
  <si>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</si>
  <si>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</si>
  <si>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</si>
  <si>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</si>
  <si>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</si>
  <si>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</si>
  <si>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</si>
  <si>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</si>
  <si>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</si>
  <si>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</si>
  <si>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</si>
  <si>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</si>
  <si>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</si>
  <si>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</si>
  <si>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</si>
  <si>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</si>
  <si>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</si>
  <si>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</si>
  <si>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</si>
  <si>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</si>
  <si>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</si>
  <si>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</si>
  <si>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</si>
  <si>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</si>
  <si>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</si>
  <si>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</si>
  <si>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</si>
  <si>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</si>
  <si>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</si>
  <si>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</si>
  <si>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</si>
  <si>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</si>
  <si>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</si>
  <si>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</si>
  <si>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</si>
  <si>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</si>
  <si>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</si>
  <si>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</si>
  <si>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</si>
  <si>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</si>
  <si>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</si>
  <si>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</si>
  <si>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</si>
  <si>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</si>
  <si>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</si>
  <si>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</si>
  <si>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</si>
  <si>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</si>
  <si>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</si>
  <si>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</si>
  <si>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</si>
  <si>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</si>
  <si>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</si>
  <si>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</si>
  <si>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</si>
  <si>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</si>
  <si>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</si>
  <si>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</si>
  <si>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</si>
  <si>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</si>
  <si>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</si>
  <si>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</si>
  <si>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</si>
  <si>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</si>
  <si>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</si>
  <si>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</si>
  <si>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</si>
  <si>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</si>
  <si>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</si>
  <si>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</si>
  <si>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</si>
  <si>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</si>
  <si>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</si>
  <si>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</si>
  <si>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</si>
  <si>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</si>
  <si>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</si>
  <si>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</si>
  <si>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</si>
  <si>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</si>
  <si>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</si>
  <si>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</si>
  <si>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</si>
  <si>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</si>
  <si>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</si>
  <si>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</si>
  <si>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</si>
  <si>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</si>
  <si>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</si>
  <si>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</si>
  <si>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</si>
  <si>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</si>
  <si>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</si>
  <si>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</si>
  <si>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</si>
  <si>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</si>
  <si>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</si>
  <si>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</si>
  <si>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</si>
  <si>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</si>
  <si>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</si>
  <si>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</si>
  <si>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</si>
  <si>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</si>
  <si>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</si>
  <si>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</si>
  <si>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</si>
  <si>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</si>
  <si>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</si>
  <si>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</si>
  <si>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</si>
  <si>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</si>
  <si>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</si>
  <si>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</si>
  <si>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</si>
  <si>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</si>
  <si>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</si>
  <si>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</si>
  <si>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</si>
  <si>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</si>
  <si>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</si>
  <si>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</si>
  <si>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</si>
  <si>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</si>
  <si>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</si>
  <si>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</si>
  <si>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</si>
  <si>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</si>
  <si>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</si>
  <si>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</si>
  <si>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</si>
  <si>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</si>
  <si>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</si>
  <si>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</si>
  <si>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</si>
  <si>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</si>
  <si>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</si>
  <si>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</si>
  <si>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</si>
  <si>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</si>
  <si>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</si>
  <si>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</si>
  <si>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</si>
  <si>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</si>
  <si>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</si>
  <si>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</si>
  <si>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</si>
  <si>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</si>
  <si>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</si>
  <si>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</si>
  <si>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</si>
  <si>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</si>
  <si>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</si>
  <si>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</si>
  <si>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</si>
  <si>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</si>
  <si>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</si>
  <si>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</si>
  <si>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</si>
  <si>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</si>
  <si>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</si>
  <si>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</si>
  <si>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</si>
  <si>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</si>
  <si>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</si>
  <si>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</si>
  <si>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</si>
  <si>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</si>
  <si>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</si>
  <si>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</si>
  <si>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</si>
  <si>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</si>
  <si>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</si>
  <si>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</si>
  <si>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</si>
  <si>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</si>
  <si>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</si>
  <si>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</si>
  <si>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</si>
  <si>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</si>
  <si>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</si>
  <si>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</si>
  <si>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</si>
  <si>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</si>
  <si>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</si>
  <si>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</si>
  <si>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</si>
  <si>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</si>
  <si>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</si>
  <si>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</si>
  <si>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</si>
  <si>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</si>
  <si>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</si>
  <si>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</si>
  <si>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</si>
  <si>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</si>
  <si>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</si>
  <si>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</si>
  <si>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</si>
  <si>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</si>
  <si>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</si>
  <si>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</si>
  <si>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</si>
  <si>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</si>
  <si>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</si>
  <si>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</si>
  <si>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</si>
  <si>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</si>
  <si>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</si>
  <si>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</si>
  <si>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</si>
  <si>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</si>
  <si>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</si>
  <si>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</si>
  <si>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</si>
  <si>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</si>
  <si>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</si>
  <si>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</si>
  <si>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</si>
  <si>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</si>
  <si>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</si>
  <si>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</si>
  <si>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</si>
  <si>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</si>
  <si>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</si>
  <si>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</si>
  <si>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</si>
  <si>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</si>
  <si>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</si>
  <si>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</si>
  <si>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</si>
  <si>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</si>
  <si>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</si>
  <si>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</si>
  <si>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</si>
  <si>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</si>
  <si>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</si>
  <si>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</si>
  <si>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</si>
  <si>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</si>
  <si>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</si>
  <si>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</si>
  <si>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</si>
  <si>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</si>
  <si>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</si>
  <si>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</si>
  <si>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</si>
  <si>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</si>
  <si>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</si>
  <si>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</si>
  <si>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</si>
  <si>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</si>
  <si>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</si>
  <si>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</si>
  <si>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</si>
  <si>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</si>
  <si>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</si>
  <si>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</si>
  <si>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</si>
  <si>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</si>
  <si>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</si>
  <si>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</si>
  <si>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</si>
  <si>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</si>
  <si>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</si>
  <si>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</si>
  <si>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</si>
  <si>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</si>
  <si>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</si>
  <si>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</si>
  <si>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</si>
  <si>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</si>
  <si>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</si>
  <si>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</si>
  <si>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</si>
  <si>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</si>
  <si>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</si>
  <si>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</si>
  <si>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</si>
  <si>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</si>
  <si>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</si>
  <si>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</si>
  <si>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</si>
  <si>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</si>
  <si>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</si>
  <si>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</si>
  <si>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</si>
  <si>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</si>
  <si>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</si>
  <si>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</si>
  <si>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</si>
  <si>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</si>
  <si>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</si>
  <si>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</si>
  <si>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</si>
  <si>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</si>
  <si>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</si>
  <si>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</si>
  <si>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</si>
  <si>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</si>
  <si>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</si>
  <si>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</si>
  <si>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</si>
  <si>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</si>
  <si>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</si>
  <si>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</si>
  <si>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</si>
  <si>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</si>
  <si>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</si>
  <si>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</si>
  <si>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</si>
  <si>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</si>
  <si>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</si>
  <si>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</si>
  <si>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</si>
  <si>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</si>
  <si>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</si>
  <si>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</si>
  <si>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</si>
  <si>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</si>
  <si>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</si>
  <si>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</si>
  <si>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</si>
  <si>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</si>
  <si>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</si>
  <si>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</si>
  <si>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</si>
  <si>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</si>
  <si>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</si>
  <si>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</si>
  <si>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</si>
  <si>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</si>
  <si>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</si>
  <si>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</si>
  <si>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</si>
  <si>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</si>
  <si>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</si>
  <si>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</si>
  <si>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</si>
  <si>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</si>
  <si>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</si>
  <si>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</si>
  <si>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</si>
  <si>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</si>
  <si>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</si>
  <si>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</si>
  <si>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</si>
  <si>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</si>
  <si>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</si>
  <si>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</si>
  <si>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</si>
  <si>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</si>
  <si>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</si>
  <si>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</si>
  <si>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</si>
  <si>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</si>
  <si>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</si>
  <si>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</si>
  <si>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</si>
  <si>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</si>
  <si>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</si>
  <si>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</si>
  <si>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</si>
  <si>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</si>
  <si>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</si>
  <si>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</si>
  <si>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</si>
  <si>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</si>
  <si>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</si>
  <si>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</si>
  <si>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</si>
  <si>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</si>
  <si>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</si>
  <si>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</si>
  <si>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</si>
  <si>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</si>
  <si>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</si>
  <si>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</si>
  <si>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</si>
  <si>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</si>
  <si>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</si>
  <si>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</si>
  <si>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</si>
  <si>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</si>
  <si>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</si>
  <si>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</si>
  <si>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</si>
  <si>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</si>
  <si>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</si>
  <si>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</si>
  <si>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</si>
  <si>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</si>
  <si>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</si>
  <si>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</si>
  <si>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</si>
  <si>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</si>
  <si>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</si>
  <si>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</si>
  <si>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</si>
  <si>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</si>
  <si>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</si>
  <si>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</si>
  <si>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</si>
  <si>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</si>
  <si>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</si>
  <si>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</si>
  <si>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</si>
  <si>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</si>
  <si>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</si>
  <si>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</si>
  <si>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</si>
  <si>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</si>
  <si>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</si>
  <si>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</si>
  <si>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</si>
  <si>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</si>
  <si>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</si>
  <si>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</si>
  <si>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</si>
  <si>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</si>
  <si>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</si>
  <si>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</si>
  <si>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</si>
  <si>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</si>
  <si>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</si>
  <si>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</si>
  <si>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</si>
  <si>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</si>
  <si>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</si>
  <si>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</si>
  <si>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</si>
  <si>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</si>
  <si>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</si>
  <si>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</si>
  <si>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</si>
  <si>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</si>
  <si>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</si>
  <si>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</si>
  <si>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</si>
  <si>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</si>
  <si>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</si>
  <si>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</si>
  <si>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</si>
  <si>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</si>
  <si>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</si>
  <si>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</si>
  <si>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</si>
  <si>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</si>
  <si>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</si>
  <si>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</si>
  <si>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</si>
  <si>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</si>
  <si>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</si>
  <si>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</si>
  <si>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</si>
  <si>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</si>
  <si>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</si>
  <si>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</si>
  <si>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</si>
  <si>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</si>
  <si>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</si>
  <si>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</si>
  <si>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</si>
  <si>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</si>
  <si>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</si>
  <si>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</si>
  <si>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</si>
  <si>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</si>
  <si>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</si>
  <si>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</si>
  <si>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</si>
  <si>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</si>
  <si>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</si>
  <si>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</si>
  <si>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</si>
  <si>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</si>
  <si>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</si>
  <si>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</si>
  <si>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</si>
  <si>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</si>
  <si>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</si>
  <si>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</si>
  <si>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</si>
  <si>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</si>
  <si>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</si>
  <si>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</si>
  <si>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</si>
  <si>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</si>
  <si>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</si>
  <si>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</si>
  <si>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</si>
  <si>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</si>
  <si>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</si>
  <si>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</si>
  <si>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</si>
  <si>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</si>
  <si>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</si>
  <si>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</si>
  <si>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</si>
  <si>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</si>
  <si>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</si>
  <si>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</si>
  <si>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</si>
  <si>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</si>
  <si>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</si>
  <si>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</si>
  <si>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</si>
  <si>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</si>
  <si>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</si>
  <si>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</si>
  <si>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</si>
  <si>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</si>
  <si>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</si>
  <si>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</si>
  <si>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</si>
  <si>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</si>
  <si>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</si>
  <si>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</si>
  <si>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</si>
  <si>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</si>
  <si>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</si>
  <si>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</si>
  <si>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</si>
  <si>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</si>
  <si>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</si>
  <si>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</si>
  <si>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</si>
  <si>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</si>
  <si>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</si>
  <si>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</si>
  <si>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</si>
  <si>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</si>
  <si>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</si>
  <si>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</si>
  <si>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</si>
  <si>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</si>
  <si>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</si>
  <si>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</si>
  <si>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</si>
  <si>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</si>
  <si>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</si>
  <si>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</si>
  <si>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</si>
  <si>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</si>
  <si>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</si>
  <si>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</si>
  <si>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</si>
  <si>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</si>
  <si>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</si>
  <si>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</si>
  <si>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</si>
  <si>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</si>
  <si>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</si>
  <si>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</si>
  <si>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</si>
  <si>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</si>
  <si>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</si>
  <si>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</si>
  <si>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</si>
  <si>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</si>
  <si>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</si>
  <si>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</si>
  <si>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</si>
  <si>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</si>
  <si>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</si>
  <si>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</si>
  <si>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</si>
  <si>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</si>
  <si>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</si>
  <si>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</si>
  <si>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</si>
  <si>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</si>
  <si>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</si>
  <si>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</si>
  <si>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</si>
  <si>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</si>
  <si>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</si>
  <si>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</si>
  <si>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</si>
  <si>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</si>
  <si>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</si>
  <si>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</si>
  <si>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</si>
  <si>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</si>
  <si>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</si>
  <si>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</si>
  <si>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</si>
  <si>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</si>
  <si>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</si>
  <si>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</si>
  <si>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</si>
  <si>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</si>
  <si>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</si>
  <si>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</si>
  <si>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</si>
  <si>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</si>
  <si>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</si>
  <si>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</si>
  <si>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</si>
  <si>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</si>
  <si>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</si>
  <si>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</si>
  <si>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</si>
  <si>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</si>
  <si>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</si>
  <si>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</si>
  <si>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</si>
  <si>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</si>
  <si>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</si>
  <si>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</si>
  <si>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</si>
  <si>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</si>
  <si>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</si>
  <si>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</si>
  <si>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</si>
  <si>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</si>
  <si>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</si>
  <si>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</si>
  <si>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</si>
  <si>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</si>
  <si>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</si>
  <si>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</si>
  <si>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</si>
  <si>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</si>
  <si>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</si>
  <si>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</si>
  <si>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</si>
  <si>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</si>
  <si>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</si>
  <si>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</si>
  <si>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</si>
  <si>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</si>
  <si>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</si>
  <si>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</si>
  <si>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</si>
  <si>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</si>
  <si>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</si>
  <si>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</si>
  <si>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</si>
  <si>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</si>
  <si>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</si>
  <si>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</si>
  <si>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</si>
  <si>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</si>
  <si>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</si>
  <si>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</si>
  <si>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</si>
  <si>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</si>
  <si>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</si>
  <si>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</si>
  <si>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</si>
  <si>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</si>
  <si>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</si>
  <si>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</si>
  <si>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</si>
  <si>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</si>
  <si>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</si>
  <si>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</si>
  <si>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</si>
  <si>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</si>
  <si>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</si>
  <si>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</si>
  <si>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</si>
  <si>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</si>
  <si>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</si>
  <si>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</si>
  <si>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</si>
  <si>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</si>
  <si>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</si>
  <si>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</si>
  <si>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</si>
  <si>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</si>
  <si>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</si>
  <si>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</si>
  <si>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</si>
  <si>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</si>
  <si>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</si>
  <si>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</si>
  <si>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</si>
  <si>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</si>
  <si>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</si>
  <si>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</si>
  <si>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</si>
  <si>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</si>
  <si>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</si>
  <si>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</si>
  <si>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</si>
  <si>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</si>
  <si>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</si>
  <si>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</si>
  <si>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</si>
  <si>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</si>
  <si>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</si>
  <si>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</si>
  <si>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</si>
  <si>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</si>
  <si>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</si>
  <si>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</si>
  <si>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</si>
  <si>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</si>
  <si>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</si>
  <si>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</si>
  <si>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</si>
  <si>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</si>
  <si>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</si>
  <si>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</si>
  <si>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</si>
  <si>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</si>
  <si>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</si>
  <si>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</si>
  <si>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</si>
  <si>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</si>
  <si>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</si>
  <si>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</si>
  <si>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</si>
  <si>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</si>
  <si>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</si>
  <si>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</si>
  <si>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</si>
  <si>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</si>
  <si>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</si>
  <si>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</si>
  <si>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</si>
  <si>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</si>
  <si>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</si>
  <si>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</si>
  <si>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</si>
  <si>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</si>
  <si>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</si>
  <si>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</si>
  <si>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</si>
  <si>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</si>
  <si>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</si>
  <si>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</si>
  <si>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</si>
  <si>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</si>
  <si>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</si>
  <si>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</si>
  <si>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</si>
  <si>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</si>
  <si>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</si>
  <si>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</si>
  <si>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</si>
  <si>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</si>
  <si>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</si>
  <si>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</si>
  <si>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</si>
  <si>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</si>
  <si>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</si>
  <si>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</si>
  <si>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</si>
  <si>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</si>
  <si>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</si>
  <si>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</si>
  <si>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</si>
  <si>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</si>
  <si>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</si>
  <si>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</si>
  <si>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</si>
  <si>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</si>
  <si>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</si>
  <si>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</si>
  <si>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</si>
  <si>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</si>
  <si>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</si>
  <si>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</si>
  <si>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</si>
  <si>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</si>
  <si>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</si>
  <si>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</si>
  <si>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</si>
  <si>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</si>
  <si>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</si>
  <si>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</si>
  <si>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</si>
  <si>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</si>
  <si>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</si>
  <si>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</si>
  <si>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</si>
  <si>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</si>
  <si>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</si>
  <si>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</si>
  <si>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</si>
  <si>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</si>
  <si>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</si>
  <si>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</si>
  <si>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</si>
  <si>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</si>
  <si>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</si>
  <si>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</si>
  <si>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</si>
  <si>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</si>
  <si>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</si>
  <si>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</si>
  <si>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</si>
  <si>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</si>
  <si>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</si>
  <si>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</si>
  <si>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</si>
  <si>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</si>
  <si>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</si>
  <si>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</si>
  <si>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</si>
  <si>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</si>
  <si>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</si>
  <si>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</si>
  <si>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</si>
  <si>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</si>
  <si>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</si>
  <si>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</si>
  <si>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</si>
  <si>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</si>
  <si>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</si>
  <si>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</si>
  <si>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</si>
  <si>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</si>
  <si>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</si>
  <si>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</si>
  <si>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</si>
  <si>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</si>
  <si>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</si>
  <si>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</si>
  <si>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</si>
  <si>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</si>
  <si>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</si>
  <si>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</si>
  <si>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</si>
  <si>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</si>
  <si>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</si>
  <si>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</si>
  <si>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</si>
  <si>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</si>
  <si>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</si>
  <si>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</si>
  <si>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</si>
  <si>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</si>
  <si>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</si>
  <si>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</si>
  <si>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</si>
  <si>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</si>
  <si>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</si>
  <si>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</si>
  <si>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</si>
  <si>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</si>
  <si>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</si>
  <si>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</si>
  <si>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</si>
  <si>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</si>
  <si>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</si>
  <si>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</si>
  <si>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</si>
  <si>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</si>
  <si>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</si>
  <si>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</si>
  <si>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</si>
  <si>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</si>
  <si>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</si>
  <si>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</si>
  <si>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</si>
  <si>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</si>
  <si>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</si>
  <si>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</si>
  <si>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</si>
  <si>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</si>
  <si>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</si>
  <si>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</si>
  <si>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</si>
  <si>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</si>
  <si>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</si>
  <si>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</si>
  <si>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</si>
  <si>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</si>
  <si>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</si>
  <si>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</si>
  <si>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</si>
  <si>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</si>
  <si>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</si>
  <si>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</si>
  <si>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</si>
  <si>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</si>
  <si>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</si>
  <si>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</si>
  <si>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</si>
  <si>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</si>
  <si>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</si>
  <si>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</si>
  <si>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</si>
  <si>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</si>
  <si>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</si>
  <si>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</si>
  <si>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</si>
  <si>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</si>
  <si>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</si>
  <si>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</si>
  <si>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</si>
  <si>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</si>
  <si>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</si>
  <si>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</si>
  <si>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</si>
  <si>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</si>
  <si>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</si>
  <si>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</si>
  <si>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</si>
  <si>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</si>
  <si>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</si>
  <si>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</si>
  <si>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</si>
  <si>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</si>
  <si>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</si>
  <si>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</si>
  <si>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</si>
  <si>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</si>
  <si>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</si>
  <si>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</si>
  <si>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</si>
  <si>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</si>
  <si>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</si>
  <si>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</si>
  <si>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</si>
  <si>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</si>
  <si>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</si>
  <si>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</si>
  <si>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</si>
  <si>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</si>
  <si>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</si>
  <si>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</si>
  <si>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</si>
  <si>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</si>
  <si>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</si>
  <si>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</si>
  <si>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</si>
  <si>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</si>
  <si>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</si>
  <si>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</si>
  <si>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</si>
  <si>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</si>
  <si>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</si>
  <si>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</si>
  <si>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</si>
  <si>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</si>
  <si>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</si>
  <si>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</si>
  <si>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</si>
  <si>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</si>
  <si>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</si>
  <si>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</si>
  <si>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</si>
  <si>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</si>
  <si>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</si>
  <si>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</si>
  <si>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</si>
  <si>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</si>
  <si>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</si>
  <si>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</si>
  <si>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</si>
  <si>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</si>
  <si>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</si>
  <si>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</si>
  <si>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</si>
  <si>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</si>
  <si>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</si>
  <si>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</si>
  <si>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</si>
  <si>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</si>
  <si>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</si>
  <si>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</si>
  <si>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</si>
  <si>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</si>
  <si>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</si>
  <si>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</si>
  <si>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</si>
  <si>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</si>
  <si>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</si>
  <si>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</si>
  <si>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</si>
  <si>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</si>
  <si>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</si>
  <si>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</si>
  <si>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</si>
  <si>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</si>
  <si>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</si>
  <si>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</si>
  <si>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</si>
  <si>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</si>
  <si>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</si>
  <si>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</si>
  <si>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</si>
  <si>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</si>
  <si>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</si>
  <si>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</si>
  <si>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</si>
  <si>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</si>
  <si>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</si>
  <si>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</si>
  <si>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</si>
  <si>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</si>
  <si>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</si>
  <si>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</si>
  <si>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</si>
  <si>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</si>
  <si>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</si>
  <si>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</si>
  <si>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</si>
  <si>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</si>
  <si>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</si>
  <si>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</si>
  <si>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</si>
  <si>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</si>
  <si>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</si>
  <si>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</si>
  <si>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</si>
  <si>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</si>
  <si>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</si>
  <si>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</si>
  <si>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</si>
  <si>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</si>
  <si>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</si>
  <si>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</si>
  <si>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</si>
  <si>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</si>
  <si>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</si>
  <si>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</si>
  <si>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</si>
  <si>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</si>
  <si>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</si>
  <si>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</si>
  <si>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</si>
  <si>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</si>
  <si>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</si>
  <si>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</si>
  <si>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</si>
  <si>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</si>
  <si>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</si>
  <si>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</si>
  <si>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</si>
  <si>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</si>
  <si>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</si>
  <si>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</si>
  <si>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</si>
  <si>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</si>
  <si>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</si>
  <si>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</si>
  <si>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</si>
  <si>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</si>
  <si>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</si>
  <si>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</si>
  <si>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</si>
  <si>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</si>
  <si>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</si>
  <si>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</si>
  <si>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</si>
  <si>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</si>
  <si>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</si>
  <si>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</si>
  <si>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</si>
  <si>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</si>
  <si>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</si>
  <si>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</si>
  <si>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</si>
  <si>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</si>
  <si>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</si>
  <si>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</si>
  <si>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</si>
  <si>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</si>
  <si>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</si>
  <si>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</si>
  <si>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</si>
  <si>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</si>
  <si>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</si>
  <si>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</si>
  <si>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</si>
  <si>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</si>
  <si>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</si>
  <si>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</si>
  <si>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</si>
  <si>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</si>
  <si>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</si>
  <si>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</si>
  <si>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</si>
  <si>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</si>
  <si>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</si>
  <si>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</si>
  <si>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</si>
  <si>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</si>
  <si>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</si>
  <si>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</si>
  <si>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</si>
  <si>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</si>
  <si>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</si>
  <si>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</si>
  <si>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</si>
  <si>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</si>
  <si>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</si>
  <si>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</si>
  <si>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</si>
  <si>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</si>
  <si>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</si>
  <si>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</si>
  <si>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</si>
  <si>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</si>
  <si>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</si>
  <si>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</si>
  <si>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</si>
  <si>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</si>
  <si>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</si>
  <si>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</si>
  <si>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</si>
  <si>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</si>
  <si>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</si>
  <si>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</si>
  <si>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</si>
  <si>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</si>
  <si>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</si>
  <si>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</si>
  <si>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</si>
  <si>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</si>
  <si>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</si>
  <si>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</si>
  <si>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</si>
  <si>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</si>
  <si>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</si>
  <si>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</si>
  <si>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</si>
  <si>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</si>
  <si>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</si>
  <si>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</si>
  <si>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</si>
  <si>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</si>
  <si>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</si>
  <si>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</si>
  <si>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</si>
  <si>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</si>
  <si>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</si>
  <si>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</si>
  <si>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</si>
  <si>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</si>
  <si>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</si>
  <si>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</si>
  <si>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</si>
  <si>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</si>
  <si>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</si>
  <si>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</si>
  <si>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</si>
  <si>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</si>
  <si>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</si>
  <si>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</si>
  <si>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</si>
  <si>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</si>
  <si>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</si>
  <si>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</si>
  <si>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</si>
  <si>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</si>
  <si>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</si>
  <si>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</si>
  <si>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</si>
  <si>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</si>
  <si>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</si>
  <si>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</si>
  <si>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</si>
  <si>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</si>
  <si>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</si>
  <si>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</si>
  <si>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</si>
  <si>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</si>
  <si>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</si>
  <si>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</si>
  <si>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</si>
  <si>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</si>
  <si>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</si>
  <si>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</si>
  <si>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</si>
  <si>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</si>
  <si>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</si>
  <si>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</si>
  <si>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</si>
  <si>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</si>
  <si>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</si>
  <si>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</si>
  <si>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</si>
  <si>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</si>
  <si>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</si>
  <si>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</si>
  <si>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</si>
  <si>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</si>
  <si>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</si>
  <si>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</si>
  <si>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</si>
  <si>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</si>
  <si>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</si>
  <si>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</si>
  <si>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</si>
  <si>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</si>
  <si>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</si>
  <si>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</si>
  <si>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</si>
  <si>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</si>
  <si>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</si>
  <si>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</si>
  <si>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</si>
  <si>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</si>
  <si>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</si>
  <si>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</si>
  <si>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</si>
  <si>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</si>
  <si>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</si>
  <si>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</si>
  <si>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</si>
  <si>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</si>
  <si>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</si>
  <si>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</si>
  <si>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</si>
  <si>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</si>
  <si>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</si>
  <si>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</si>
  <si>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</si>
  <si>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</si>
  <si>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</si>
  <si>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</si>
  <si>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</si>
  <si>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</si>
  <si>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</si>
  <si>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</si>
  <si>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</si>
  <si>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</si>
  <si>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</si>
  <si>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</si>
  <si>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</si>
  <si>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</si>
  <si>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</si>
  <si>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</si>
  <si>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</si>
  <si>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</si>
  <si>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</si>
  <si>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</si>
  <si>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</si>
  <si>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</si>
  <si>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</si>
  <si>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</si>
  <si>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</si>
  <si>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</si>
  <si>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</si>
  <si>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</si>
  <si>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</si>
  <si>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</si>
  <si>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</si>
  <si>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</si>
  <si>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</si>
  <si>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</si>
  <si>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</si>
  <si>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</si>
  <si>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</si>
  <si>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</si>
  <si>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</si>
  <si>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</si>
  <si>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</si>
  <si>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</si>
  <si>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</si>
  <si>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</si>
  <si>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</si>
  <si>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</si>
  <si>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</si>
  <si>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</si>
  <si>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</si>
  <si>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</si>
  <si>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</si>
  <si>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</si>
  <si>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</si>
  <si>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</si>
  <si>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</si>
  <si>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</si>
  <si>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</si>
  <si>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</si>
  <si>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</si>
  <si>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</si>
  <si>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</si>
  <si>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</si>
  <si>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</si>
  <si>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</si>
  <si>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</si>
  <si>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</si>
  <si>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</si>
  <si>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</si>
  <si>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</si>
  <si>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</si>
  <si>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</si>
  <si>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</si>
  <si>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</si>
  <si>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</si>
  <si>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</si>
  <si>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</si>
  <si>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</si>
  <si>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</si>
  <si>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</si>
  <si>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</si>
  <si>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</si>
  <si>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</si>
  <si>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</si>
  <si>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</si>
  <si>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</si>
  <si>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</si>
  <si>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</si>
  <si>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</si>
  <si>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</si>
  <si>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</si>
  <si>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</si>
  <si>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</si>
  <si>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</si>
  <si>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</si>
  <si>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</si>
  <si>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</si>
  <si>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</si>
  <si>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</si>
  <si>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</si>
  <si>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</si>
  <si>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</si>
  <si>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</si>
  <si>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</si>
  <si>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</si>
  <si>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</si>
  <si>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</si>
  <si>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</si>
  <si>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</si>
  <si>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</si>
  <si>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</si>
  <si>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</si>
  <si>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</si>
  <si>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</si>
  <si>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</si>
  <si>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</si>
  <si>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</si>
  <si>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</si>
  <si>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</si>
  <si>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</si>
  <si>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</si>
  <si>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</si>
  <si>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</si>
  <si>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</si>
  <si>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</si>
  <si>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</si>
  <si>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</si>
  <si>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</si>
  <si>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</si>
  <si>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</si>
  <si>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</si>
  <si>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</si>
  <si>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</si>
  <si>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</si>
  <si>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</si>
  <si>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</si>
  <si>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</si>
  <si>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</si>
  <si>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</si>
  <si>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</si>
  <si>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</si>
  <si>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</si>
  <si>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</si>
  <si>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</si>
  <si>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</si>
  <si>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</si>
  <si>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</si>
  <si>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</si>
  <si>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</si>
  <si>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</si>
  <si>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</si>
  <si>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</si>
  <si>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</si>
  <si>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</si>
  <si>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</si>
  <si>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</si>
  <si>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</si>
  <si>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</si>
  <si>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</si>
  <si>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</si>
  <si>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</si>
  <si>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</si>
  <si>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</si>
  <si>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</si>
  <si>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</si>
  <si>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</si>
  <si>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</si>
  <si>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</si>
  <si>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</si>
  <si>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</si>
  <si>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</si>
  <si>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</si>
  <si>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</si>
  <si>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</si>
  <si>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</si>
  <si>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</si>
  <si>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</si>
  <si>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</si>
  <si>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</si>
  <si>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</si>
  <si>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</si>
  <si>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</si>
  <si>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</si>
  <si>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</si>
  <si>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</si>
  <si>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</si>
  <si>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</si>
  <si>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</si>
  <si>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</si>
  <si>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</si>
  <si>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</si>
  <si>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</si>
  <si>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</si>
  <si>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</si>
  <si>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</si>
  <si>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</si>
  <si>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</si>
  <si>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</si>
  <si>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</si>
  <si>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</si>
  <si>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</si>
  <si>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</si>
  <si>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</si>
  <si>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</si>
  <si>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</si>
  <si>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</si>
  <si>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</si>
  <si>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</si>
  <si>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</si>
  <si>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</si>
  <si>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</si>
  <si>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</si>
  <si>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</si>
  <si>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</si>
  <si>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</si>
  <si>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</si>
  <si>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</si>
  <si>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</si>
  <si>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</si>
  <si>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</si>
  <si>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</si>
  <si>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</si>
  <si>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</si>
  <si>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</si>
  <si>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</si>
  <si>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</si>
  <si>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</si>
  <si>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</si>
  <si>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</si>
  <si>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</si>
  <si>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</si>
  <si>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</si>
  <si>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</si>
  <si>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</si>
  <si>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</si>
  <si>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</si>
  <si>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</si>
  <si>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</si>
  <si>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</si>
  <si>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</si>
  <si>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</si>
  <si>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</si>
  <si>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</si>
  <si>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</si>
  <si>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</si>
  <si>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</si>
  <si>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</si>
  <si>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</si>
  <si>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</si>
  <si>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</si>
  <si>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</si>
  <si>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</si>
  <si>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</si>
  <si>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</si>
  <si>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</si>
  <si>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</si>
  <si>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</si>
  <si>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</si>
  <si>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</si>
  <si>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</si>
  <si>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</si>
  <si>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</si>
  <si>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</si>
  <si>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</si>
  <si>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</si>
  <si>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</si>
  <si>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</si>
  <si>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</si>
  <si>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</si>
  <si>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</si>
  <si>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</si>
  <si>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</si>
  <si>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</si>
  <si>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</si>
  <si>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</si>
  <si>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</si>
  <si>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</si>
  <si>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</si>
  <si>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</si>
  <si>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</si>
  <si>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</si>
  <si>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</si>
  <si>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</si>
  <si>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</si>
  <si>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</si>
  <si>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</si>
  <si>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</si>
  <si>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</si>
  <si>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</si>
  <si>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</si>
  <si>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</si>
  <si>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</si>
  <si>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</si>
  <si>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</si>
  <si>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</si>
  <si>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</si>
  <si>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</si>
  <si>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</si>
  <si>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</si>
  <si>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</si>
  <si>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</si>
  <si>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</si>
  <si>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</si>
  <si>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</si>
  <si>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</si>
  <si>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</si>
  <si>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</si>
  <si>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</si>
  <si>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</si>
  <si>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</si>
  <si>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</si>
  <si>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</si>
  <si>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</si>
  <si>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</si>
  <si>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</si>
  <si>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</si>
  <si>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</si>
  <si>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</si>
  <si>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</si>
  <si>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</si>
  <si>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</si>
  <si>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</si>
  <si>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</si>
  <si>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</si>
  <si>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</si>
  <si>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</si>
  <si>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</si>
  <si>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</si>
  <si>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</si>
  <si>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</si>
  <si>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</si>
  <si>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</si>
  <si>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</si>
  <si>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</si>
  <si>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</si>
  <si>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</si>
  <si>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</si>
  <si>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</si>
  <si>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</si>
  <si>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</si>
  <si>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</si>
  <si>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</si>
  <si>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</si>
  <si>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</si>
  <si>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</si>
  <si>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</si>
  <si>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</si>
  <si>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</si>
  <si>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</si>
  <si>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</si>
  <si>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</si>
  <si>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</si>
  <si>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</si>
  <si>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</si>
  <si>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</si>
  <si>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</si>
  <si>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</si>
  <si>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</si>
  <si>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</si>
  <si>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</si>
  <si>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</si>
  <si>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</si>
  <si>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</si>
  <si>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</si>
  <si>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</si>
  <si>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</si>
  <si>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</si>
  <si>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</si>
  <si>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</si>
  <si>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</si>
  <si>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</si>
  <si>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</si>
  <si>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</si>
  <si>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</si>
  <si>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</si>
  <si>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</si>
  <si>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</si>
  <si>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</si>
  <si>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</si>
  <si>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</si>
  <si>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</si>
  <si>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</si>
  <si>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</si>
  <si>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</si>
  <si>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</si>
  <si>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</si>
  <si>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</si>
  <si>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</si>
  <si>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</si>
  <si>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</si>
  <si>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</si>
  <si>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</si>
  <si>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</si>
  <si>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</si>
  <si>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</si>
  <si>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</si>
  <si>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</si>
  <si>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</si>
  <si>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</si>
  <si>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</si>
  <si>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</si>
  <si>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</si>
  <si>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</si>
  <si>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</si>
  <si>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</si>
  <si>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</si>
  <si>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</si>
  <si>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</si>
  <si>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</si>
  <si>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</si>
  <si>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</si>
  <si>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</si>
  <si>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</si>
  <si>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</si>
  <si>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</si>
  <si>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</si>
  <si>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</si>
  <si>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</si>
  <si>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</si>
  <si>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</si>
  <si>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</si>
  <si>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</si>
  <si>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</si>
  <si>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</si>
  <si>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</si>
  <si>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</si>
  <si>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</si>
  <si>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</si>
  <si>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</si>
  <si>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</si>
  <si>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</si>
  <si>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</si>
  <si>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</si>
  <si>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</si>
  <si>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</si>
  <si>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</si>
  <si>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</si>
  <si>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</si>
  <si>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</si>
  <si>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</si>
  <si>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</si>
  <si>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</si>
  <si>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</si>
  <si>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</si>
  <si>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</si>
  <si>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</si>
  <si>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</si>
  <si>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</si>
  <si>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</si>
  <si>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</si>
  <si>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</si>
  <si>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</si>
  <si>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</si>
  <si>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</si>
  <si>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</si>
  <si>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</si>
  <si>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</si>
  <si>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</si>
  <si>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</si>
  <si>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</si>
  <si>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</si>
  <si>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</si>
  <si>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</si>
  <si>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</si>
  <si>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</si>
  <si>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</si>
  <si>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</si>
  <si>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</si>
  <si>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</si>
  <si>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</si>
  <si>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</si>
  <si>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</si>
  <si>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</si>
  <si>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</si>
  <si>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</si>
  <si>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</si>
  <si>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</si>
  <si>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</si>
  <si>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</si>
  <si>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</si>
  <si>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</si>
  <si>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</si>
  <si>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</si>
  <si>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</si>
  <si>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</si>
  <si>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</si>
  <si>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</si>
  <si>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</si>
  <si>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</si>
  <si>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</si>
  <si>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</si>
  <si>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</si>
  <si>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</si>
  <si>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</si>
  <si>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</si>
  <si>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</si>
  <si>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</si>
  <si>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</si>
  <si>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</si>
  <si>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</si>
  <si>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</si>
  <si>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</si>
  <si>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</si>
  <si>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</si>
  <si>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</si>
  <si>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</si>
  <si>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</si>
  <si>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</si>
  <si>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</si>
  <si>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</si>
  <si>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</si>
  <si>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</si>
  <si>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</si>
  <si>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</si>
  <si>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</si>
  <si>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</si>
  <si>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</si>
  <si>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</si>
  <si>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</si>
  <si>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</si>
  <si>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</si>
  <si>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</si>
  <si>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</si>
  <si>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</si>
  <si>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</si>
  <si>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</si>
  <si>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</si>
  <si>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</si>
  <si>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</si>
  <si>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</si>
  <si>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</si>
  <si>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</si>
  <si>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</si>
  <si>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</si>
  <si>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</si>
  <si>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</si>
  <si>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</si>
  <si>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</si>
  <si>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</si>
  <si>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</si>
  <si>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</si>
  <si>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</si>
  <si>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</si>
  <si>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</si>
  <si>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</si>
  <si>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</si>
  <si>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</si>
  <si>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</si>
  <si>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</si>
  <si>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</si>
  <si>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</si>
  <si>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</si>
  <si>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</si>
  <si>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</si>
  <si>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</si>
  <si>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</si>
  <si>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</si>
  <si>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</si>
  <si>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</si>
  <si>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</si>
  <si>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</si>
  <si>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</si>
  <si>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</si>
  <si>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</si>
  <si>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</si>
  <si>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</si>
  <si>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</si>
  <si>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</si>
  <si>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</si>
  <si>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</si>
  <si>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</si>
  <si>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</si>
  <si>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</si>
  <si>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</si>
  <si>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</si>
  <si>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</si>
  <si>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</si>
  <si>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</si>
  <si>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</si>
  <si>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</si>
  <si>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</si>
  <si>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</si>
  <si>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</si>
  <si>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</si>
  <si>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</si>
  <si>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</si>
  <si>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</si>
  <si>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</si>
  <si>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</si>
  <si>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</si>
  <si>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</si>
  <si>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</si>
  <si>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</si>
  <si>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</si>
  <si>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</si>
  <si>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</si>
  <si>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</si>
  <si>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</si>
  <si>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</si>
  <si>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</si>
  <si>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</si>
  <si>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</si>
  <si>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</si>
  <si>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</si>
  <si>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</si>
  <si>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</si>
  <si>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</si>
  <si>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</si>
  <si>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</si>
  <si>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</si>
  <si>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</si>
  <si>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</si>
  <si>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</si>
  <si>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</si>
  <si>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</si>
  <si>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</si>
  <si>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</si>
  <si>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</si>
  <si>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</si>
  <si>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</si>
  <si>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</si>
  <si>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</si>
  <si>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</si>
  <si>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</si>
  <si>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</si>
  <si>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</si>
  <si>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</si>
  <si>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</si>
  <si>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</si>
  <si>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</si>
  <si>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</si>
  <si>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</si>
  <si>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</si>
  <si>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</si>
  <si>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</si>
  <si>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</si>
  <si>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</si>
  <si>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</si>
  <si>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</si>
  <si>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</si>
  <si>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</si>
  <si>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</si>
  <si>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</si>
  <si>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</si>
  <si>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</si>
  <si>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</si>
  <si>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</si>
  <si>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</si>
  <si>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</si>
  <si>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</si>
  <si>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</si>
  <si>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</si>
  <si>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</si>
  <si>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</si>
  <si>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</si>
  <si>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</si>
  <si>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</si>
  <si>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</si>
  <si>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</si>
  <si>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</si>
  <si>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</si>
  <si>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</si>
  <si>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</si>
  <si>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</si>
  <si>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</si>
  <si>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</si>
  <si>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</si>
  <si>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</si>
  <si>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</si>
  <si>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</si>
  <si>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</si>
  <si>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</si>
  <si>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</si>
  <si>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</si>
  <si>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</si>
  <si>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</si>
  <si>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</si>
  <si>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</si>
  <si>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</si>
  <si>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</si>
  <si>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</si>
  <si>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</si>
  <si>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</si>
  <si>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</si>
  <si>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</si>
  <si>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</si>
  <si>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</si>
  <si>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</si>
  <si>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</si>
  <si>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</si>
  <si>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</si>
  <si>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</si>
  <si>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</si>
  <si>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</si>
  <si>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</si>
  <si>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</si>
  <si>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</si>
  <si>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</si>
  <si>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</si>
  <si>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</si>
  <si>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</si>
  <si>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</si>
  <si>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</si>
  <si>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</si>
  <si>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</si>
  <si>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</si>
  <si>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</si>
  <si>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</si>
  <si>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</si>
  <si>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</si>
  <si>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</si>
  <si>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</si>
  <si>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</si>
  <si>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</si>
  <si>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</si>
  <si>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</si>
  <si>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</si>
  <si>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</si>
  <si>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</si>
  <si>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</si>
  <si>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</si>
  <si>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</si>
  <si>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</si>
  <si>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</si>
  <si>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</si>
  <si>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</si>
  <si>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</si>
  <si>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</si>
  <si>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</si>
  <si>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</si>
  <si>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</si>
  <si>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</si>
  <si>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</si>
  <si>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</si>
  <si>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</si>
  <si>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</si>
  <si>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</si>
  <si>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</si>
  <si>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</si>
  <si>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</si>
  <si>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</si>
  <si>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</si>
  <si>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</si>
  <si>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</si>
  <si>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</si>
  <si>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</si>
  <si>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</si>
  <si>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</si>
  <si>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</si>
  <si>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</si>
  <si>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</si>
  <si>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</si>
  <si>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</si>
  <si>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</si>
  <si>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</si>
  <si>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</si>
  <si>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</si>
  <si>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</si>
  <si>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</si>
  <si>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</si>
  <si>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</si>
  <si>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</si>
  <si>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</si>
  <si>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</si>
  <si>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</si>
  <si>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</si>
  <si>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</si>
  <si>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</si>
  <si>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</si>
  <si>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</si>
  <si>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</si>
  <si>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</si>
  <si>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</si>
  <si>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</si>
  <si>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</si>
  <si>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</si>
  <si>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</si>
  <si>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</si>
  <si>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</si>
  <si>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</si>
  <si>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</si>
  <si>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</si>
  <si>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</si>
  <si>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</si>
  <si>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</si>
  <si>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</si>
  <si>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</si>
  <si>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</si>
  <si>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</si>
  <si>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</si>
  <si>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</si>
  <si>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</si>
  <si>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</si>
  <si>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</si>
  <si>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</si>
  <si>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</si>
  <si>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</si>
  <si>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</si>
  <si>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</si>
  <si>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</si>
  <si>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</si>
  <si>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</si>
  <si>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</si>
  <si>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</si>
  <si>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</si>
  <si>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</si>
  <si>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</si>
  <si>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</si>
  <si>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</si>
  <si>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</si>
  <si>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</si>
  <si>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</si>
  <si>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</si>
  <si>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</si>
  <si>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</si>
  <si>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</si>
  <si>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</si>
  <si>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</si>
  <si>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</si>
  <si>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</si>
  <si>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</si>
  <si>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</si>
  <si>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</si>
  <si>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</si>
  <si>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</si>
  <si>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</si>
  <si>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</si>
  <si>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</si>
  <si>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</si>
  <si>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</si>
  <si>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</si>
  <si>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</si>
  <si>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</si>
  <si>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</si>
  <si>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</si>
  <si>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</si>
  <si>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</si>
  <si>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</si>
  <si>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</si>
  <si>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</si>
  <si>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</si>
  <si>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</si>
  <si>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</si>
  <si>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</si>
  <si>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</si>
  <si>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</si>
  <si>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</si>
  <si>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</si>
  <si>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</si>
  <si>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</si>
  <si>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</si>
  <si>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</si>
  <si>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</si>
  <si>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</si>
  <si>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</si>
  <si>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</si>
  <si>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</si>
  <si>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</si>
  <si>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</si>
  <si>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</si>
  <si>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</si>
  <si>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</si>
  <si>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</si>
  <si>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</si>
  <si>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</si>
  <si>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</si>
  <si>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</si>
  <si>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</si>
  <si>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</si>
  <si>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</si>
  <si>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</si>
  <si>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</si>
  <si>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</si>
  <si>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</si>
  <si>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</si>
  <si>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</si>
  <si>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</si>
  <si>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</si>
  <si>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</si>
  <si>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</si>
  <si>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</si>
  <si>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</si>
  <si>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</si>
  <si>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</si>
  <si>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</si>
  <si>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</si>
  <si>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</si>
  <si>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</si>
  <si>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</si>
  <si>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</si>
  <si>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</si>
  <si>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</si>
  <si>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</si>
  <si>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</si>
  <si>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</si>
  <si>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</si>
  <si>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</si>
  <si>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</si>
  <si>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</si>
  <si>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</si>
  <si>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</si>
  <si>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</si>
  <si>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</si>
  <si>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</si>
  <si>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</si>
  <si>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</si>
  <si>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</si>
  <si>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</si>
  <si>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</si>
  <si>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</si>
  <si>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</si>
  <si>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</si>
  <si>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</si>
  <si>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</si>
  <si>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</si>
  <si>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</si>
  <si>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</si>
  <si>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</si>
  <si>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</si>
  <si>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</si>
  <si>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</si>
  <si>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</si>
  <si>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</si>
  <si>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</si>
  <si>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</si>
  <si>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</si>
  <si>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</si>
  <si>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</si>
  <si>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</si>
  <si>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</si>
  <si>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</si>
  <si>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</si>
  <si>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</si>
  <si>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</si>
  <si>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</si>
  <si>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</si>
  <si>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</si>
  <si>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</si>
  <si>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</si>
  <si>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</si>
  <si>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</si>
  <si>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</si>
  <si>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</si>
  <si>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</si>
  <si>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</si>
  <si>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</si>
  <si>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</si>
  <si>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</si>
  <si>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</si>
  <si>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</si>
  <si>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</si>
  <si>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</si>
  <si>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</si>
  <si>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</si>
  <si>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</si>
  <si>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</si>
  <si>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</si>
  <si>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</si>
  <si>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</si>
  <si>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</si>
  <si>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</si>
  <si>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</si>
  <si>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</si>
  <si>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</si>
  <si>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</si>
  <si>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</si>
  <si>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</si>
  <si>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</si>
  <si>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</si>
  <si>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</si>
  <si>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</si>
  <si>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</si>
  <si>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</si>
  <si>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</si>
  <si>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</si>
  <si>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</si>
  <si>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</si>
  <si>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</si>
  <si>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</si>
  <si>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</si>
  <si>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</si>
  <si>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</si>
  <si>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</si>
  <si>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</si>
  <si>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</si>
  <si>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</si>
  <si>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</si>
  <si>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</si>
  <si>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</si>
  <si>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</si>
  <si>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</si>
  <si>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</si>
  <si>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</si>
  <si>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</si>
  <si>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</si>
  <si>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</si>
  <si>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</si>
  <si>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</si>
  <si>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</si>
  <si>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</si>
  <si>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</si>
  <si>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</si>
  <si>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</si>
  <si>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</si>
  <si>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</si>
  <si>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</si>
  <si>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</si>
  <si>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</si>
  <si>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</si>
  <si>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</si>
  <si>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</si>
  <si>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</si>
  <si>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</si>
  <si>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</si>
  <si>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</si>
  <si>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</si>
  <si>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</si>
  <si>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</si>
  <si>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</si>
  <si>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</si>
  <si>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</si>
  <si>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</si>
  <si>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</si>
  <si>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</si>
  <si>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</si>
  <si>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</si>
  <si>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</si>
  <si>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</si>
  <si>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</si>
  <si>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</si>
  <si>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</si>
  <si>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</si>
  <si>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</si>
  <si>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</si>
  <si>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</si>
  <si>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</si>
  <si>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</si>
  <si>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</si>
  <si>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</si>
  <si>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</si>
  <si>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</si>
  <si>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</si>
  <si>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</si>
  <si>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</si>
  <si>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</si>
  <si>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</si>
  <si>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</si>
  <si>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</si>
  <si>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</si>
  <si>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</si>
  <si>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</si>
  <si>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</si>
  <si>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</si>
  <si>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</si>
  <si>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</si>
  <si>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</si>
  <si>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</si>
  <si>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</si>
  <si>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</si>
  <si>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</si>
  <si>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</si>
  <si>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</si>
  <si>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</si>
  <si>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</si>
  <si>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</si>
  <si>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</si>
  <si>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</si>
  <si>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</si>
  <si>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</si>
  <si>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</si>
  <si>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</si>
  <si>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</si>
  <si>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</si>
  <si>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</si>
  <si>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</si>
  <si>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</si>
  <si>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</si>
  <si>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</si>
  <si>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</si>
  <si>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</si>
  <si>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</si>
  <si>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</si>
  <si>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</si>
  <si>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</si>
  <si>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</si>
  <si>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</si>
  <si>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</si>
  <si>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</si>
  <si>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</si>
  <si>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</si>
  <si>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</si>
  <si>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</si>
  <si>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</si>
  <si>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</si>
  <si>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</si>
  <si>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</si>
  <si>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</si>
  <si>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</si>
  <si>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</si>
  <si>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</si>
  <si>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</si>
  <si>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</si>
  <si>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</si>
  <si>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</si>
  <si>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</si>
  <si>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</si>
  <si>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</si>
  <si>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</si>
  <si>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</si>
  <si>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</si>
  <si>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</si>
  <si>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</si>
  <si>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</si>
  <si>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</si>
  <si>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</si>
  <si>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</si>
  <si>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</si>
  <si>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</si>
  <si>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</si>
  <si>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</si>
  <si>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</si>
  <si>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</si>
  <si>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</si>
  <si>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</si>
  <si>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</si>
  <si>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</si>
  <si>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</si>
  <si>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</si>
  <si>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</si>
  <si>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</si>
  <si>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</si>
  <si>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</si>
  <si>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</si>
  <si>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</si>
  <si>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</si>
  <si>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</si>
  <si>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</si>
  <si>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</si>
  <si>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</si>
  <si>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</si>
  <si>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</si>
  <si>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</si>
  <si>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</si>
  <si>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</si>
  <si>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</si>
  <si>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</si>
  <si>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</si>
  <si>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</si>
  <si>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</si>
  <si>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</si>
  <si>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</si>
  <si>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</si>
  <si>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</si>
  <si>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</si>
  <si>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</si>
  <si>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</si>
  <si>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</si>
  <si>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</si>
  <si>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</si>
  <si>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</si>
  <si>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</si>
  <si>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</si>
  <si>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</si>
  <si>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</si>
  <si>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</si>
  <si>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</si>
  <si>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</si>
  <si>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</si>
  <si>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</si>
  <si>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</si>
  <si>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</si>
  <si>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</si>
  <si>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</si>
  <si>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</si>
  <si>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</si>
  <si>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</si>
  <si>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</si>
  <si>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</si>
  <si>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</si>
  <si>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</si>
  <si>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</si>
  <si>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</si>
  <si>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</si>
  <si>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</si>
  <si>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</si>
  <si>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</si>
  <si>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</si>
  <si>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</si>
  <si>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</si>
  <si>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</si>
  <si>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</si>
  <si>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</si>
  <si>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</si>
  <si>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</si>
  <si>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</si>
  <si>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</si>
  <si>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</si>
  <si>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</si>
  <si>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</si>
  <si>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</si>
  <si>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</si>
  <si>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</si>
  <si>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</si>
  <si>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</si>
  <si>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</si>
  <si>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</si>
  <si>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</si>
  <si>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</si>
  <si>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</si>
  <si>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</si>
  <si>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自然人</t>
  </si>
  <si>
    <t>朱希三</t>
    <phoneticPr fontId="6"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</si>
  <si>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6" type="noConversion"/>
  </si>
  <si>
    <t>是</t>
  </si>
  <si>
    <t>办公</t>
    <phoneticPr fontId="7" type="noConversion"/>
  </si>
  <si>
    <t>否</t>
  </si>
  <si>
    <t>办公项目</t>
  </si>
  <si>
    <t>现房</t>
  </si>
  <si>
    <t>成新度</t>
  </si>
  <si>
    <t>南法信街道</t>
    <phoneticPr fontId="3" type="noConversion"/>
  </si>
  <si>
    <t>收益法 (元)</t>
  </si>
  <si>
    <t>押一</t>
  </si>
  <si>
    <t>钢混</t>
  </si>
  <si>
    <t>非生产用房</t>
  </si>
  <si>
    <t>自定义容积率</t>
  </si>
  <si>
    <t>与级别开发程度一致</t>
  </si>
  <si>
    <t>中心城区以外</t>
  </si>
  <si>
    <t>一般</t>
  </si>
  <si>
    <t>较好</t>
  </si>
  <si>
    <t>好</t>
  </si>
  <si>
    <t>网上查询</t>
    <phoneticPr fontId="7" type="noConversion"/>
  </si>
  <si>
    <t>地上</t>
  </si>
  <si>
    <t>未包含在土地购买价格中</t>
  </si>
  <si>
    <t>已包含在土地取得成本中</t>
  </si>
  <si>
    <t>单套模式</t>
  </si>
  <si>
    <t>售价</t>
  </si>
  <si>
    <t>天博中心</t>
    <phoneticPr fontId="3" type="noConversion"/>
  </si>
  <si>
    <t>旭辉空港中心</t>
    <phoneticPr fontId="3" type="noConversion"/>
  </si>
  <si>
    <t>正常</t>
  </si>
  <si>
    <t>办公</t>
    <phoneticPr fontId="31" type="noConversion"/>
  </si>
  <si>
    <t>中指</t>
    <phoneticPr fontId="3"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</si>
  <si>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</si>
  <si>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</si>
  <si>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</si>
  <si>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</si>
  <si>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</si>
  <si>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</si>
  <si>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</si>
  <si>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</si>
  <si>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phoneticPr fontId="31" type="noConversion"/>
  </si>
  <si>
    <t>低楼层</t>
    <phoneticPr fontId="31" type="noConversion"/>
  </si>
  <si>
    <r>
      <t>30-40</t>
    </r>
    <r>
      <rPr>
        <sz val="11"/>
        <color indexed="8"/>
        <rFont val="宋体"/>
        <family val="3"/>
        <charset val="134"/>
      </rPr>
      <t>（含）</t>
    </r>
    <phoneticPr fontId="31" type="noConversion"/>
  </si>
  <si>
    <t>楼面单价</t>
  </si>
  <si>
    <t>自定义</t>
  </si>
  <si>
    <t>比较法-办公</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</si>
  <si>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</si>
  <si>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</si>
  <si>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</si>
  <si>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</si>
  <si>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</si>
  <si>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</si>
  <si>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</si>
  <si>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</si>
  <si>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</si>
  <si>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</si>
  <si>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</si>
  <si>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</si>
  <si>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</si>
  <si>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</si>
  <si>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</si>
  <si>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</si>
  <si>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</si>
  <si>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</si>
  <si>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</si>
  <si>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</si>
  <si>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</si>
  <si>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</si>
  <si>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</si>
  <si>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</si>
  <si>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</si>
  <si>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</si>
  <si>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</si>
  <si>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</si>
  <si>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</si>
  <si>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</si>
  <si>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</si>
  <si>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</si>
  <si>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</si>
  <si>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</si>
  <si>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</si>
  <si>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</si>
  <si>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</si>
  <si>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</si>
  <si>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</si>
  <si>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</si>
  <si>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</si>
  <si>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东港鑫座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</si>
</sst>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213360</xdr:colOff>
      <xdr:row>18</xdr:row>
      <xdr:rowOff>1147</xdr:rowOff>
    </xdr:to>
    <xdr:pic>
      <xdr:nvPicPr>
        <xdr:cNvPr id="2" name="图片 1">
          <a:extLst>
            <a:ext uri="{FF2B5EF4-FFF2-40B4-BE49-F238E27FC236}">
              <a16:creationId xmlns:a16="http://schemas.microsoft.com/office/drawing/2014/main" id="{DF3742D3-6B70-3BF8-6246-5DDE0EB0B279}"/>
            </a:ext>
          </a:extLst>
        </xdr:cNvPr>
        <xdr:cNvPicPr>
          <a:picLocks noChangeAspect="1"/>
        </xdr:cNvPicPr>
      </xdr:nvPicPr>
      <xdr:blipFill>
        <a:blip xmlns:r="http://schemas.openxmlformats.org/officeDocument/2006/relationships" r:embed="rId1"/>
        <a:stretch>
          <a:fillRect/>
        </a:stretch>
      </xdr:blipFill>
      <xdr:spPr>
        <a:xfrm>
          <a:off x="0" y="0"/>
          <a:ext cx="5699760" cy="3292987"/>
        </a:xfrm>
        <a:prstGeom prst="rect">
          <a:avLst/>
        </a:prstGeom>
      </xdr:spPr>
    </xdr:pic>
    <xdr:clientData/>
  </xdr:twoCellAnchor>
  <xdr:twoCellAnchor editAs="oneCell">
    <xdr:from>
      <xdr:col>12</xdr:col>
      <xdr:colOff>579120</xdr:colOff>
      <xdr:row>0</xdr:row>
      <xdr:rowOff>75616</xdr:rowOff>
    </xdr:from>
    <xdr:to>
      <xdr:col>23</xdr:col>
      <xdr:colOff>162323</xdr:colOff>
      <xdr:row>19</xdr:row>
      <xdr:rowOff>172499</xdr:rowOff>
    </xdr:to>
    <xdr:pic>
      <xdr:nvPicPr>
        <xdr:cNvPr id="3" name="图片 2">
          <a:extLst>
            <a:ext uri="{FF2B5EF4-FFF2-40B4-BE49-F238E27FC236}">
              <a16:creationId xmlns:a16="http://schemas.microsoft.com/office/drawing/2014/main" id="{31EC7C1B-1949-14BF-9E72-5FD65D9AE2FE}"/>
            </a:ext>
          </a:extLst>
        </xdr:cNvPr>
        <xdr:cNvPicPr>
          <a:picLocks noChangeAspect="1"/>
        </xdr:cNvPicPr>
      </xdr:nvPicPr>
      <xdr:blipFill>
        <a:blip xmlns:r="http://schemas.openxmlformats.org/officeDocument/2006/relationships" r:embed="rId2"/>
        <a:stretch>
          <a:fillRect/>
        </a:stretch>
      </xdr:blipFill>
      <xdr:spPr>
        <a:xfrm>
          <a:off x="7894320" y="75616"/>
          <a:ext cx="6288803" cy="35716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571500</xdr:colOff>
      <xdr:row>29</xdr:row>
      <xdr:rowOff>110909</xdr:rowOff>
    </xdr:to>
    <xdr:pic>
      <xdr:nvPicPr>
        <xdr:cNvPr id="2" name="图片 1">
          <a:extLst>
            <a:ext uri="{FF2B5EF4-FFF2-40B4-BE49-F238E27FC236}">
              <a16:creationId xmlns:a16="http://schemas.microsoft.com/office/drawing/2014/main" id="{E1E634B9-2645-6E67-37B3-C8DEBD3BF76D}"/>
            </a:ext>
          </a:extLst>
        </xdr:cNvPr>
        <xdr:cNvPicPr>
          <a:picLocks noChangeAspect="1"/>
        </xdr:cNvPicPr>
      </xdr:nvPicPr>
      <xdr:blipFill>
        <a:blip xmlns:r="http://schemas.openxmlformats.org/officeDocument/2006/relationships" r:embed="rId1"/>
        <a:stretch>
          <a:fillRect/>
        </a:stretch>
      </xdr:blipFill>
      <xdr:spPr>
        <a:xfrm>
          <a:off x="0" y="0"/>
          <a:ext cx="7277100" cy="5414429"/>
        </a:xfrm>
        <a:prstGeom prst="rect">
          <a:avLst/>
        </a:prstGeom>
      </xdr:spPr>
    </xdr:pic>
    <xdr:clientData/>
  </xdr:twoCellAnchor>
  <xdr:twoCellAnchor editAs="oneCell">
    <xdr:from>
      <xdr:col>0</xdr:col>
      <xdr:colOff>0</xdr:colOff>
      <xdr:row>30</xdr:row>
      <xdr:rowOff>15240</xdr:rowOff>
    </xdr:from>
    <xdr:to>
      <xdr:col>11</xdr:col>
      <xdr:colOff>281583</xdr:colOff>
      <xdr:row>57</xdr:row>
      <xdr:rowOff>159068</xdr:rowOff>
    </xdr:to>
    <xdr:pic>
      <xdr:nvPicPr>
        <xdr:cNvPr id="3" name="图片 2">
          <a:extLst>
            <a:ext uri="{FF2B5EF4-FFF2-40B4-BE49-F238E27FC236}">
              <a16:creationId xmlns:a16="http://schemas.microsoft.com/office/drawing/2014/main" id="{88A38186-93E3-4344-30F6-A033235F9D91}"/>
            </a:ext>
          </a:extLst>
        </xdr:cNvPr>
        <xdr:cNvPicPr>
          <a:picLocks noChangeAspect="1"/>
        </xdr:cNvPicPr>
      </xdr:nvPicPr>
      <xdr:blipFill>
        <a:blip xmlns:r="http://schemas.openxmlformats.org/officeDocument/2006/relationships" r:embed="rId2"/>
        <a:stretch>
          <a:fillRect/>
        </a:stretch>
      </xdr:blipFill>
      <xdr:spPr>
        <a:xfrm>
          <a:off x="0" y="5501640"/>
          <a:ext cx="6987183" cy="5081588"/>
        </a:xfrm>
        <a:prstGeom prst="rect">
          <a:avLst/>
        </a:prstGeom>
      </xdr:spPr>
    </xdr:pic>
    <xdr:clientData/>
  </xdr:twoCellAnchor>
  <xdr:twoCellAnchor editAs="oneCell">
    <xdr:from>
      <xdr:col>12</xdr:col>
      <xdr:colOff>7620</xdr:colOff>
      <xdr:row>29</xdr:row>
      <xdr:rowOff>175260</xdr:rowOff>
    </xdr:from>
    <xdr:to>
      <xdr:col>19</xdr:col>
      <xdr:colOff>376707</xdr:colOff>
      <xdr:row>68</xdr:row>
      <xdr:rowOff>90559</xdr:rowOff>
    </xdr:to>
    <xdr:pic>
      <xdr:nvPicPr>
        <xdr:cNvPr id="4" name="图片 3">
          <a:extLst>
            <a:ext uri="{FF2B5EF4-FFF2-40B4-BE49-F238E27FC236}">
              <a16:creationId xmlns:a16="http://schemas.microsoft.com/office/drawing/2014/main" id="{8392BDD0-B687-EC33-1CF6-D24512D7A0CC}"/>
            </a:ext>
          </a:extLst>
        </xdr:cNvPr>
        <xdr:cNvPicPr>
          <a:picLocks noChangeAspect="1"/>
        </xdr:cNvPicPr>
      </xdr:nvPicPr>
      <xdr:blipFill>
        <a:blip xmlns:r="http://schemas.openxmlformats.org/officeDocument/2006/relationships" r:embed="rId3"/>
        <a:stretch>
          <a:fillRect/>
        </a:stretch>
      </xdr:blipFill>
      <xdr:spPr>
        <a:xfrm>
          <a:off x="7322820" y="5478780"/>
          <a:ext cx="3866667" cy="7047619"/>
        </a:xfrm>
        <a:prstGeom prst="rect">
          <a:avLst/>
        </a:prstGeom>
      </xdr:spPr>
    </xdr:pic>
    <xdr:clientData/>
  </xdr:twoCellAnchor>
  <xdr:twoCellAnchor editAs="oneCell">
    <xdr:from>
      <xdr:col>0</xdr:col>
      <xdr:colOff>30480</xdr:colOff>
      <xdr:row>58</xdr:row>
      <xdr:rowOff>0</xdr:rowOff>
    </xdr:from>
    <xdr:to>
      <xdr:col>11</xdr:col>
      <xdr:colOff>130693</xdr:colOff>
      <xdr:row>84</xdr:row>
      <xdr:rowOff>178110</xdr:rowOff>
    </xdr:to>
    <xdr:pic>
      <xdr:nvPicPr>
        <xdr:cNvPr id="5" name="图片 4">
          <a:extLst>
            <a:ext uri="{FF2B5EF4-FFF2-40B4-BE49-F238E27FC236}">
              <a16:creationId xmlns:a16="http://schemas.microsoft.com/office/drawing/2014/main" id="{ED6A6125-D8F2-3C0D-B144-360B6D68ADAE}"/>
            </a:ext>
          </a:extLst>
        </xdr:cNvPr>
        <xdr:cNvPicPr>
          <a:picLocks noChangeAspect="1"/>
        </xdr:cNvPicPr>
      </xdr:nvPicPr>
      <xdr:blipFill>
        <a:blip xmlns:r="http://schemas.openxmlformats.org/officeDocument/2006/relationships" r:embed="rId4"/>
        <a:stretch>
          <a:fillRect/>
        </a:stretch>
      </xdr:blipFill>
      <xdr:spPr>
        <a:xfrm>
          <a:off x="30480" y="10607040"/>
          <a:ext cx="6805813" cy="4932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304305</xdr:colOff>
      <xdr:row>34</xdr:row>
      <xdr:rowOff>10651</xdr:rowOff>
    </xdr:to>
    <xdr:pic>
      <xdr:nvPicPr>
        <xdr:cNvPr id="2" name="图片 1">
          <a:extLst>
            <a:ext uri="{FF2B5EF4-FFF2-40B4-BE49-F238E27FC236}">
              <a16:creationId xmlns:a16="http://schemas.microsoft.com/office/drawing/2014/main" id="{34657A3A-1167-B860-E1AE-9BA08E903778}"/>
            </a:ext>
          </a:extLst>
        </xdr:cNvPr>
        <xdr:cNvPicPr>
          <a:picLocks noChangeAspect="1"/>
        </xdr:cNvPicPr>
      </xdr:nvPicPr>
      <xdr:blipFill>
        <a:blip xmlns:r="http://schemas.openxmlformats.org/officeDocument/2006/relationships" r:embed="rId1"/>
        <a:stretch>
          <a:fillRect/>
        </a:stretch>
      </xdr:blipFill>
      <xdr:spPr>
        <a:xfrm>
          <a:off x="0" y="0"/>
          <a:ext cx="3961905" cy="6228571"/>
        </a:xfrm>
        <a:prstGeom prst="rect">
          <a:avLst/>
        </a:prstGeom>
      </xdr:spPr>
    </xdr:pic>
    <xdr:clientData/>
  </xdr:twoCellAnchor>
  <xdr:twoCellAnchor editAs="oneCell">
    <xdr:from>
      <xdr:col>7</xdr:col>
      <xdr:colOff>0</xdr:colOff>
      <xdr:row>0</xdr:row>
      <xdr:rowOff>0</xdr:rowOff>
    </xdr:from>
    <xdr:to>
      <xdr:col>12</xdr:col>
      <xdr:colOff>304381</xdr:colOff>
      <xdr:row>36</xdr:row>
      <xdr:rowOff>73463</xdr:rowOff>
    </xdr:to>
    <xdr:pic>
      <xdr:nvPicPr>
        <xdr:cNvPr id="3" name="图片 2">
          <a:extLst>
            <a:ext uri="{FF2B5EF4-FFF2-40B4-BE49-F238E27FC236}">
              <a16:creationId xmlns:a16="http://schemas.microsoft.com/office/drawing/2014/main" id="{C3176089-4394-946F-835C-9E09EBB6B5A8}"/>
            </a:ext>
          </a:extLst>
        </xdr:cNvPr>
        <xdr:cNvPicPr>
          <a:picLocks noChangeAspect="1"/>
        </xdr:cNvPicPr>
      </xdr:nvPicPr>
      <xdr:blipFill>
        <a:blip xmlns:r="http://schemas.openxmlformats.org/officeDocument/2006/relationships" r:embed="rId2"/>
        <a:stretch>
          <a:fillRect/>
        </a:stretch>
      </xdr:blipFill>
      <xdr:spPr>
        <a:xfrm>
          <a:off x="4267200" y="0"/>
          <a:ext cx="3352381" cy="6657143"/>
        </a:xfrm>
        <a:prstGeom prst="rect">
          <a:avLst/>
        </a:prstGeom>
      </xdr:spPr>
    </xdr:pic>
    <xdr:clientData/>
  </xdr:twoCellAnchor>
  <xdr:twoCellAnchor editAs="oneCell">
    <xdr:from>
      <xdr:col>12</xdr:col>
      <xdr:colOff>190500</xdr:colOff>
      <xdr:row>0</xdr:row>
      <xdr:rowOff>22860</xdr:rowOff>
    </xdr:from>
    <xdr:to>
      <xdr:col>18</xdr:col>
      <xdr:colOff>190043</xdr:colOff>
      <xdr:row>37</xdr:row>
      <xdr:rowOff>132490</xdr:rowOff>
    </xdr:to>
    <xdr:pic>
      <xdr:nvPicPr>
        <xdr:cNvPr id="4" name="图片 3">
          <a:extLst>
            <a:ext uri="{FF2B5EF4-FFF2-40B4-BE49-F238E27FC236}">
              <a16:creationId xmlns:a16="http://schemas.microsoft.com/office/drawing/2014/main" id="{9165EA19-97C2-C4FB-BE1A-49C2C8BB6D9B}"/>
            </a:ext>
          </a:extLst>
        </xdr:cNvPr>
        <xdr:cNvPicPr>
          <a:picLocks noChangeAspect="1"/>
        </xdr:cNvPicPr>
      </xdr:nvPicPr>
      <xdr:blipFill>
        <a:blip xmlns:r="http://schemas.openxmlformats.org/officeDocument/2006/relationships" r:embed="rId3"/>
        <a:stretch>
          <a:fillRect/>
        </a:stretch>
      </xdr:blipFill>
      <xdr:spPr>
        <a:xfrm>
          <a:off x="7505700" y="22860"/>
          <a:ext cx="3657143" cy="6876190"/>
        </a:xfrm>
        <a:prstGeom prst="rect">
          <a:avLst/>
        </a:prstGeom>
      </xdr:spPr>
    </xdr:pic>
    <xdr:clientData/>
  </xdr:twoCellAnchor>
  <xdr:twoCellAnchor editAs="oneCell">
    <xdr:from>
      <xdr:col>18</xdr:col>
      <xdr:colOff>76200</xdr:colOff>
      <xdr:row>0</xdr:row>
      <xdr:rowOff>0</xdr:rowOff>
    </xdr:from>
    <xdr:to>
      <xdr:col>23</xdr:col>
      <xdr:colOff>542486</xdr:colOff>
      <xdr:row>32</xdr:row>
      <xdr:rowOff>14507</xdr:rowOff>
    </xdr:to>
    <xdr:pic>
      <xdr:nvPicPr>
        <xdr:cNvPr id="5" name="图片 4">
          <a:extLst>
            <a:ext uri="{FF2B5EF4-FFF2-40B4-BE49-F238E27FC236}">
              <a16:creationId xmlns:a16="http://schemas.microsoft.com/office/drawing/2014/main" id="{E97B8740-10F4-E310-F24B-1B515D765913}"/>
            </a:ext>
          </a:extLst>
        </xdr:cNvPr>
        <xdr:cNvPicPr>
          <a:picLocks noChangeAspect="1"/>
        </xdr:cNvPicPr>
      </xdr:nvPicPr>
      <xdr:blipFill>
        <a:blip xmlns:r="http://schemas.openxmlformats.org/officeDocument/2006/relationships" r:embed="rId4"/>
        <a:stretch>
          <a:fillRect/>
        </a:stretch>
      </xdr:blipFill>
      <xdr:spPr>
        <a:xfrm>
          <a:off x="11049000" y="0"/>
          <a:ext cx="3514286" cy="5866667"/>
        </a:xfrm>
        <a:prstGeom prst="rect">
          <a:avLst/>
        </a:prstGeom>
      </xdr:spPr>
    </xdr:pic>
    <xdr:clientData/>
  </xdr:twoCellAnchor>
  <xdr:twoCellAnchor editAs="oneCell">
    <xdr:from>
      <xdr:col>24</xdr:col>
      <xdr:colOff>0</xdr:colOff>
      <xdr:row>0</xdr:row>
      <xdr:rowOff>0</xdr:rowOff>
    </xdr:from>
    <xdr:to>
      <xdr:col>29</xdr:col>
      <xdr:colOff>532952</xdr:colOff>
      <xdr:row>35</xdr:row>
      <xdr:rowOff>123009</xdr:rowOff>
    </xdr:to>
    <xdr:pic>
      <xdr:nvPicPr>
        <xdr:cNvPr id="6" name="图片 5">
          <a:extLst>
            <a:ext uri="{FF2B5EF4-FFF2-40B4-BE49-F238E27FC236}">
              <a16:creationId xmlns:a16="http://schemas.microsoft.com/office/drawing/2014/main" id="{CD753344-8C3F-3ADB-186B-451198C96F02}"/>
            </a:ext>
          </a:extLst>
        </xdr:cNvPr>
        <xdr:cNvPicPr>
          <a:picLocks noChangeAspect="1"/>
        </xdr:cNvPicPr>
      </xdr:nvPicPr>
      <xdr:blipFill>
        <a:blip xmlns:r="http://schemas.openxmlformats.org/officeDocument/2006/relationships" r:embed="rId5"/>
        <a:stretch>
          <a:fillRect/>
        </a:stretch>
      </xdr:blipFill>
      <xdr:spPr>
        <a:xfrm>
          <a:off x="14630400" y="0"/>
          <a:ext cx="3580952" cy="65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243840</xdr:colOff>
      <xdr:row>5</xdr:row>
      <xdr:rowOff>28380</xdr:rowOff>
    </xdr:from>
    <xdr:to>
      <xdr:col>14</xdr:col>
      <xdr:colOff>67042</xdr:colOff>
      <xdr:row>32</xdr:row>
      <xdr:rowOff>136231</xdr:rowOff>
    </xdr:to>
    <xdr:pic>
      <xdr:nvPicPr>
        <xdr:cNvPr id="2" name="图片 1">
          <a:extLst>
            <a:ext uri="{FF2B5EF4-FFF2-40B4-BE49-F238E27FC236}">
              <a16:creationId xmlns:a16="http://schemas.microsoft.com/office/drawing/2014/main" id="{698B6EF4-9C3C-00E8-A88A-BECB2939DC44}"/>
            </a:ext>
          </a:extLst>
        </xdr:cNvPr>
        <xdr:cNvPicPr>
          <a:picLocks noChangeAspect="1"/>
        </xdr:cNvPicPr>
      </xdr:nvPicPr>
      <xdr:blipFill>
        <a:blip xmlns:r="http://schemas.openxmlformats.org/officeDocument/2006/relationships" r:embed="rId1"/>
        <a:stretch>
          <a:fillRect/>
        </a:stretch>
      </xdr:blipFill>
      <xdr:spPr>
        <a:xfrm>
          <a:off x="243840" y="942780"/>
          <a:ext cx="8357602" cy="5045611"/>
        </a:xfrm>
        <a:prstGeom prst="rect">
          <a:avLst/>
        </a:prstGeom>
      </xdr:spPr>
    </xdr:pic>
    <xdr:clientData/>
  </xdr:twoCellAnchor>
  <xdr:twoCellAnchor editAs="oneCell">
    <xdr:from>
      <xdr:col>0</xdr:col>
      <xdr:colOff>0</xdr:colOff>
      <xdr:row>0</xdr:row>
      <xdr:rowOff>0</xdr:rowOff>
    </xdr:from>
    <xdr:to>
      <xdr:col>12</xdr:col>
      <xdr:colOff>122895</xdr:colOff>
      <xdr:row>2</xdr:row>
      <xdr:rowOff>24716</xdr:rowOff>
    </xdr:to>
    <xdr:pic>
      <xdr:nvPicPr>
        <xdr:cNvPr id="3" name="图片 2">
          <a:extLst>
            <a:ext uri="{FF2B5EF4-FFF2-40B4-BE49-F238E27FC236}">
              <a16:creationId xmlns:a16="http://schemas.microsoft.com/office/drawing/2014/main" id="{FB2E9A9B-BD64-CF99-8C15-3D827723312A}"/>
            </a:ext>
          </a:extLst>
        </xdr:cNvPr>
        <xdr:cNvPicPr>
          <a:picLocks noChangeAspect="1"/>
        </xdr:cNvPicPr>
      </xdr:nvPicPr>
      <xdr:blipFill>
        <a:blip xmlns:r="http://schemas.openxmlformats.org/officeDocument/2006/relationships" r:embed="rId2"/>
        <a:stretch>
          <a:fillRect/>
        </a:stretch>
      </xdr:blipFill>
      <xdr:spPr>
        <a:xfrm>
          <a:off x="0" y="0"/>
          <a:ext cx="7438095" cy="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2025年7月14日</v>
      </c>
    </row>
    <row r="13" spans="1:2">
      <c r="A13" s="1119" t="s">
        <v>529</v>
      </c>
      <c r="B13" s="1120"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171</v>
      </c>
    </row>
    <row r="21" spans="1:2">
      <c r="A21" s="1119" t="s">
        <v>537</v>
      </c>
      <c r="B21" s="1120">
        <f ca="1">'预评函-2'!D7</f>
        <v>10266</v>
      </c>
    </row>
    <row r="22" spans="1:2">
      <c r="A22" s="1119" t="s">
        <v>538</v>
      </c>
      <c r="B22" s="1120" t="str">
        <f ca="1">'预评函-2'!D6</f>
        <v>壹佰柒拾壹万元整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171</v>
      </c>
    </row>
    <row r="31" spans="1:2">
      <c r="A31" s="1119" t="s">
        <v>576</v>
      </c>
      <c r="B31" s="1120">
        <f ca="1">'预评函-2'!D15</f>
        <v>10266</v>
      </c>
    </row>
    <row r="32" spans="1:2">
      <c r="A32" s="1119" t="s">
        <v>543</v>
      </c>
      <c r="B32" s="1120" t="str">
        <f ca="1">'预评函-2'!D14</f>
        <v>壹佰柒拾壹万元整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8" t="s">
        <v>2580</v>
      </c>
      <c r="J2" s="3208"/>
      <c r="K2" s="3208"/>
      <c r="L2" s="3208"/>
      <c r="M2" s="3208"/>
      <c r="N2" s="3208"/>
      <c r="O2" s="3208"/>
      <c r="P2" s="3208"/>
      <c r="Q2" s="3208"/>
      <c r="R2" s="3208"/>
    </row>
    <row r="3" spans="1:18">
      <c r="A3" s="2760" t="s">
        <v>2501</v>
      </c>
      <c r="B3" s="2761">
        <f>项目基本情况!D3</f>
        <v>45852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1.43</v>
      </c>
      <c r="D5" s="2765">
        <f>IF(ISERROR(ROUND(POWER(1+E5,A5-C5)*(POWER(1+E5,C5)-1)/(POWER(1+E5,A5)-1),3)),0,ROUND(POWER(1+E5,A5-C5)*(POWER(1+E5,C5)-1)/(POWER(1+E5,A5)-1),4))</f>
        <v>6.8900000000000003E-2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11.44</v>
      </c>
      <c r="D6" s="2765">
        <f>IF(ISERROR(ROUND(POWER(1+E6,A6-C6)*(POWER(1+E6,C6)-1)/(POWER(1+E6,A6)-1),3)),0,ROUND(POWER(1+E6,A6-C6)*(POWER(1+E6,C6)-1)/(POWER(1+E6,A6)-1),4))</f>
        <v>0.42070000000000002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31.45</v>
      </c>
      <c r="D7" s="2765">
        <f>IF(ISERROR(ROUND(POWER(1+E7,A7-C7)*(POWER(1+E7,C7)-1)/(POWER(1+E7,A7)-1),3)),0,ROUND(POWER(1+E7,A7-C7)*(POWER(1+E7,C7)-1)/(POWER(1+E7,A7)-1),4))</f>
        <v>0.75739999999999996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6"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c r="C3" s="2185" t="s">
        <v>2171</v>
      </c>
      <c r="D3" s="2184">
        <v>45852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19"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20"/>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505" t="s">
        <v>3423</v>
      </c>
      <c r="G10" s="2442"/>
      <c r="H10" s="2443"/>
      <c r="I10" s="2444"/>
      <c r="J10" s="2243"/>
      <c r="K10" s="2400"/>
      <c r="L10" s="2397"/>
      <c r="M10" s="2397"/>
      <c r="N10" s="2243"/>
      <c r="O10" s="1670"/>
      <c r="P10" s="2243"/>
      <c r="Q10" s="2243"/>
      <c r="R10" s="2243"/>
    </row>
    <row r="11" spans="1:30">
      <c r="A11" s="2211" t="s">
        <v>2181</v>
      </c>
      <c r="B11" s="2212" t="s">
        <v>3421</v>
      </c>
      <c r="C11" s="3504"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56490</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29.14</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6"/>
      <c r="C16" s="3227"/>
      <c r="D16" s="3228"/>
      <c r="E16" s="2220" t="s">
        <v>2194</v>
      </c>
      <c r="F16" s="3229"/>
      <c r="G16" s="3230"/>
      <c r="H16" s="3230"/>
      <c r="I16" s="3231"/>
      <c r="J16" s="2243"/>
      <c r="K16" s="2401"/>
      <c r="L16" s="1670"/>
      <c r="M16" s="1670"/>
      <c r="N16" s="2243"/>
      <c r="O16" s="1670"/>
      <c r="P16" s="2243"/>
      <c r="Q16" s="2243"/>
      <c r="R16" s="2243"/>
    </row>
    <row r="17" spans="1:28">
      <c r="A17" s="305" t="s">
        <v>2195</v>
      </c>
      <c r="B17" s="294" t="s">
        <v>2196</v>
      </c>
      <c r="C17" s="8">
        <f>'数据-汇总表'!E3</f>
        <v>166.57</v>
      </c>
      <c r="D17" s="1256" t="s">
        <v>2197</v>
      </c>
      <c r="E17" s="3232" t="s">
        <v>2198</v>
      </c>
      <c r="F17" s="3233"/>
      <c r="G17" s="3233"/>
      <c r="H17" s="3233"/>
      <c r="I17" s="3234"/>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5" t="s">
        <v>2202</v>
      </c>
      <c r="F18" s="3236"/>
      <c r="G18" s="3236"/>
      <c r="H18" s="3236"/>
      <c r="I18" s="3237"/>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3426</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0" t="s">
        <v>2214</v>
      </c>
      <c r="B27" s="312" t="s">
        <v>2215</v>
      </c>
      <c r="C27" s="2223" t="s">
        <v>3427</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1"/>
      <c r="B30" s="294" t="s">
        <v>2218</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2219</v>
      </c>
      <c r="B31" s="2229" t="s">
        <v>3428</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3442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3424</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7"/>
      <c r="G2" s="2430"/>
      <c r="H2" s="2431"/>
      <c r="I2" s="2145" t="s">
        <v>1132</v>
      </c>
      <c r="J2" s="2437"/>
      <c r="K2" s="2437"/>
      <c r="L2" s="2437"/>
      <c r="M2" s="2437"/>
      <c r="N2" s="2438"/>
      <c r="O2" s="2437"/>
      <c r="P2" s="2437"/>
    </row>
    <row r="3" spans="1:16" ht="15" thickBot="1">
      <c r="A3" s="3248" t="s">
        <v>1105</v>
      </c>
      <c r="B3" s="3248"/>
      <c r="C3" s="3248"/>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49"/>
      <c r="B4" s="3250"/>
      <c r="C4" s="325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2" t="s">
        <v>1111</v>
      </c>
      <c r="C6" s="3252"/>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44"/>
      <c r="B7" s="3245"/>
      <c r="C7" s="3246"/>
      <c r="D7" s="1524" t="s">
        <v>1107</v>
      </c>
      <c r="E7" s="1528" t="s">
        <v>1114</v>
      </c>
      <c r="F7" s="2437"/>
      <c r="G7" s="2434" t="s">
        <v>1115</v>
      </c>
      <c r="H7" s="95"/>
      <c r="I7" s="2435">
        <v>3.49</v>
      </c>
      <c r="J7" s="3509" t="s">
        <v>3441</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3425</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29.14</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4500</v>
      </c>
      <c r="M6" s="64">
        <f t="shared" ref="M6:M14" si="0">ROUND(K6*L6/10000,0)</f>
        <v>75</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67">
        <v>0.02</v>
      </c>
      <c r="W6" s="67">
        <v>0.1</v>
      </c>
      <c r="X6" s="979"/>
      <c r="Y6" s="68">
        <f>N6</f>
        <v>0.75</v>
      </c>
      <c r="Z6" s="69"/>
      <c r="AA6" s="63"/>
      <c r="AB6" s="63"/>
      <c r="AC6" s="979"/>
      <c r="AD6" s="70"/>
      <c r="AE6" s="980">
        <f ca="1">IF(AN6="",0,SUMIF(INDIRECT("'"&amp;AN6&amp;"'"&amp;"!E:E"),$AE$5,INDIRECT("'"&amp;AN6&amp;"'"&amp;"!F:F")))</f>
        <v>29.14</v>
      </c>
      <c r="AF6" s="74"/>
      <c r="AG6" s="130">
        <f>IF(AF6="",0,AE6-AF6)</f>
        <v>0</v>
      </c>
      <c r="AH6" s="71"/>
      <c r="AI6" s="73">
        <v>365</v>
      </c>
      <c r="AJ6" s="74"/>
      <c r="AK6" s="75">
        <v>3.0000000000000001E-3</v>
      </c>
      <c r="AL6" s="76">
        <v>1E-3</v>
      </c>
      <c r="AM6" s="77">
        <v>5.0000000000000001E-3</v>
      </c>
      <c r="AN6" s="1589" t="s">
        <v>3431</v>
      </c>
      <c r="AO6" s="50">
        <f ca="1">SUMIF(INDIRECT("'"&amp;AN6&amp;"'"&amp;"!A:A"),"总价",INDIRECT("'"&amp;AN6&amp;"'"&amp;"!B:B"))</f>
        <v>134.42339999999999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4503</v>
      </c>
      <c r="M16" s="87">
        <f>SUM(M6:M14)</f>
        <v>75</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v>2010</v>
      </c>
      <c r="O17" s="3507" t="s">
        <v>3451</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506"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3" t="s">
        <v>2286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9" sqref="J1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45852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171</v>
      </c>
      <c r="C5" s="2298">
        <f ca="1">IF(B5=D14,结果表!H102,ROUND(B5*10000/$B$1,0))</f>
        <v>10266</v>
      </c>
      <c r="D5" s="2298" t="e">
        <f ca="1">ROUND(B5*10000/$B$2,0)</f>
        <v>#DIV/0!</v>
      </c>
      <c r="E5" s="2459"/>
      <c r="F5" s="2460"/>
      <c r="G5" s="2460"/>
      <c r="H5" s="2460"/>
      <c r="I5" s="2460"/>
      <c r="J5" s="2460"/>
      <c r="K5" s="2460"/>
    </row>
    <row r="6" spans="1:11" ht="15.6">
      <c r="A6" s="2298" t="s">
        <v>656</v>
      </c>
      <c r="B6" s="2298">
        <f ca="1">SUM(G14:G23)</f>
        <v>171</v>
      </c>
      <c r="C6" s="2298">
        <f ca="1">IF(B6=G14,结果表!H108,ROUND(B6*10000/$B$1,0))</f>
        <v>10266</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166.57</v>
      </c>
      <c r="C14" s="2304"/>
      <c r="D14" s="2304">
        <f ca="1">结果表!H101</f>
        <v>171</v>
      </c>
      <c r="E14" s="2304">
        <f ca="1">结果表!H102</f>
        <v>10266</v>
      </c>
      <c r="F14" s="2304" t="e">
        <f ca="1">ROUND(D14*10000/C14,0)</f>
        <v>#DIV/0!</v>
      </c>
      <c r="G14" s="2304">
        <f ca="1">D14</f>
        <v>171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4" sqref="C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289" t="str">
        <f>项目基本情况!S2</f>
        <v>北京市顺义区南法信大街118号院2号楼3层3305房地产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3465</v>
      </c>
      <c r="D4" s="1626" t="s">
        <v>3431</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55</v>
      </c>
      <c r="D14" s="3292">
        <v>45</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279" t="s">
        <v>2131</v>
      </c>
      <c r="F18" s="3280"/>
      <c r="G18" s="3280"/>
      <c r="H18" s="3280"/>
      <c r="I18" s="3280"/>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200.91669999999999</v>
      </c>
      <c r="D19" s="127">
        <f ca="1">SUMIF(INDIRECT("'"&amp;D4&amp;"'"&amp;"!A:A"),结果表!B19,INDIRECT("'"&amp;D4&amp;"'"&amp;"!B:B"))</f>
        <v>134.42339999999999</v>
      </c>
      <c r="E19" s="1630" t="s">
        <v>1292</v>
      </c>
      <c r="F19" s="1631" t="s">
        <v>1291</v>
      </c>
      <c r="G19" s="128">
        <f ca="1">ROUND(C19*$C$18+D19*$D$18,0)</f>
        <v>171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12062</v>
      </c>
      <c r="D20" s="130">
        <f ca="1">SUMIF(INDIRECT("'"&amp;D4&amp;"'"&amp;"!A:A"),结果表!B20,INDIRECT("'"&amp;D4&amp;"'"&amp;"!B:B"))</f>
        <v>8070</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0.494655692386891</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171</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45852</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9" t="s">
        <v>1340</v>
      </c>
      <c r="L48" s="3319"/>
      <c r="M48" s="3341">
        <f ca="1">H101</f>
        <v>171</v>
      </c>
      <c r="N48" s="3341"/>
      <c r="O48" s="3341"/>
    </row>
    <row r="49" spans="1:35" ht="25.5" customHeight="1">
      <c r="A49" s="2151" t="s">
        <v>1341</v>
      </c>
      <c r="B49" s="3255" t="s">
        <v>1342</v>
      </c>
      <c r="C49" s="3255"/>
      <c r="D49" s="1478">
        <v>0</v>
      </c>
      <c r="E49" s="316" t="s">
        <v>1343</v>
      </c>
      <c r="F49" s="2231" t="s">
        <v>28</v>
      </c>
      <c r="G49" s="3325"/>
      <c r="H49" s="2133" t="s">
        <v>2134</v>
      </c>
      <c r="I49" s="2134"/>
      <c r="J49" s="2308">
        <v>4</v>
      </c>
      <c r="K49" s="3319" t="str">
        <f>IF(项目基本情况!E8="房地产抵押价值","房地产抵押价值","抵押担保权已注销时的房地产抵押价值")</f>
        <v>房地产抵押价值</v>
      </c>
      <c r="L49" s="3319"/>
      <c r="M49" s="3341">
        <f ca="1">IF(项目基本情况!E8="房地产抵押价值",H107,H109)</f>
        <v>171</v>
      </c>
      <c r="N49" s="3341"/>
      <c r="O49" s="3341"/>
    </row>
    <row r="50" spans="1:35" ht="25.5" customHeight="1">
      <c r="A50" s="2336"/>
      <c r="B50" s="3255" t="s">
        <v>1344</v>
      </c>
      <c r="C50" s="3255"/>
      <c r="D50" s="2188"/>
      <c r="E50" s="323"/>
      <c r="F50" s="2231"/>
      <c r="G50" s="3326"/>
      <c r="H50" s="2135" t="s">
        <v>2135</v>
      </c>
      <c r="I50" s="2134"/>
      <c r="J50" s="3338" t="s">
        <v>1345</v>
      </c>
      <c r="K50" s="3338"/>
      <c r="L50" s="3338"/>
      <c r="M50" s="3338"/>
      <c r="N50" s="3338"/>
      <c r="O50" s="3338"/>
    </row>
    <row r="51" spans="1:35" ht="20.399999999999999" customHeight="1">
      <c r="A51" s="2337"/>
      <c r="B51" s="3255" t="s">
        <v>1346</v>
      </c>
      <c r="C51" s="3255"/>
      <c r="D51" s="1024"/>
      <c r="E51" s="319"/>
      <c r="F51" s="2231"/>
      <c r="G51" s="3327"/>
      <c r="H51" s="2135" t="s">
        <v>2136</v>
      </c>
      <c r="I51" s="2134"/>
      <c r="J51" s="2309" t="s">
        <v>1347</v>
      </c>
      <c r="K51" s="3319" t="s">
        <v>1348</v>
      </c>
      <c r="L51" s="3319"/>
      <c r="M51" s="2309" t="s">
        <v>1349</v>
      </c>
      <c r="N51" s="2309" t="s">
        <v>1350</v>
      </c>
      <c r="O51" s="2309" t="s">
        <v>1351</v>
      </c>
    </row>
    <row r="52" spans="1:35" ht="24" customHeight="1">
      <c r="A52" s="2152" t="s">
        <v>1352</v>
      </c>
      <c r="B52" s="3255" t="s">
        <v>1353</v>
      </c>
      <c r="C52" s="3255"/>
      <c r="D52" s="1024">
        <f ca="1">ROUND(D45*'数据-取费表'!B41/(1+'数据-取费表'!C42),0)</f>
        <v>9</v>
      </c>
      <c r="E52" s="1256" t="s">
        <v>1354</v>
      </c>
      <c r="F52" s="2338">
        <f>'数据-取费表'!B41</f>
        <v>5.6000000000000001E-2</v>
      </c>
      <c r="G52" s="2339"/>
      <c r="H52" s="2329"/>
      <c r="I52" s="1669"/>
      <c r="J52" s="2308">
        <v>1</v>
      </c>
      <c r="K52" s="3320" t="s">
        <v>1355</v>
      </c>
      <c r="L52" s="3320"/>
      <c r="M52" s="2310" t="b">
        <f>D48</f>
        <v>0</v>
      </c>
      <c r="N52" s="2308" t="str">
        <f>E48</f>
        <v>销售额×税（费）率</v>
      </c>
      <c r="O52" s="2311">
        <f>F48</f>
        <v>5.6000000000000001E-2</v>
      </c>
    </row>
    <row r="53" spans="1:35" ht="12" customHeight="1">
      <c r="A53" s="2152" t="s">
        <v>1356</v>
      </c>
      <c r="B53" s="3281" t="s">
        <v>2291</v>
      </c>
      <c r="C53" s="3282"/>
      <c r="D53" s="1024">
        <f ca="1">ROUND(D45*'数据-取费表'!B41/(1+'数据-取费表'!C42),0)</f>
        <v>9</v>
      </c>
      <c r="E53" s="1256" t="s">
        <v>1354</v>
      </c>
      <c r="F53" s="2338">
        <f>'数据-取费表'!B41</f>
        <v>5.6000000000000001E-2</v>
      </c>
      <c r="G53" s="2339"/>
      <c r="H53" s="2329"/>
      <c r="I53" s="1669"/>
      <c r="J53" s="2308">
        <v>2</v>
      </c>
      <c r="K53" s="3320" t="s">
        <v>1357</v>
      </c>
      <c r="L53" s="3320"/>
      <c r="M53" s="2310">
        <f t="shared" ref="M53:O54" ca="1" si="0">D55</f>
        <v>0</v>
      </c>
      <c r="N53" s="2308" t="str">
        <f t="shared" si="0"/>
        <v>销售额×税（费）率</v>
      </c>
      <c r="O53" s="2311" t="str">
        <f t="shared" si="0"/>
        <v>免征</v>
      </c>
    </row>
    <row r="54" spans="1:35" ht="12" customHeight="1">
      <c r="A54" s="2152" t="s">
        <v>1358</v>
      </c>
      <c r="B54" s="3281" t="s">
        <v>2292</v>
      </c>
      <c r="C54" s="3282"/>
      <c r="D54" s="1024">
        <f ca="1">C68</f>
        <v>9</v>
      </c>
      <c r="E54" s="319" t="s">
        <v>1359</v>
      </c>
      <c r="F54" s="2338">
        <f>'数据-取费表'!B41</f>
        <v>5.6000000000000001E-2</v>
      </c>
      <c r="G54" s="2339"/>
      <c r="H54" s="2340"/>
      <c r="I54" s="1669"/>
      <c r="J54" s="2308">
        <v>3</v>
      </c>
      <c r="K54" s="3320" t="s">
        <v>1360</v>
      </c>
      <c r="L54" s="3320"/>
      <c r="M54" s="2310">
        <f t="shared" ca="1" si="0"/>
        <v>97</v>
      </c>
      <c r="N54" s="2308" t="str">
        <f t="shared" si="0"/>
        <v>增值额×税（费）率</v>
      </c>
      <c r="O54" s="2312" t="str">
        <f t="shared" si="0"/>
        <v>免征</v>
      </c>
    </row>
    <row r="55" spans="1:35" ht="24" customHeight="1">
      <c r="A55" s="3270" t="s">
        <v>1361</v>
      </c>
      <c r="B55" s="3271"/>
      <c r="C55" s="3271"/>
      <c r="D55" s="12">
        <f ca="1">IF(H55="个人住宅",0,ROUND(D45*I55,0))</f>
        <v>0</v>
      </c>
      <c r="E55" s="1256"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2</v>
      </c>
      <c r="N55" s="1883" t="str">
        <f>E59</f>
        <v>差额计税</v>
      </c>
      <c r="O55" s="2314">
        <f>F59</f>
        <v>0.01</v>
      </c>
    </row>
    <row r="56" spans="1:35" ht="25.2">
      <c r="A56" s="3270" t="s">
        <v>1363</v>
      </c>
      <c r="B56" s="3271"/>
      <c r="C56" s="3271"/>
      <c r="D56" s="12">
        <f ca="1">IF(H56="个人住宅",D57,D58)</f>
        <v>97</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2">
      <c r="A57" s="2152"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99</v>
      </c>
      <c r="O57" s="2318"/>
      <c r="P57" s="2462">
        <f ca="1">N57/M49</f>
        <v>0.57894736842105265</v>
      </c>
    </row>
    <row r="58" spans="1:35" ht="25.2">
      <c r="A58" s="2152" t="s">
        <v>1352</v>
      </c>
      <c r="B58" s="3281" t="s">
        <v>1369</v>
      </c>
      <c r="C58" s="3255"/>
      <c r="D58" s="12">
        <f ca="1">IF(H58="转让取得",C81,C97)</f>
        <v>97</v>
      </c>
      <c r="E58" s="1256" t="s">
        <v>1364</v>
      </c>
      <c r="F58" s="294" t="s">
        <v>28</v>
      </c>
      <c r="G58" s="2339"/>
      <c r="H58" s="2342"/>
      <c r="I58" s="1670"/>
      <c r="J58" s="3320"/>
      <c r="K58" s="3320"/>
      <c r="L58" s="2315" t="s">
        <v>1370</v>
      </c>
      <c r="M58" s="2319"/>
      <c r="N58" s="2320" t="str">
        <f ca="1">NUMBERSTRING(INT(N57*10000),2)&amp;"元整"</f>
        <v>玖拾玖万元整</v>
      </c>
      <c r="O58" s="2321"/>
    </row>
    <row r="59" spans="1:35" ht="24.6" thickBot="1">
      <c r="A59" s="3323" t="s">
        <v>1371</v>
      </c>
      <c r="B59" s="3324"/>
      <c r="C59" s="3324"/>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1">
        <f>J57+1</f>
        <v>6</v>
      </c>
      <c r="K59" s="3320" t="s">
        <v>1372</v>
      </c>
      <c r="L59" s="2308" t="s">
        <v>1368</v>
      </c>
      <c r="M59" s="2322"/>
      <c r="N59" s="2323">
        <f ca="1">M49-N57</f>
        <v>72</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柒拾贰万元整</v>
      </c>
      <c r="O60" s="2321"/>
    </row>
    <row r="61" spans="1:35" ht="13.8" thickBot="1">
      <c r="A61" s="3268" t="s">
        <v>1373</v>
      </c>
      <c r="B61" s="3268"/>
      <c r="C61" s="3268"/>
      <c r="D61" s="3268"/>
      <c r="E61" s="3268"/>
      <c r="F61" s="1670"/>
      <c r="G61" s="1670"/>
      <c r="H61" s="151"/>
      <c r="I61" s="121"/>
      <c r="J61" s="2308">
        <f>J59+1</f>
        <v>7</v>
      </c>
      <c r="K61" s="3320" t="s">
        <v>1374</v>
      </c>
      <c r="L61" s="3320"/>
      <c r="M61" s="2325"/>
      <c r="N61" s="2326">
        <f ca="1">ROUND(N59*10000/'数据-汇总表'!E3,0)</f>
        <v>4323</v>
      </c>
      <c r="O61" s="2327"/>
    </row>
    <row r="62" spans="1:35" ht="13.2">
      <c r="A62" s="3286" t="s">
        <v>1375</v>
      </c>
      <c r="B62" s="3287"/>
      <c r="C62" s="1865"/>
      <c r="D62" s="1865" t="s">
        <v>1376</v>
      </c>
      <c r="E62" s="158" t="s">
        <v>1377</v>
      </c>
      <c r="F62" s="1670"/>
      <c r="G62" s="1670"/>
      <c r="H62" s="151"/>
      <c r="I62" s="121"/>
    </row>
    <row r="63" spans="1:35" ht="13.2">
      <c r="A63" s="165" t="s">
        <v>330</v>
      </c>
      <c r="B63" s="159" t="s">
        <v>1378</v>
      </c>
      <c r="C63" s="2348">
        <f ca="1">ROUND((C64+C65)/(1+'数据-取费表'!C42),0)</f>
        <v>163</v>
      </c>
      <c r="D63" s="159"/>
      <c r="E63" s="160"/>
      <c r="F63" s="1670"/>
      <c r="G63" s="1670"/>
      <c r="H63" s="151"/>
      <c r="I63" s="121"/>
      <c r="J63" s="3345" t="s">
        <v>1379</v>
      </c>
      <c r="K63" s="1245" t="s">
        <v>1380</v>
      </c>
      <c r="L63" s="1245">
        <f ca="1">IF(M49&gt;10000,M49*0.5%,IF(AND(M49&gt;1000,M49&lt;=10000),M49*1%,IF(AND(M49&gt;100,M49&lt;=1000),M49*3%,IF(AND(M49&gt;10,M49&lt;=100),M49*5%,M49*8%))))</f>
        <v>5.13</v>
      </c>
      <c r="M63" s="294">
        <f ca="1">ROUND(L63,1)</f>
        <v>5.0999999999999996</v>
      </c>
      <c r="N63" s="2328"/>
      <c r="Z63" s="1623"/>
      <c r="AI63" s="1561"/>
    </row>
    <row r="64" spans="1:35" ht="14.25" customHeight="1">
      <c r="A64" s="161" t="s">
        <v>325</v>
      </c>
      <c r="B64" s="162" t="s">
        <v>1381</v>
      </c>
      <c r="C64" s="2349">
        <f ca="1">D45</f>
        <v>171</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1.5390000000000001</v>
      </c>
      <c r="M64" s="294">
        <f t="shared" ref="M64:M65" ca="1" si="1">ROUND(L64,1)</f>
        <v>1.5</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1.71</v>
      </c>
      <c r="M65" s="294">
        <f t="shared" ca="1" si="1"/>
        <v>1.7</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0.85499999999999998</v>
      </c>
      <c r="M66" s="294">
        <f ca="1">IF(L66&gt;0.5,0.5,ROUND(L66,0))</f>
        <v>0.5</v>
      </c>
      <c r="N66" s="2329" t="s">
        <v>1388</v>
      </c>
      <c r="Z66" s="1623"/>
      <c r="AI66" s="1561"/>
    </row>
    <row r="67" spans="1:35" ht="14.25" customHeight="1">
      <c r="A67" s="165" t="s">
        <v>328</v>
      </c>
      <c r="B67" s="166" t="s">
        <v>1389</v>
      </c>
      <c r="C67" s="2352">
        <f ca="1">C63-C66</f>
        <v>163</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0.67749999999999999</v>
      </c>
      <c r="M67" s="294">
        <f ca="1">ROUND(L67*0.9,1)</f>
        <v>0.6</v>
      </c>
      <c r="N67" s="2328"/>
      <c r="Z67" s="1623"/>
      <c r="AI67" s="1561"/>
    </row>
    <row r="68" spans="1:35" ht="14.25" customHeight="1" thickBot="1">
      <c r="A68" s="168" t="s">
        <v>329</v>
      </c>
      <c r="B68" s="169" t="s">
        <v>1391</v>
      </c>
      <c r="C68" s="2353">
        <f ca="1">IF(C67&lt;=0,0,ROUND(C67*D68,0))</f>
        <v>9</v>
      </c>
      <c r="D68" s="2354">
        <f>'数据-取费表'!B41</f>
        <v>5.6000000000000001E-2</v>
      </c>
      <c r="E68" s="170"/>
      <c r="F68" s="1670"/>
      <c r="G68" s="1670"/>
      <c r="H68" s="151"/>
      <c r="I68" s="121"/>
      <c r="J68" s="3345"/>
      <c r="K68" s="1245" t="s">
        <v>1392</v>
      </c>
      <c r="L68" s="1245">
        <f ca="1">IF(M49&gt;10000,M49*0.5%,IF(AND(M49&gt;5000,M49&lt;=10000),M49*1%,IF(AND(M49&gt;1000,M49&lt;=5000),M49*2%,IF(AND(M49&gt;200,M49&lt;=1000),M49*3%,M49*5%))))</f>
        <v>8.5500000000000007</v>
      </c>
      <c r="M68" s="294">
        <f ca="1">ROUND(L68,1)</f>
        <v>8.6</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18</v>
      </c>
      <c r="N69" s="2330">
        <f ca="1">M69/M49</f>
        <v>0.10526315789473684</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163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162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163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47" t="s">
        <v>2129</v>
      </c>
      <c r="H90" s="334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比较法-办公</v>
      </c>
      <c r="D101" s="2370" t="str">
        <f>D4</f>
        <v>收益法 (元)</v>
      </c>
      <c r="E101" s="3342" t="s">
        <v>1431</v>
      </c>
      <c r="F101" s="3299"/>
      <c r="G101" s="1687" t="s">
        <v>1432</v>
      </c>
      <c r="H101" s="2379">
        <f ca="1">H118</f>
        <v>171</v>
      </c>
      <c r="I101" s="121"/>
    </row>
    <row r="102" spans="1:35" ht="18.75" customHeight="1">
      <c r="A102" s="3301" t="s">
        <v>1433</v>
      </c>
      <c r="B102" s="2368" t="s">
        <v>1432</v>
      </c>
      <c r="C102" s="2369">
        <f ca="1">IF(D32="楼面单价",ROUND(C19,0),C19)</f>
        <v>201</v>
      </c>
      <c r="D102" s="2370">
        <f ca="1">IF(D32="楼面单价",ROUND(D19,0),D19)</f>
        <v>134</v>
      </c>
      <c r="E102" s="3342"/>
      <c r="F102" s="3299"/>
      <c r="G102" s="1687" t="s">
        <v>1434</v>
      </c>
      <c r="H102" s="2339">
        <f ca="1">I118</f>
        <v>10266</v>
      </c>
      <c r="I102" s="121"/>
    </row>
    <row r="103" spans="1:35" ht="42.75" customHeight="1">
      <c r="A103" s="3301"/>
      <c r="B103" s="2368" t="s">
        <v>1434</v>
      </c>
      <c r="C103" s="2371">
        <f ca="1">C20</f>
        <v>12062</v>
      </c>
      <c r="D103" s="2372">
        <f ca="1">D20</f>
        <v>8070</v>
      </c>
      <c r="E103" s="3336" t="s">
        <v>1435</v>
      </c>
      <c r="F103" s="3337"/>
      <c r="G103" s="1688" t="s">
        <v>1436</v>
      </c>
      <c r="H103" s="2379">
        <f>IF(D36="正常操作",H104+H105+H106,H105+H106)</f>
        <v>0</v>
      </c>
      <c r="I103" s="121"/>
    </row>
    <row r="104" spans="1:35" ht="18.75" customHeight="1">
      <c r="A104" s="3301" t="s">
        <v>1437</v>
      </c>
      <c r="B104" s="2373" t="s">
        <v>1432</v>
      </c>
      <c r="C104" s="2374">
        <f ca="1">H118</f>
        <v>171</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171</v>
      </c>
      <c r="I107" s="121"/>
    </row>
    <row r="108" spans="1:35" ht="18.75" customHeight="1">
      <c r="A108" s="121"/>
      <c r="B108" s="121"/>
      <c r="C108" s="121"/>
      <c r="D108" s="121"/>
      <c r="E108" s="3298"/>
      <c r="F108" s="3299"/>
      <c r="G108" s="1687" t="s">
        <v>1434</v>
      </c>
      <c r="H108" s="2339">
        <f ca="1">IF(H107=H101,H102,ROUND(H107*10000/'数据-汇总表'!E3,0))</f>
        <v>10266</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171</v>
      </c>
      <c r="I118" s="2149">
        <f ca="1">ROUND(IF(D32="楼面单价",C32,H118*10000/B118),0)</f>
        <v>10266</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壹佰柒拾壹万元整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171</v>
      </c>
      <c r="E122" s="3334"/>
      <c r="F122" s="3334"/>
      <c r="G122" s="3334"/>
      <c r="H122" s="3334"/>
      <c r="I122" s="3335"/>
      <c r="AA122" s="684"/>
    </row>
    <row r="123" spans="1:27" ht="18.75" customHeight="1">
      <c r="A123" s="3269" t="s">
        <v>1452</v>
      </c>
      <c r="B123" s="3269"/>
      <c r="C123" s="3269"/>
      <c r="D123" s="3309" t="str">
        <f ca="1">NUMBERSTRING(INT(D122*10000),2)&amp;"元整"</f>
        <v>壹佰柒拾壹万元整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5163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83</v>
      </c>
      <c r="D51" s="224"/>
      <c r="E51" s="224"/>
      <c r="F51" s="256"/>
      <c r="G51" s="226" t="s">
        <v>1560</v>
      </c>
    </row>
    <row r="52" spans="1:7" s="200" customFormat="1" ht="16.8" thickBot="1">
      <c r="A52" s="257" t="s">
        <v>1561</v>
      </c>
      <c r="B52" s="258"/>
      <c r="C52" s="259">
        <f ca="1">C31+C51</f>
        <v>86</v>
      </c>
      <c r="D52" s="258"/>
      <c r="E52" s="258"/>
      <c r="F52" s="258"/>
      <c r="G52" s="260"/>
    </row>
    <row r="55" spans="1:7" ht="15">
      <c r="B55" s="262" t="s">
        <v>1562</v>
      </c>
      <c r="C55" s="263"/>
    </row>
    <row r="56" spans="1:7">
      <c r="B56" s="265" t="s">
        <v>802</v>
      </c>
      <c r="C56" s="267">
        <f ca="1">1-C57</f>
        <v>3.5000000000000031E-2</v>
      </c>
    </row>
    <row r="57" spans="1:7">
      <c r="B57" s="265" t="s">
        <v>803</v>
      </c>
      <c r="C57" s="266">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北京市顺义区南法信大街118号院2号楼3层3305房地产抵押价值预评估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I49" sqref="I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9.109375" style="347" customWidth="1"/>
    <col min="6" max="6" width="12.21875" style="347" customWidth="1"/>
    <col min="7" max="7" width="18.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3445</v>
      </c>
      <c r="F1" s="1735" t="s">
        <v>3446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200.91669999999999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12062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510" t="s">
        <v>3447</v>
      </c>
      <c r="F5" s="3422"/>
      <c r="G5" s="3511" t="s">
        <v>3448</v>
      </c>
      <c r="H5" s="3415"/>
      <c r="I5" s="3511" t="s">
        <v>3448</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45852</v>
      </c>
      <c r="D7" s="355">
        <v>100</v>
      </c>
      <c r="E7" s="356">
        <f>C7</f>
        <v>45852</v>
      </c>
      <c r="F7" s="357">
        <f>SUMIF(59:59,YEAR(E7)&amp;"-"&amp;MONTH(E7),60:60)</f>
        <v>100</v>
      </c>
      <c r="G7" s="356">
        <f>C7</f>
        <v>45852</v>
      </c>
      <c r="H7" s="355">
        <f>SUMIF(59:59,YEAR(G7)&amp;"-"&amp;MONTH(G7),60:60)</f>
        <v>100</v>
      </c>
      <c r="I7" s="356">
        <f>C7</f>
        <v>45852</v>
      </c>
      <c r="J7" s="355">
        <f>SUMIF(59:59,YEAR(I7)&amp;"-"&amp;MONTH(I7),60:60)</f>
        <v>100</v>
      </c>
      <c r="K7" s="38"/>
      <c r="L7" s="2486"/>
      <c r="M7" s="2438"/>
      <c r="N7" s="2438"/>
      <c r="O7" s="2438"/>
      <c r="P7" s="343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802">
        <f>D7/J7</f>
        <v>1</v>
      </c>
    </row>
    <row r="8" spans="1:29" s="102" customFormat="1" ht="15" thickBot="1">
      <c r="A8" s="352" t="s">
        <v>1681</v>
      </c>
      <c r="B8" s="353"/>
      <c r="C8" s="358" t="s">
        <v>3449</v>
      </c>
      <c r="D8" s="355">
        <v>100</v>
      </c>
      <c r="E8" s="358" t="s">
        <v>3452</v>
      </c>
      <c r="F8" s="357">
        <f>SUMIF(62:62,E8,63:63)-SUMIF(62:62,C8,63:63)+100</f>
        <v>102</v>
      </c>
      <c r="G8" s="358" t="s">
        <v>3452</v>
      </c>
      <c r="H8" s="355">
        <f>SUMIF(62:62,G8,63:63)-SUMIF(62:62,C8,63:63)+100</f>
        <v>102</v>
      </c>
      <c r="I8" s="358" t="s">
        <v>3452</v>
      </c>
      <c r="J8" s="355">
        <f>SUMIF(62:62,I8,63:63)-SUMIF(62:62,C8,63:63)+100</f>
        <v>102</v>
      </c>
      <c r="K8" s="38"/>
      <c r="L8" s="2486"/>
      <c r="M8" s="2438"/>
      <c r="N8" s="2438"/>
      <c r="O8" s="2438"/>
      <c r="P8" s="3436" t="s">
        <v>1683</v>
      </c>
      <c r="Q8" s="3417"/>
      <c r="R8" s="664" t="s">
        <v>14</v>
      </c>
      <c r="S8" s="665">
        <f t="shared" si="0"/>
        <v>102</v>
      </c>
      <c r="T8" s="664" t="s">
        <v>14</v>
      </c>
      <c r="U8" s="665">
        <f t="shared" si="1"/>
        <v>102</v>
      </c>
      <c r="V8" s="664" t="s">
        <v>14</v>
      </c>
      <c r="W8" s="665">
        <f t="shared" si="2"/>
        <v>102</v>
      </c>
      <c r="X8" s="666"/>
      <c r="Y8" s="3416" t="s">
        <v>1683</v>
      </c>
      <c r="Z8" s="3417"/>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512" t="s">
        <v>3450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9.4" thickTop="1">
      <c r="A10" s="363"/>
      <c r="B10" s="364" t="s">
        <v>1688</v>
      </c>
      <c r="C10" s="513" t="s">
        <v>3456</v>
      </c>
      <c r="D10" s="119">
        <v>100</v>
      </c>
      <c r="E10" s="513" t="s">
        <v>3456</v>
      </c>
      <c r="F10" s="119">
        <f>SUMIF(66:66,E10,67:67)-SUMIF(66:66,C10,67:67)+100</f>
        <v>100</v>
      </c>
      <c r="G10" s="3130" t="s">
        <v>3462</v>
      </c>
      <c r="H10" s="119">
        <f>SUMIF(66:66,G10,67:67)-SUMIF(66:66,C10,67:67)+100</f>
        <v>101</v>
      </c>
      <c r="I10" s="3130" t="s">
        <v>3462</v>
      </c>
      <c r="J10" s="119">
        <f>SUMIF(66:66,I10,67:67)-SUMIF(66:66,C10,67:67)+100</f>
        <v>101</v>
      </c>
      <c r="K10" s="38"/>
      <c r="L10" s="2487"/>
      <c r="M10" s="2488"/>
      <c r="N10" s="2488"/>
      <c r="O10" s="2488"/>
      <c r="P10" s="3392"/>
      <c r="Q10" s="530" t="str">
        <f t="shared" si="6"/>
        <v>土地使用年限（年）</v>
      </c>
      <c r="R10" s="664" t="s">
        <v>14</v>
      </c>
      <c r="S10" s="665">
        <f t="shared" si="0"/>
        <v>100</v>
      </c>
      <c r="T10" s="664" t="s">
        <v>14</v>
      </c>
      <c r="U10" s="665">
        <f t="shared" si="1"/>
        <v>101</v>
      </c>
      <c r="V10" s="664" t="s">
        <v>14</v>
      </c>
      <c r="W10" s="665">
        <f t="shared" si="2"/>
        <v>101</v>
      </c>
      <c r="X10" s="666"/>
      <c r="Y10" s="3256"/>
      <c r="Z10" s="50" t="str">
        <f t="shared" si="7"/>
        <v>土地使用年限（年）</v>
      </c>
      <c r="AA10" s="50">
        <f t="shared" si="3"/>
        <v>1</v>
      </c>
      <c r="AB10" s="50">
        <f t="shared" si="4"/>
        <v>0.99009900990099009</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v>2012</v>
      </c>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v>136.72999999999999</v>
      </c>
      <c r="F34" s="364">
        <f>LOOKUP(E34,104:104,105:105)-LOOKUP(C34,104:104,105:105)+100</f>
        <v>100</v>
      </c>
      <c r="G34" s="368">
        <v>123.45</v>
      </c>
      <c r="H34" s="119">
        <f>LOOKUP(G34,104:104,105:105)-LOOKUP(C34,104:104,105:105)+100</f>
        <v>100</v>
      </c>
      <c r="I34" s="368">
        <v>121.75</v>
      </c>
      <c r="J34" s="119">
        <f>LOOKUP(I34,104:104,105:105)-LOOKUP(C34,104:104,105:105)+100</f>
        <v>100</v>
      </c>
      <c r="K34" s="539"/>
      <c r="L34" s="2489"/>
      <c r="M34" s="2491"/>
      <c r="N34" s="2491"/>
      <c r="O34" s="2491"/>
      <c r="P34" s="3386"/>
      <c r="Q34" s="531" t="str">
        <f t="shared" si="11"/>
        <v>项目建筑规模</v>
      </c>
      <c r="R34" s="669" t="s">
        <v>14</v>
      </c>
      <c r="S34" s="670">
        <f t="shared" si="12"/>
        <v>100</v>
      </c>
      <c r="T34" s="669" t="s">
        <v>14</v>
      </c>
      <c r="U34" s="670">
        <f t="shared" si="13"/>
        <v>100</v>
      </c>
      <c r="V34" s="669" t="s">
        <v>14</v>
      </c>
      <c r="W34" s="670">
        <f t="shared" si="14"/>
        <v>100</v>
      </c>
      <c r="X34" s="671"/>
      <c r="Y34" s="3388"/>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ROUND(1-(1-0)*(2025-G14)/60,2)</f>
        <v>0.78</v>
      </c>
      <c r="H37" s="400">
        <f>LOOKUP(G37,111:111,112:112)-LOOKUP(C37,111:111,112:112)+100</f>
        <v>100</v>
      </c>
      <c r="I37" s="411">
        <f>G37</f>
        <v>0.78</v>
      </c>
      <c r="J37" s="374">
        <f>LOOKUP(I37,111:111,112:112)-LOOKUP(C37,111:111,112:112)+100</f>
        <v>100</v>
      </c>
      <c r="K37" s="538"/>
      <c r="L37" s="2490"/>
      <c r="M37" s="2485"/>
      <c r="N37" s="2485"/>
      <c r="O37" s="2485"/>
      <c r="P37" s="3386"/>
      <c r="Q37" s="1263" t="str">
        <f t="shared" si="11"/>
        <v>成新度</v>
      </c>
      <c r="R37" s="667" t="s">
        <v>14</v>
      </c>
      <c r="S37" s="668">
        <f t="shared" si="12"/>
        <v>100</v>
      </c>
      <c r="T37" s="667" t="s">
        <v>14</v>
      </c>
      <c r="U37" s="668">
        <f t="shared" si="13"/>
        <v>100</v>
      </c>
      <c r="V37" s="667" t="s">
        <v>14</v>
      </c>
      <c r="W37" s="668">
        <f t="shared" si="14"/>
        <v>100</v>
      </c>
      <c r="X37" s="1265"/>
      <c r="Y37" s="338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v>13165</v>
      </c>
      <c r="F48" s="420"/>
      <c r="G48" s="421">
        <v>11989</v>
      </c>
      <c r="H48" s="422"/>
      <c r="I48" s="419">
        <v>11992</v>
      </c>
      <c r="J48" s="422"/>
      <c r="K48" s="674"/>
      <c r="L48" s="2492"/>
      <c r="M48" s="2485"/>
      <c r="N48" s="2485"/>
      <c r="O48" s="2485"/>
      <c r="P48" s="3392" t="str">
        <f>A48</f>
        <v>成交单价（元/平方米）</v>
      </c>
      <c r="Q48" s="3381"/>
      <c r="R48" s="3382">
        <f>E48</f>
        <v>13165</v>
      </c>
      <c r="S48" s="3382"/>
      <c r="T48" s="3382">
        <f>G48</f>
        <v>11989</v>
      </c>
      <c r="U48" s="3382"/>
      <c r="V48" s="3382">
        <f>I48</f>
        <v>11992</v>
      </c>
      <c r="W48" s="3382"/>
      <c r="X48" s="385"/>
      <c r="Y48" s="673"/>
      <c r="Z48" s="385"/>
      <c r="AA48" s="385"/>
      <c r="AB48" s="385"/>
      <c r="AC48" s="555"/>
    </row>
    <row r="49" spans="1:29" ht="15" thickBot="1">
      <c r="A49" s="423" t="s">
        <v>1793</v>
      </c>
      <c r="B49" s="424"/>
      <c r="C49" s="1082">
        <f>R50</f>
        <v>12062</v>
      </c>
      <c r="D49" s="2140" t="s">
        <v>2138</v>
      </c>
      <c r="E49" s="1083">
        <f>R49</f>
        <v>12907</v>
      </c>
      <c r="F49" s="2141"/>
      <c r="G49" s="1082">
        <f>T49</f>
        <v>11638</v>
      </c>
      <c r="H49" s="2141"/>
      <c r="I49" s="1083">
        <f>V49</f>
        <v>11640</v>
      </c>
      <c r="J49" s="2141"/>
      <c r="K49" s="2143">
        <f>F49+H49+J49</f>
        <v>0</v>
      </c>
      <c r="L49" s="2492"/>
      <c r="M49" s="2485"/>
      <c r="N49" s="2485"/>
      <c r="O49" s="2485"/>
      <c r="P49" s="3392" t="str">
        <f>A49</f>
        <v>比较价值（元/平方米）</v>
      </c>
      <c r="Q49" s="3381"/>
      <c r="R49" s="3382">
        <f>IF(F1="售价",ROUND(PRODUCT(R48,AA7:AA47),0),ROUND(PRODUCT(R48,AA7:AA47),1))</f>
        <v>12907</v>
      </c>
      <c r="S49" s="3382"/>
      <c r="T49" s="3382">
        <f>IF(F1="售价",ROUND(PRODUCT(T48,AB7:AB47),0),ROUND(PRODUCT(T48,AB7:AB47),1))</f>
        <v>11638</v>
      </c>
      <c r="U49" s="3382"/>
      <c r="V49" s="3382">
        <f>IF(F1="售价",ROUND(PRODUCT(V48,AC7:AC47),0),ROUND(PRODUCT(V48,AC7:AC47),1))</f>
        <v>11640</v>
      </c>
      <c r="W49" s="3382"/>
      <c r="X49" s="385"/>
      <c r="Y49" s="385"/>
      <c r="Z49" s="385"/>
      <c r="AA49" s="385"/>
      <c r="AB49" s="385"/>
      <c r="AC49" s="555"/>
    </row>
    <row r="50" spans="1:29" ht="15" thickBot="1">
      <c r="A50" s="427" t="s">
        <v>1794</v>
      </c>
      <c r="B50" s="428"/>
      <c r="C50" s="351">
        <f>R50</f>
        <v>12062</v>
      </c>
      <c r="D50" s="351"/>
      <c r="E50" s="351"/>
      <c r="F50" s="351"/>
      <c r="G50" s="351"/>
      <c r="H50" s="351"/>
      <c r="I50" s="351"/>
      <c r="J50" s="429"/>
      <c r="K50" s="675"/>
      <c r="L50" s="2492"/>
      <c r="M50" s="2485"/>
      <c r="N50" s="2485"/>
      <c r="O50" s="2485"/>
      <c r="P50" s="3423" t="str">
        <f>A50</f>
        <v>估价对象XX用房的比较价值（楼面单价，元/平方米）</v>
      </c>
      <c r="Q50" s="3424"/>
      <c r="R50" s="3425">
        <f>IF(F1="售价",ROUND(IF(D49="简单平均",AVERAGE(R49:V49),R49*F49+T49*H49+V49*J49),0),ROUND(IF(D49="简单平均",AVERAGE(R49:V49),R49*F49+T49*H49+V49*J49),1))</f>
        <v>12062</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1.9989153172697005E-2</v>
      </c>
      <c r="F53" s="435" t="str">
        <f>IF(OR(E53&gt;=0.3,E53&lt;=-0.3),"超过30%","")</f>
        <v/>
      </c>
      <c r="G53" s="434">
        <f>IF(G48&lt;G49,G49/G48-1,G48/G49-1)</f>
        <v>3.0159821275133281E-2</v>
      </c>
      <c r="H53" s="435" t="str">
        <f>IF(OR(G53&gt;=0.3,G53&lt;=-0.3),"超过30%","")</f>
        <v/>
      </c>
      <c r="I53" s="434">
        <f>IF(I48&lt;I49,I49/I48-1,I48/I49-1)</f>
        <v>3.0240549828178587E-2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0.10903935384086605</v>
      </c>
      <c r="F54" s="435" t="str">
        <f>IF(OR(E54&gt;=0.2,E54&lt;=-0.2),"超过20%","")</f>
        <v/>
      </c>
      <c r="G54" s="434">
        <f>IF(G49&lt;I49,I49/G49-1,G49/I49-1)</f>
        <v>1.7185083347648344E-4</v>
      </c>
      <c r="H54" s="435" t="str">
        <f>IF(OR(G54&gt;=0.2,G54&lt;=-0.2),"超过20%","")</f>
        <v/>
      </c>
      <c r="I54" s="434">
        <f>IF(I49&lt;E49,E49/I49-1,I49/E49-1)</f>
        <v>0.10884879725085916</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9.8089915756109702E-2</v>
      </c>
      <c r="F55" s="435" t="str">
        <f>IF(OR(E55&gt;=0.3,E55&lt;=-0.3),"超过30%","")</f>
        <v/>
      </c>
      <c r="G55" s="434">
        <f>IF(G48&lt;I48,I48/G48-1,G48/I48-1)</f>
        <v>2.5022937692886771E-4</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513" t="s">
        <v>3453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3454</v>
      </c>
      <c r="D66" s="513" t="s">
        <v>3455</v>
      </c>
      <c r="E66" s="513" t="s">
        <v>3456</v>
      </c>
      <c r="F66" s="513" t="s">
        <v>3457</v>
      </c>
      <c r="G66" s="513" t="s">
        <v>3458</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514" t="s">
        <v>3459</v>
      </c>
      <c r="D89" s="3514" t="s">
        <v>3460</v>
      </c>
      <c r="E89" s="3514" t="s">
        <v>3461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6">
        <f t="shared" si="26"/>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8">D112+$K37</f>
        <v>100</v>
      </c>
      <c r="F112" s="475">
        <f t="shared" si="28"/>
        <v>100</v>
      </c>
      <c r="G112" s="475">
        <f t="shared" si="28"/>
        <v>100</v>
      </c>
      <c r="H112" s="475">
        <f t="shared" si="28"/>
        <v>100</v>
      </c>
      <c r="I112" s="475">
        <f t="shared" si="28"/>
        <v>100</v>
      </c>
      <c r="J112" s="475">
        <f t="shared" si="28"/>
        <v>100</v>
      </c>
      <c r="K112" s="475">
        <f t="shared" si="28"/>
        <v>100</v>
      </c>
      <c r="L112" s="475">
        <f t="shared" si="28"/>
        <v>100</v>
      </c>
      <c r="M112" s="475">
        <f t="shared" si="28"/>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100</v>
      </c>
      <c r="E124" s="475">
        <f t="shared" si="32"/>
        <v>100</v>
      </c>
      <c r="F124" s="475">
        <f t="shared" si="32"/>
        <v>100</v>
      </c>
      <c r="G124" s="475">
        <f t="shared" si="32"/>
        <v>100</v>
      </c>
      <c r="H124" s="475">
        <f t="shared" si="32"/>
        <v>100</v>
      </c>
      <c r="I124" s="475">
        <f t="shared" si="32"/>
        <v>100</v>
      </c>
      <c r="J124" s="475">
        <f t="shared" si="32"/>
        <v>100</v>
      </c>
      <c r="K124" s="475">
        <f t="shared" si="32"/>
        <v>100</v>
      </c>
      <c r="L124" s="475">
        <f t="shared" si="32"/>
        <v>100</v>
      </c>
      <c r="M124" s="476">
        <f t="shared" si="32"/>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29.14</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134.42339999999999</v>
      </c>
      <c r="C2" s="1289" t="s">
        <v>879</v>
      </c>
      <c r="D2" s="1375">
        <f ca="1">C40+J29+L46</f>
        <v>1344234</v>
      </c>
      <c r="E2" s="1295" t="s">
        <v>880</v>
      </c>
      <c r="F2" s="1296"/>
      <c r="G2" s="2476"/>
      <c r="H2" s="2466"/>
      <c r="I2" s="2466"/>
      <c r="J2" s="2466"/>
      <c r="K2" s="2467"/>
      <c r="L2" s="2466"/>
      <c r="M2" s="2466"/>
    </row>
    <row r="3" spans="1:37" ht="18" customHeight="1" thickBot="1">
      <c r="A3" s="1297" t="s">
        <v>881</v>
      </c>
      <c r="B3" s="1298">
        <f ca="1">IF(ISERROR(D2/F43),0,ROUND(D2/F43,0))</f>
        <v>8070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82077</v>
      </c>
      <c r="D6" s="147" t="s">
        <v>2106</v>
      </c>
      <c r="E6" s="294" t="s">
        <v>696</v>
      </c>
      <c r="F6" s="295">
        <f ca="1">INDIRECT("'数据-取费表'!u"&amp;$G$1)</f>
        <v>1.5</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166.57</v>
      </c>
      <c r="G7" s="1292"/>
      <c r="H7" s="296"/>
      <c r="I7" s="3355"/>
      <c r="J7" s="298"/>
      <c r="K7" s="299"/>
      <c r="L7" s="294" t="s">
        <v>697</v>
      </c>
      <c r="M7" s="295">
        <f ca="1">F7</f>
        <v>166.57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816887</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749565</v>
      </c>
      <c r="D14" s="1257" t="s">
        <v>708</v>
      </c>
      <c r="E14" s="1255"/>
      <c r="F14" s="311"/>
      <c r="G14" s="1292"/>
      <c r="H14" s="928" t="s">
        <v>398</v>
      </c>
      <c r="I14" s="294" t="s">
        <v>709</v>
      </c>
      <c r="J14" s="21">
        <f ca="1">C29</f>
        <v>1089182</v>
      </c>
      <c r="K14" s="12"/>
      <c r="L14" s="759"/>
      <c r="M14" s="760"/>
    </row>
    <row r="15" spans="1:37" s="1304" customFormat="1" ht="18" customHeight="1" thickBot="1">
      <c r="A15" s="928" t="s">
        <v>399</v>
      </c>
      <c r="B15" s="294" t="s">
        <v>710</v>
      </c>
      <c r="C15" s="21">
        <f ca="1">ROUND(C14*F15,0)</f>
        <v>37478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3268</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14991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835348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16707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3268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25561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-3268</v>
      </c>
      <c r="K25" s="1032" t="s">
        <v>753</v>
      </c>
      <c r="L25" s="1033"/>
      <c r="M25" s="1034"/>
    </row>
    <row r="26" spans="1:37" ht="18" customHeight="1">
      <c r="A26" s="928" t="s">
        <v>397</v>
      </c>
      <c r="B26" s="294" t="s">
        <v>754</v>
      </c>
      <c r="C26" s="21">
        <f ca="1">ROUND((C19+C20)*F26,0)</f>
        <v>127808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1089182</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9968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3268</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817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f ca="1">C39/C5</f>
        <v>0.87870528109028956</v>
      </c>
      <c r="I38" s="1305"/>
      <c r="J38" s="1306"/>
      <c r="K38" s="2469"/>
      <c r="L38" s="2471"/>
      <c r="M38" s="2471"/>
    </row>
    <row r="39" spans="1:18" ht="24.6" customHeight="1" thickTop="1">
      <c r="A39" s="1016" t="s">
        <v>394</v>
      </c>
      <c r="B39" s="1031" t="s">
        <v>772</v>
      </c>
      <c r="C39" s="302">
        <f ca="1">C5-C30</f>
        <v>72212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1291278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29.14</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7752</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-134.99459999999999</v>
      </c>
      <c r="D45" s="3128" t="s">
        <v>3352</v>
      </c>
      <c r="E45" s="1307"/>
      <c r="F45" s="1307"/>
      <c r="O45" s="1310" t="s">
        <v>808</v>
      </c>
      <c r="P45" s="1366"/>
      <c r="Q45" s="1366"/>
      <c r="R45" s="1366"/>
    </row>
    <row r="46" spans="1:18" s="1292" customFormat="1" ht="13.8" thickBot="1">
      <c r="A46" s="1311" t="s">
        <v>809</v>
      </c>
      <c r="C46" s="1312">
        <f ca="1">ROUND(C45,0)</f>
        <v>-135</v>
      </c>
      <c r="D46" s="1313" t="str">
        <f>C2</f>
        <v>万元</v>
      </c>
      <c r="I46" s="1314" t="s">
        <v>810</v>
      </c>
      <c r="J46" s="1315"/>
      <c r="K46" s="1316"/>
      <c r="L46" s="1317">
        <f ca="1">IF(M47="住宅",0,IF(L48&gt;J51,L60,J60))</f>
        <v>52956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3433</v>
      </c>
      <c r="K47" s="1323" t="s">
        <v>816</v>
      </c>
      <c r="L47" s="1324">
        <f ca="1">INDIRECT("'数据-取费表'!d"&amp;$G$1)</f>
        <v>50</v>
      </c>
      <c r="M47" s="1288" t="str">
        <f>IF(ISNUMBER(FIND("住宅",C1)),"住宅","非住宅")</f>
        <v>非住宅</v>
      </c>
      <c r="O47" s="1325" t="s">
        <v>403</v>
      </c>
      <c r="P47" s="1326" t="s">
        <v>817</v>
      </c>
      <c r="Q47" s="1327">
        <f ca="1">C40+J29</f>
        <v>1291278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29.14</v>
      </c>
      <c r="O48" s="1325" t="s">
        <v>404</v>
      </c>
      <c r="P48" s="1326" t="s">
        <v>821</v>
      </c>
      <c r="Q48" s="1327">
        <f ca="1">J60</f>
        <v>52956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1089182</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267143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29.14</v>
      </c>
      <c r="K53" s="3352" t="s">
        <v>837</v>
      </c>
      <c r="L53" s="3353"/>
      <c r="O53" s="1325" t="s">
        <v>409</v>
      </c>
      <c r="P53" s="1326" t="s">
        <v>838</v>
      </c>
      <c r="Q53" s="1327">
        <f ca="1">Q47+Q48</f>
        <v>1344234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816887</v>
      </c>
      <c r="D56" s="1352"/>
      <c r="E56" s="1353"/>
      <c r="F56" s="1345"/>
      <c r="I56" s="1354" t="s">
        <v>842</v>
      </c>
      <c r="J56" s="1355" t="s">
        <v>3426</v>
      </c>
      <c r="K56" s="1328" t="s">
        <v>843</v>
      </c>
      <c r="L56" s="1331" t="str">
        <f ca="1">IF(L48&lt;J51,"——",L48-J51)</f>
        <v>——</v>
      </c>
      <c r="O56" s="1325" t="s">
        <v>403</v>
      </c>
      <c r="P56" s="1326" t="s">
        <v>817</v>
      </c>
      <c r="Q56" s="1327">
        <f ca="1">C40+J29</f>
        <v>1291278</v>
      </c>
      <c r="R56" s="1327" t="s">
        <v>818</v>
      </c>
    </row>
    <row r="57" spans="1:18" s="1292" customFormat="1" ht="24.6" thickBot="1">
      <c r="A57" s="1356"/>
      <c r="B57" s="896" t="s">
        <v>767</v>
      </c>
      <c r="C57" s="230">
        <f ca="1">C29</f>
        <v>1089182</v>
      </c>
      <c r="D57" s="1357"/>
      <c r="E57" s="1358"/>
      <c r="F57" s="1359"/>
      <c r="I57" s="1360" t="s">
        <v>844</v>
      </c>
      <c r="J57" s="1361">
        <f ca="1">IF(OR(M47="住宅",J51&lt;L48,J56="是"),"——",J51-L48)</f>
        <v>15.86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4085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435673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52956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1291278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3268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817</v>
      </c>
      <c r="D65" s="910" t="s">
        <v>743</v>
      </c>
      <c r="E65" s="896" t="s">
        <v>744</v>
      </c>
      <c r="F65" s="321">
        <f t="shared" ca="1" si="0"/>
        <v>1E-3</v>
      </c>
      <c r="I65" s="1367" t="s">
        <v>867</v>
      </c>
      <c r="J65" s="610">
        <v>40</v>
      </c>
      <c r="K65" s="610">
        <v>30</v>
      </c>
      <c r="L65" s="610">
        <v>50</v>
      </c>
      <c r="M65" s="1369">
        <v>0.02</v>
      </c>
      <c r="O65" s="1325" t="s">
        <v>403</v>
      </c>
      <c r="P65" s="1326" t="s">
        <v>868</v>
      </c>
      <c r="Q65" s="1327">
        <f ca="1">C40+J29</f>
        <v>1291278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-4085</v>
      </c>
      <c r="D67" s="909" t="s">
        <v>753</v>
      </c>
      <c r="E67" s="914"/>
      <c r="F67" s="915"/>
      <c r="O67" s="1334" t="s">
        <v>405</v>
      </c>
      <c r="P67" s="1326" t="s">
        <v>850</v>
      </c>
      <c r="Q67" s="1370">
        <f ca="1">L51</f>
        <v>267143</v>
      </c>
      <c r="R67" s="1327" t="s">
        <v>870</v>
      </c>
    </row>
    <row r="68" spans="1:18" s="1292" customFormat="1" ht="16.2" thickBot="1">
      <c r="A68" s="893" t="s">
        <v>395</v>
      </c>
      <c r="B68" s="894" t="s">
        <v>774</v>
      </c>
      <c r="C68" s="293">
        <f ca="1">ROUND(C67*(1-((1+F70)/(1+F68))^F69)/(F68-F70),0)</f>
        <v>-58668</v>
      </c>
      <c r="D68" s="911" t="s">
        <v>758</v>
      </c>
      <c r="E68" s="896" t="s">
        <v>759</v>
      </c>
      <c r="F68" s="304">
        <f ca="1">F40</f>
        <v>5.5E-2</v>
      </c>
      <c r="O68" s="1334" t="s">
        <v>406</v>
      </c>
      <c r="P68" s="1371" t="s">
        <v>871</v>
      </c>
      <c r="Q68" s="1327">
        <f ca="1">ROUND(Q69-Q70*Q71,0)</f>
        <v>15030</v>
      </c>
      <c r="R68" s="1327" t="s">
        <v>414</v>
      </c>
    </row>
    <row r="69" spans="1:18" s="1292" customFormat="1" ht="13.8" thickBot="1">
      <c r="A69" s="897"/>
      <c r="B69" s="898"/>
      <c r="C69" s="298"/>
      <c r="D69" s="916" t="s">
        <v>762</v>
      </c>
      <c r="E69" s="896" t="s">
        <v>763</v>
      </c>
      <c r="F69" s="324">
        <f ca="1">F41</f>
        <v>29.14</v>
      </c>
      <c r="O69" s="1334" t="s">
        <v>411</v>
      </c>
      <c r="P69" s="1371" t="s">
        <v>872</v>
      </c>
      <c r="Q69" s="1327">
        <f ca="1">C39</f>
        <v>72212</v>
      </c>
      <c r="R69" s="1327" t="s">
        <v>818</v>
      </c>
    </row>
    <row r="70" spans="1:18" s="1292" customFormat="1" ht="13.8" thickBot="1">
      <c r="A70" s="900"/>
      <c r="B70" s="901"/>
      <c r="C70" s="302"/>
      <c r="D70" s="912"/>
      <c r="E70" s="896" t="s">
        <v>766</v>
      </c>
      <c r="F70" s="991"/>
      <c r="O70" s="1334" t="s">
        <v>412</v>
      </c>
      <c r="P70" s="1371" t="s">
        <v>873</v>
      </c>
      <c r="Q70" s="1327">
        <f ca="1">C13</f>
        <v>816887</v>
      </c>
      <c r="R70" s="1327" t="s">
        <v>818</v>
      </c>
    </row>
    <row r="71" spans="1:18" s="1292" customFormat="1" ht="13.8" thickBot="1">
      <c r="A71" s="917" t="s">
        <v>396</v>
      </c>
      <c r="B71" s="918" t="s">
        <v>776</v>
      </c>
      <c r="C71" s="327">
        <f ca="1">ROUND(C68/F71,0)</f>
        <v>-352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57182</v>
      </c>
      <c r="D75" s="1292"/>
      <c r="E75" s="1292"/>
      <c r="F75" s="1292"/>
      <c r="K75" s="1309"/>
      <c r="L75" s="1292"/>
      <c r="O75" s="1325" t="s">
        <v>409</v>
      </c>
      <c r="P75" s="1326" t="s">
        <v>838</v>
      </c>
      <c r="Q75" s="1327">
        <f ca="1">Q65+Q66</f>
        <v>1291278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0.20799999999999996</v>
      </c>
    </row>
    <row r="80" spans="1:18">
      <c r="B80" s="331" t="s">
        <v>800</v>
      </c>
      <c r="C80" s="266">
        <f ca="1">ROUND(C75/C39,3)</f>
        <v>0.79200000000000004</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5801B-0588-422E-A615-827D500E800F}">
  <sheetPr>
    <tabColor rgb="FF7030A0"/>
  </sheetPr>
  <dimension ref="A18:L43"/>
  <sheetViews>
    <sheetView workbookViewId="0">
      <selection activeCell="O22" sqref="O22"/>
    </sheetView>
  </sheetViews>
  <sheetFormatPr defaultRowHeight="14.4"/>
  <sheetData>
    <row r="18" spans="1:12">
      <c r="A18" s="1405" t="s">
        <v>3507</v>
      </c>
    </row>
    <row r="19" spans="1:12">
      <c r="A19" s="1156" t="s">
        <v>3466</v>
      </c>
      <c r="B19" s="1156" t="s">
        <v>3467</v>
      </c>
      <c r="C19" s="1156" t="s">
        <v>3468</v>
      </c>
      <c r="D19" s="1156" t="s">
        <v>3469</v>
      </c>
      <c r="E19" s="1156" t="s">
        <v>3470</v>
      </c>
      <c r="F19" s="1156" t="s">
        <v>3471</v>
      </c>
      <c r="G19" s="1156" t="s">
        <v>3472</v>
      </c>
      <c r="H19" s="1156" t="s">
        <v>3473</v>
      </c>
      <c r="I19" s="1156" t="s">
        <v>3474</v>
      </c>
      <c r="J19" s="1156" t="s">
        <v>3475</v>
      </c>
      <c r="K19" s="1156" t="s">
        <v>3476</v>
      </c>
      <c r="L19" s="1156" t="s">
        <v>3477</v>
      </c>
    </row>
    <row r="20" spans="1:12">
      <c r="A20" s="1156" t="s">
        <v>3478</v>
      </c>
      <c r="B20" s="1156">
        <v>1</v>
      </c>
      <c r="C20" s="1156">
        <v>9</v>
      </c>
      <c r="D20" s="1156">
        <v>3</v>
      </c>
      <c r="E20" s="1156" t="s">
        <v>3479</v>
      </c>
      <c r="F20" s="1156" t="s">
        <v>3480</v>
      </c>
      <c r="G20" s="1156" t="s">
        <v>21</v>
      </c>
      <c r="H20" s="1156" t="s">
        <v>3481</v>
      </c>
      <c r="I20" s="1156">
        <v>1</v>
      </c>
      <c r="J20" s="1156">
        <v>104.66</v>
      </c>
      <c r="K20" s="1156">
        <v>151.76</v>
      </c>
      <c r="L20" s="1156">
        <v>14500</v>
      </c>
    </row>
    <row r="21" spans="1:12">
      <c r="A21" s="1156" t="s">
        <v>3482</v>
      </c>
      <c r="B21" s="1156" t="s">
        <v>3483</v>
      </c>
      <c r="C21" s="1156" t="s">
        <v>3483</v>
      </c>
      <c r="D21" s="1156">
        <v>-1</v>
      </c>
      <c r="E21" s="1156" t="s">
        <v>3484</v>
      </c>
      <c r="F21" s="1156" t="s">
        <v>3485</v>
      </c>
      <c r="G21" s="1156" t="s">
        <v>3486</v>
      </c>
      <c r="H21" s="1156" t="s">
        <v>3481</v>
      </c>
      <c r="I21" s="1156">
        <v>1</v>
      </c>
      <c r="J21" s="1156">
        <v>37.15</v>
      </c>
      <c r="K21" s="1156">
        <v>15</v>
      </c>
      <c r="L21" s="1156">
        <v>4038</v>
      </c>
    </row>
    <row r="22" spans="1:12">
      <c r="A22" s="1156" t="s">
        <v>3482</v>
      </c>
      <c r="B22" s="1156" t="s">
        <v>3483</v>
      </c>
      <c r="C22" s="1156" t="s">
        <v>3483</v>
      </c>
      <c r="D22" s="1156">
        <v>3</v>
      </c>
      <c r="E22" s="1156" t="s">
        <v>3487</v>
      </c>
      <c r="F22" s="1156" t="s">
        <v>3485</v>
      </c>
      <c r="G22" s="1156" t="s">
        <v>21</v>
      </c>
      <c r="H22" s="1156" t="s">
        <v>3481</v>
      </c>
      <c r="I22" s="1156">
        <v>1</v>
      </c>
      <c r="J22" s="1156">
        <v>93.59</v>
      </c>
      <c r="K22" s="1156">
        <v>142.16</v>
      </c>
      <c r="L22" s="1156">
        <v>15190</v>
      </c>
    </row>
    <row r="23" spans="1:12">
      <c r="A23" s="1156" t="s">
        <v>3482</v>
      </c>
      <c r="B23" s="1156" t="s">
        <v>3483</v>
      </c>
      <c r="C23" s="1156" t="s">
        <v>3483</v>
      </c>
      <c r="D23" s="1156">
        <v>3</v>
      </c>
      <c r="E23" s="1156" t="s">
        <v>3488</v>
      </c>
      <c r="F23" s="1156" t="s">
        <v>3485</v>
      </c>
      <c r="G23" s="1156" t="s">
        <v>21</v>
      </c>
      <c r="H23" s="1156" t="s">
        <v>3481</v>
      </c>
      <c r="I23" s="1156">
        <v>1</v>
      </c>
      <c r="J23" s="1156">
        <v>87.74</v>
      </c>
      <c r="K23" s="1156">
        <v>133.28</v>
      </c>
      <c r="L23" s="1156">
        <v>15190</v>
      </c>
    </row>
    <row r="24" spans="1:12">
      <c r="A24" s="1156" t="s">
        <v>3482</v>
      </c>
      <c r="B24" s="1156" t="s">
        <v>3483</v>
      </c>
      <c r="C24" s="1156" t="s">
        <v>3483</v>
      </c>
      <c r="D24" s="1156">
        <v>3</v>
      </c>
      <c r="E24" s="1156" t="s">
        <v>3489</v>
      </c>
      <c r="F24" s="1156" t="s">
        <v>3485</v>
      </c>
      <c r="G24" s="1156" t="s">
        <v>21</v>
      </c>
      <c r="H24" s="1156" t="s">
        <v>3481</v>
      </c>
      <c r="I24" s="1156">
        <v>1</v>
      </c>
      <c r="J24" s="1156">
        <v>87.74</v>
      </c>
      <c r="K24" s="1156">
        <v>133.28</v>
      </c>
      <c r="L24" s="1156">
        <v>15190</v>
      </c>
    </row>
    <row r="25" spans="1:12">
      <c r="A25" s="1156" t="s">
        <v>3482</v>
      </c>
      <c r="B25" s="1156" t="s">
        <v>3483</v>
      </c>
      <c r="C25" s="1156" t="s">
        <v>3483</v>
      </c>
      <c r="D25" s="1156">
        <v>3</v>
      </c>
      <c r="E25" s="1156" t="s">
        <v>3490</v>
      </c>
      <c r="F25" s="1156" t="s">
        <v>3485</v>
      </c>
      <c r="G25" s="1156" t="s">
        <v>21</v>
      </c>
      <c r="H25" s="1156" t="s">
        <v>3481</v>
      </c>
      <c r="I25" s="1156">
        <v>1</v>
      </c>
      <c r="J25" s="1156">
        <v>81.48</v>
      </c>
      <c r="K25" s="1156">
        <v>114.07</v>
      </c>
      <c r="L25" s="1156">
        <v>14000</v>
      </c>
    </row>
    <row r="26" spans="1:12">
      <c r="A26" s="1156" t="s">
        <v>3482</v>
      </c>
      <c r="B26" s="1156" t="s">
        <v>3483</v>
      </c>
      <c r="C26" s="1156" t="s">
        <v>3483</v>
      </c>
      <c r="D26" s="1156">
        <v>3</v>
      </c>
      <c r="E26" s="1156" t="s">
        <v>3491</v>
      </c>
      <c r="F26" s="1156" t="s">
        <v>3485</v>
      </c>
      <c r="G26" s="1156" t="s">
        <v>21</v>
      </c>
      <c r="H26" s="1156" t="s">
        <v>3481</v>
      </c>
      <c r="I26" s="1156">
        <v>1</v>
      </c>
      <c r="J26" s="1156">
        <v>87.74</v>
      </c>
      <c r="K26" s="1156">
        <v>122.84</v>
      </c>
      <c r="L26" s="1156">
        <v>14000</v>
      </c>
    </row>
    <row r="27" spans="1:12">
      <c r="A27" s="1156" t="s">
        <v>3482</v>
      </c>
      <c r="B27" s="1156" t="s">
        <v>3483</v>
      </c>
      <c r="C27" s="1156" t="s">
        <v>3483</v>
      </c>
      <c r="D27" s="1156">
        <v>3</v>
      </c>
      <c r="E27" s="1156" t="s">
        <v>3492</v>
      </c>
      <c r="F27" s="1156" t="s">
        <v>3485</v>
      </c>
      <c r="G27" s="1156" t="s">
        <v>21</v>
      </c>
      <c r="H27" s="1156" t="s">
        <v>3481</v>
      </c>
      <c r="I27" s="1156">
        <v>1</v>
      </c>
      <c r="J27" s="1156">
        <v>90.88</v>
      </c>
      <c r="K27" s="1156">
        <v>127.23</v>
      </c>
      <c r="L27" s="1156">
        <v>14000</v>
      </c>
    </row>
    <row r="28" spans="1:12">
      <c r="A28" s="1156" t="s">
        <v>3482</v>
      </c>
      <c r="B28" s="1156" t="s">
        <v>3483</v>
      </c>
      <c r="C28" s="1156" t="s">
        <v>3483</v>
      </c>
      <c r="D28" s="1156">
        <v>3</v>
      </c>
      <c r="E28" s="1156" t="s">
        <v>3493</v>
      </c>
      <c r="F28" s="1156" t="s">
        <v>3485</v>
      </c>
      <c r="G28" s="1156" t="s">
        <v>21</v>
      </c>
      <c r="H28" s="1156" t="s">
        <v>3481</v>
      </c>
      <c r="I28" s="1156">
        <v>1</v>
      </c>
      <c r="J28" s="1156">
        <v>211.84</v>
      </c>
      <c r="K28" s="1156">
        <v>296.58</v>
      </c>
      <c r="L28" s="1156">
        <v>14000</v>
      </c>
    </row>
    <row r="29" spans="1:12">
      <c r="A29" s="1156" t="s">
        <v>3482</v>
      </c>
      <c r="B29" s="1156" t="s">
        <v>3483</v>
      </c>
      <c r="C29" s="1156" t="s">
        <v>3483</v>
      </c>
      <c r="D29" s="1156">
        <v>3</v>
      </c>
      <c r="E29" s="1156" t="s">
        <v>3494</v>
      </c>
      <c r="F29" s="1156" t="s">
        <v>3485</v>
      </c>
      <c r="G29" s="1156" t="s">
        <v>21</v>
      </c>
      <c r="H29" s="1156" t="s">
        <v>3481</v>
      </c>
      <c r="I29" s="1156">
        <v>1</v>
      </c>
      <c r="J29" s="1156">
        <v>83.55</v>
      </c>
      <c r="K29" s="1156">
        <v>116.97</v>
      </c>
      <c r="L29" s="1156">
        <v>14000</v>
      </c>
    </row>
    <row r="30" spans="1:12">
      <c r="A30" s="1156" t="s">
        <v>3482</v>
      </c>
      <c r="B30" s="1156" t="s">
        <v>3483</v>
      </c>
      <c r="C30" s="1156" t="s">
        <v>3483</v>
      </c>
      <c r="D30" s="1156">
        <v>3</v>
      </c>
      <c r="E30" s="1156" t="s">
        <v>3495</v>
      </c>
      <c r="F30" s="1156" t="s">
        <v>3485</v>
      </c>
      <c r="G30" s="1156" t="s">
        <v>21</v>
      </c>
      <c r="H30" s="1156" t="s">
        <v>3481</v>
      </c>
      <c r="I30" s="1156">
        <v>1</v>
      </c>
      <c r="J30" s="1156">
        <v>101.55</v>
      </c>
      <c r="K30" s="1156">
        <v>142.16999999999999</v>
      </c>
      <c r="L30" s="1156">
        <v>14000</v>
      </c>
    </row>
    <row r="31" spans="1:12">
      <c r="A31" s="1156" t="s">
        <v>3482</v>
      </c>
      <c r="B31" s="1156" t="s">
        <v>3483</v>
      </c>
      <c r="C31" s="1156" t="s">
        <v>3483</v>
      </c>
      <c r="D31" s="1156">
        <v>3</v>
      </c>
      <c r="E31" s="1156" t="s">
        <v>3496</v>
      </c>
      <c r="F31" s="1156" t="s">
        <v>3485</v>
      </c>
      <c r="G31" s="1156" t="s">
        <v>21</v>
      </c>
      <c r="H31" s="1156" t="s">
        <v>3481</v>
      </c>
      <c r="I31" s="1156">
        <v>1</v>
      </c>
      <c r="J31" s="1156">
        <v>81.48</v>
      </c>
      <c r="K31" s="1156">
        <v>114.07</v>
      </c>
      <c r="L31" s="1156">
        <v>14000</v>
      </c>
    </row>
    <row r="32" spans="1:12">
      <c r="A32" s="1156" t="s">
        <v>3482</v>
      </c>
      <c r="B32" s="1156" t="s">
        <v>3483</v>
      </c>
      <c r="C32" s="1156" t="s">
        <v>3483</v>
      </c>
      <c r="D32" s="1156">
        <v>3</v>
      </c>
      <c r="E32" s="1156" t="s">
        <v>3497</v>
      </c>
      <c r="F32" s="1156" t="s">
        <v>3485</v>
      </c>
      <c r="G32" s="1156" t="s">
        <v>21</v>
      </c>
      <c r="H32" s="1156" t="s">
        <v>3481</v>
      </c>
      <c r="I32" s="1156">
        <v>1</v>
      </c>
      <c r="J32" s="1156">
        <v>101.51</v>
      </c>
      <c r="K32" s="1156">
        <v>142.11000000000001</v>
      </c>
      <c r="L32" s="1156">
        <v>14000</v>
      </c>
    </row>
    <row r="33" spans="1:12">
      <c r="A33" s="1156" t="s">
        <v>3482</v>
      </c>
      <c r="B33" s="1156" t="s">
        <v>3483</v>
      </c>
      <c r="C33" s="1156" t="s">
        <v>3483</v>
      </c>
      <c r="D33" s="1156">
        <v>3</v>
      </c>
      <c r="E33" s="1156" t="s">
        <v>3498</v>
      </c>
      <c r="F33" s="1156" t="s">
        <v>3485</v>
      </c>
      <c r="G33" s="1156" t="s">
        <v>21</v>
      </c>
      <c r="H33" s="1156" t="s">
        <v>3481</v>
      </c>
      <c r="I33" s="1156">
        <v>1</v>
      </c>
      <c r="J33" s="1156">
        <v>87.74</v>
      </c>
      <c r="K33" s="1156">
        <v>122.84</v>
      </c>
      <c r="L33" s="1156">
        <v>14000</v>
      </c>
    </row>
    <row r="34" spans="1:12">
      <c r="A34" s="1156" t="s">
        <v>3482</v>
      </c>
      <c r="B34" s="1156" t="s">
        <v>3483</v>
      </c>
      <c r="C34" s="1156" t="s">
        <v>3483</v>
      </c>
      <c r="D34" s="1156">
        <v>3</v>
      </c>
      <c r="E34" s="1156" t="s">
        <v>3499</v>
      </c>
      <c r="F34" s="1156" t="s">
        <v>3485</v>
      </c>
      <c r="G34" s="1156" t="s">
        <v>21</v>
      </c>
      <c r="H34" s="1156" t="s">
        <v>3481</v>
      </c>
      <c r="I34" s="1156">
        <v>1</v>
      </c>
      <c r="J34" s="1156">
        <v>78.47</v>
      </c>
      <c r="K34" s="1156">
        <v>109.86</v>
      </c>
      <c r="L34" s="1156">
        <v>14000</v>
      </c>
    </row>
    <row r="35" spans="1:12">
      <c r="A35" s="1156" t="s">
        <v>3482</v>
      </c>
      <c r="B35" s="1156" t="s">
        <v>3483</v>
      </c>
      <c r="C35" s="1156" t="s">
        <v>3483</v>
      </c>
      <c r="D35" s="1156">
        <v>3</v>
      </c>
      <c r="E35" s="1156" t="s">
        <v>3500</v>
      </c>
      <c r="F35" s="1156" t="s">
        <v>3485</v>
      </c>
      <c r="G35" s="1156" t="s">
        <v>21</v>
      </c>
      <c r="H35" s="1156" t="s">
        <v>3481</v>
      </c>
      <c r="I35" s="1156">
        <v>1</v>
      </c>
      <c r="J35" s="1156">
        <v>87.74</v>
      </c>
      <c r="K35" s="1156">
        <v>122.84</v>
      </c>
      <c r="L35" s="1156">
        <v>14000</v>
      </c>
    </row>
    <row r="36" spans="1:12">
      <c r="A36" s="1156" t="s">
        <v>3482</v>
      </c>
      <c r="B36" s="1156" t="s">
        <v>3483</v>
      </c>
      <c r="C36" s="1156" t="s">
        <v>3483</v>
      </c>
      <c r="D36" s="1156">
        <v>-1</v>
      </c>
      <c r="E36" s="1156" t="s">
        <v>3501</v>
      </c>
      <c r="F36" s="1156" t="s">
        <v>3485</v>
      </c>
      <c r="G36" s="1156" t="s">
        <v>3486</v>
      </c>
      <c r="H36" s="1156" t="s">
        <v>3481</v>
      </c>
      <c r="I36" s="1156">
        <v>1</v>
      </c>
      <c r="J36" s="1156">
        <v>37.15</v>
      </c>
      <c r="K36" s="1156">
        <v>15</v>
      </c>
      <c r="L36" s="1156">
        <v>4038</v>
      </c>
    </row>
    <row r="37" spans="1:12">
      <c r="A37" s="1156" t="s">
        <v>3482</v>
      </c>
      <c r="B37" s="1156" t="s">
        <v>3483</v>
      </c>
      <c r="C37" s="1156" t="s">
        <v>3483</v>
      </c>
      <c r="D37" s="1156">
        <v>-1</v>
      </c>
      <c r="E37" s="1156" t="s">
        <v>3502</v>
      </c>
      <c r="F37" s="1156" t="s">
        <v>3485</v>
      </c>
      <c r="G37" s="1156" t="s">
        <v>3486</v>
      </c>
      <c r="H37" s="1156" t="s">
        <v>3481</v>
      </c>
      <c r="I37" s="1156">
        <v>1</v>
      </c>
      <c r="J37" s="1156">
        <v>37.15</v>
      </c>
      <c r="K37" s="1156">
        <v>14.8</v>
      </c>
      <c r="L37" s="1156">
        <v>3984</v>
      </c>
    </row>
    <row r="38" spans="1:12">
      <c r="A38" s="1156" t="s">
        <v>3482</v>
      </c>
      <c r="B38" s="1156" t="s">
        <v>3483</v>
      </c>
      <c r="C38" s="1156" t="s">
        <v>3483</v>
      </c>
      <c r="D38" s="1156">
        <v>-1</v>
      </c>
      <c r="E38" s="1156" t="s">
        <v>3503</v>
      </c>
      <c r="F38" s="1156" t="s">
        <v>3485</v>
      </c>
      <c r="G38" s="1156" t="s">
        <v>3486</v>
      </c>
      <c r="H38" s="1156" t="s">
        <v>3481</v>
      </c>
      <c r="I38" s="1156">
        <v>1</v>
      </c>
      <c r="J38" s="1156">
        <v>37.15</v>
      </c>
      <c r="K38" s="1156">
        <v>14.8</v>
      </c>
      <c r="L38" s="1156">
        <v>3984</v>
      </c>
    </row>
    <row r="39" spans="1:12">
      <c r="A39" s="1156" t="s">
        <v>3482</v>
      </c>
      <c r="B39" s="1156" t="s">
        <v>3483</v>
      </c>
      <c r="C39" s="1156" t="s">
        <v>3483</v>
      </c>
      <c r="D39" s="1156">
        <v>-1</v>
      </c>
      <c r="E39" s="1156" t="s">
        <v>3504</v>
      </c>
      <c r="F39" s="1156" t="s">
        <v>3485</v>
      </c>
      <c r="G39" s="1156" t="s">
        <v>3486</v>
      </c>
      <c r="H39" s="1156" t="s">
        <v>3481</v>
      </c>
      <c r="I39" s="1156">
        <v>1</v>
      </c>
      <c r="J39" s="1156">
        <v>37.15</v>
      </c>
      <c r="K39" s="1156">
        <v>14.8</v>
      </c>
      <c r="L39" s="1156">
        <v>3984</v>
      </c>
    </row>
    <row r="40" spans="1:12">
      <c r="A40" s="1156" t="s">
        <v>3482</v>
      </c>
      <c r="B40" s="1156" t="s">
        <v>3483</v>
      </c>
      <c r="C40" s="1156" t="s">
        <v>3483</v>
      </c>
      <c r="D40" s="1156">
        <v>-1</v>
      </c>
      <c r="E40" s="1156" t="s">
        <v>3505</v>
      </c>
      <c r="F40" s="1156" t="s">
        <v>3485</v>
      </c>
      <c r="G40" s="1156" t="s">
        <v>3486</v>
      </c>
      <c r="H40" s="1156" t="s">
        <v>3481</v>
      </c>
      <c r="I40" s="1156">
        <v>1</v>
      </c>
      <c r="J40" s="1156">
        <v>37.15</v>
      </c>
      <c r="K40" s="1156">
        <v>15</v>
      </c>
      <c r="L40" s="1156">
        <v>4038</v>
      </c>
    </row>
    <row r="41" spans="1:12">
      <c r="A41" s="1156" t="s">
        <v>3482</v>
      </c>
      <c r="B41" s="1156" t="s">
        <v>3483</v>
      </c>
      <c r="C41" s="1156" t="s">
        <v>3483</v>
      </c>
      <c r="D41" s="1156">
        <v>-1</v>
      </c>
      <c r="E41" s="1156">
        <v>-2034</v>
      </c>
      <c r="F41" s="1156" t="s">
        <v>3485</v>
      </c>
      <c r="G41" s="1156" t="s">
        <v>3486</v>
      </c>
      <c r="H41" s="1156" t="s">
        <v>3481</v>
      </c>
      <c r="I41" s="1156">
        <v>1</v>
      </c>
      <c r="J41" s="1156">
        <v>37.15</v>
      </c>
      <c r="K41" s="1156">
        <v>12</v>
      </c>
      <c r="L41" s="1156">
        <v>3230</v>
      </c>
    </row>
    <row r="42" spans="1:12">
      <c r="A42" s="1156" t="s">
        <v>3482</v>
      </c>
      <c r="B42" s="1156" t="s">
        <v>3483</v>
      </c>
      <c r="C42" s="1156" t="s">
        <v>3483</v>
      </c>
      <c r="D42" s="1156">
        <v>-1</v>
      </c>
      <c r="E42" s="1156">
        <v>-2005</v>
      </c>
      <c r="F42" s="1156" t="s">
        <v>3485</v>
      </c>
      <c r="G42" s="1156" t="s">
        <v>3486</v>
      </c>
      <c r="H42" s="1156" t="s">
        <v>3481</v>
      </c>
      <c r="I42" s="1156">
        <v>1</v>
      </c>
      <c r="J42" s="1156">
        <v>37.15</v>
      </c>
      <c r="K42" s="1156">
        <v>12</v>
      </c>
      <c r="L42" s="1156">
        <v>3230</v>
      </c>
    </row>
    <row r="43" spans="1:12">
      <c r="A43" s="1156" t="s">
        <v>3482</v>
      </c>
      <c r="B43" s="1156" t="s">
        <v>3483</v>
      </c>
      <c r="C43" s="1156" t="s">
        <v>3483</v>
      </c>
      <c r="D43" s="1156">
        <v>9</v>
      </c>
      <c r="E43" s="1156" t="s">
        <v>3506</v>
      </c>
      <c r="F43" s="1156" t="s">
        <v>3485</v>
      </c>
      <c r="G43" s="1156" t="s">
        <v>21</v>
      </c>
      <c r="H43" s="1156" t="s">
        <v>3481</v>
      </c>
      <c r="I43" s="1156">
        <v>1</v>
      </c>
      <c r="J43" s="1156">
        <v>211.06</v>
      </c>
      <c r="K43" s="1156">
        <v>372.19</v>
      </c>
      <c r="L43" s="1156">
        <v>17634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8075E-4ED0-471E-98F6-1BD5E3AC1693}">
  <sheetPr>
    <tabColor rgb="FF7030A0"/>
  </sheetPr>
  <dimension ref="Q1"/>
  <sheetViews>
    <sheetView topLeftCell="A52" workbookViewId="0">
      <selection activeCell="A59" sqref="A59"/>
    </sheetView>
  </sheetViews>
  <sheetFormatPr defaultRowHeight="14.4"/>
  <cols>
    <col min="16" max="16" width="6.5546875" customWidth="1"/>
    <col min="17" max="17" width="8.88671875" hidden="1" customWidth="1"/>
  </cols>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47F6-6D14-4EEC-833D-DDB1EC25D9C1}">
  <sheetPr>
    <tabColor rgb="FF7030A0"/>
  </sheetPr>
  <dimension ref="A1"/>
  <sheetViews>
    <sheetView workbookViewId="0">
      <selection activeCell="Y1" sqref="Y1"/>
    </sheetView>
  </sheetViews>
  <sheetFormatPr defaultRowHeight="14.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363" t="s">
        <v>2317</v>
      </c>
      <c r="K2" s="336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5" t="s">
        <v>2327</v>
      </c>
      <c r="K3" s="336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5" t="s">
        <v>2329</v>
      </c>
      <c r="K4" s="336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71" t="s">
        <v>2333</v>
      </c>
      <c r="B6" s="3372"/>
      <c r="C6" s="3373"/>
      <c r="D6" s="2619"/>
      <c r="E6" s="2620"/>
      <c r="F6" s="2621"/>
      <c r="G6" s="2622"/>
      <c r="H6" s="2597"/>
      <c r="I6" s="2598"/>
      <c r="J6" s="3357">
        <v>1</v>
      </c>
      <c r="K6" s="335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57"/>
      <c r="K7" s="335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4" t="s">
        <v>2347</v>
      </c>
      <c r="C8" s="3375"/>
      <c r="D8" s="2638" t="s">
        <v>2348</v>
      </c>
      <c r="E8" s="2639" t="s">
        <v>2349</v>
      </c>
      <c r="F8" s="2640" t="s">
        <v>2350</v>
      </c>
      <c r="G8" s="2641"/>
      <c r="H8" s="2597"/>
      <c r="I8" s="2598"/>
      <c r="J8" s="3357"/>
      <c r="K8" s="335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4" t="s">
        <v>2353</v>
      </c>
      <c r="C9" s="3375"/>
      <c r="D9" s="2638">
        <f>ROUND(D6*E9,0)</f>
        <v>0</v>
      </c>
      <c r="E9" s="2642"/>
      <c r="F9" s="2643" t="s">
        <v>2354</v>
      </c>
      <c r="G9" s="2622"/>
      <c r="H9" s="2597"/>
      <c r="I9" s="2598"/>
      <c r="J9" s="3357"/>
      <c r="K9" s="3359"/>
      <c r="L9" s="2632" t="s">
        <v>2355</v>
      </c>
      <c r="M9" s="2633"/>
      <c r="N9" s="2609"/>
      <c r="O9" s="2634"/>
      <c r="P9" s="2634"/>
      <c r="Q9" s="2635">
        <v>365</v>
      </c>
      <c r="R9" s="2636">
        <f t="shared" si="0"/>
        <v>0</v>
      </c>
      <c r="S9" s="2590"/>
      <c r="T9" s="2590"/>
      <c r="U9" s="2590"/>
      <c r="V9" s="2598"/>
    </row>
    <row r="10" spans="1:22" s="2602" customFormat="1" ht="13.2" customHeight="1">
      <c r="A10" s="2637">
        <v>2</v>
      </c>
      <c r="B10" s="3374" t="s">
        <v>2356</v>
      </c>
      <c r="C10" s="3375"/>
      <c r="D10" s="2638">
        <f>ROUND(D6*E10,0)</f>
        <v>0</v>
      </c>
      <c r="E10" s="2642"/>
      <c r="F10" s="2643" t="s">
        <v>2357</v>
      </c>
      <c r="G10" s="2622"/>
      <c r="H10" s="2597"/>
      <c r="I10" s="2598"/>
      <c r="J10" s="3357"/>
      <c r="K10" s="3359"/>
      <c r="L10" s="2632" t="s">
        <v>2358</v>
      </c>
      <c r="M10" s="2633"/>
      <c r="N10" s="2609"/>
      <c r="O10" s="2634"/>
      <c r="P10" s="2634"/>
      <c r="Q10" s="2635">
        <v>365</v>
      </c>
      <c r="R10" s="2636">
        <f t="shared" si="0"/>
        <v>0</v>
      </c>
      <c r="S10" s="2590"/>
      <c r="T10" s="2590"/>
      <c r="U10" s="2590"/>
      <c r="V10" s="2598"/>
    </row>
    <row r="11" spans="1:22" s="2602" customFormat="1" ht="13.2" customHeight="1">
      <c r="A11" s="2637">
        <v>3</v>
      </c>
      <c r="B11" s="3374" t="s">
        <v>2359</v>
      </c>
      <c r="C11" s="3375"/>
      <c r="D11" s="2638">
        <f>D12+D14+D15+D16</f>
        <v>0</v>
      </c>
      <c r="E11" s="2644" t="e">
        <f>D11/D6</f>
        <v>#DIV/0!</v>
      </c>
      <c r="F11" s="2640"/>
      <c r="G11" s="2641"/>
      <c r="H11" s="2597"/>
      <c r="I11" s="2598"/>
      <c r="J11" s="3357"/>
      <c r="K11" s="335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67" t="s">
        <v>2362</v>
      </c>
      <c r="C12" s="3368"/>
      <c r="D12" s="2646">
        <f>ROUND(D13*1.2%*(1-30%),0)</f>
        <v>0</v>
      </c>
      <c r="E12" s="2647">
        <v>1.2E-2</v>
      </c>
      <c r="F12" s="2640" t="s">
        <v>2363</v>
      </c>
      <c r="G12" s="2641"/>
      <c r="H12" s="2597"/>
      <c r="I12" s="2598"/>
      <c r="J12" s="3357"/>
      <c r="K12" s="335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57"/>
      <c r="K13" s="335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67" t="s">
        <v>2368</v>
      </c>
      <c r="C14" s="3368"/>
      <c r="D14" s="2646">
        <f>ROUND(E14*B5/10000,0)</f>
        <v>0</v>
      </c>
      <c r="E14" s="2635"/>
      <c r="F14" s="2640" t="s">
        <v>2369</v>
      </c>
      <c r="G14" s="2641"/>
      <c r="H14" s="2597"/>
      <c r="I14" s="2598"/>
      <c r="J14" s="3357"/>
      <c r="K14" s="336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67" t="s">
        <v>2372</v>
      </c>
      <c r="C15" s="3368"/>
      <c r="D15" s="2646">
        <f>ROUND(D6*E15,0)</f>
        <v>0</v>
      </c>
      <c r="E15" s="2647">
        <v>5.5E-2</v>
      </c>
      <c r="F15" s="2640" t="s">
        <v>2373</v>
      </c>
      <c r="G15" s="2622"/>
      <c r="H15" s="2597"/>
      <c r="I15" s="2598"/>
      <c r="J15" s="3357">
        <v>2</v>
      </c>
      <c r="K15" s="335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67" t="s">
        <v>2381</v>
      </c>
      <c r="C16" s="3368"/>
      <c r="D16" s="2657">
        <f>D6*E16</f>
        <v>0</v>
      </c>
      <c r="E16" s="2658"/>
      <c r="F16" s="2643" t="s">
        <v>2382</v>
      </c>
      <c r="G16" s="2622"/>
      <c r="H16" s="2597"/>
      <c r="I16" s="2598"/>
      <c r="J16" s="3357"/>
      <c r="K16" s="335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69" t="s">
        <v>2384</v>
      </c>
      <c r="C17" s="3370"/>
      <c r="D17" s="2660">
        <f>ROUND(D6*E17,0)</f>
        <v>0</v>
      </c>
      <c r="E17" s="2661"/>
      <c r="F17" s="2662" t="s">
        <v>2385</v>
      </c>
      <c r="G17" s="2622"/>
      <c r="H17" s="2597"/>
      <c r="I17" s="2598"/>
      <c r="J17" s="3357"/>
      <c r="K17" s="335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57"/>
      <c r="K18" s="335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57"/>
      <c r="K19" s="336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7">
        <v>3</v>
      </c>
      <c r="K20" s="335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57"/>
      <c r="K21" s="335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57"/>
      <c r="K22" s="335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57"/>
      <c r="K23" s="335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57"/>
      <c r="K24" s="336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6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3" t="s">
        <v>2317</v>
      </c>
      <c r="K32" s="336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5" t="s">
        <v>2327</v>
      </c>
      <c r="K33" s="336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5" t="s">
        <v>2329</v>
      </c>
      <c r="K34" s="336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57">
        <v>1</v>
      </c>
      <c r="K36" s="335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57"/>
      <c r="K40" s="336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6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134.42339999999999</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8070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134.42339999999999</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45852</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51B8-FE7D-4892-BF16-29F309EDB555}">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253.834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15239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1287220</v>
      </c>
      <c r="D5" s="203" t="s">
        <v>1469</v>
      </c>
      <c r="E5" s="204" t="s">
        <v>1470</v>
      </c>
      <c r="F5" s="204" t="s">
        <v>1471</v>
      </c>
      <c r="G5" s="205"/>
    </row>
    <row r="6" spans="1:8" s="206" customFormat="1" ht="13.5" customHeight="1">
      <c r="A6" s="732" t="s">
        <v>1472</v>
      </c>
      <c r="B6" s="207" t="s">
        <v>1473</v>
      </c>
      <c r="C6" s="208">
        <f>ROUND(基准地价修正!C33*基准地价修正!D33,0)</f>
        <v>1216794</v>
      </c>
      <c r="D6" s="209"/>
      <c r="E6" s="210"/>
      <c r="F6" s="210"/>
      <c r="G6" s="211"/>
    </row>
    <row r="7" spans="1:8" s="206" customFormat="1" ht="13.5" customHeight="1">
      <c r="A7" s="732" t="s">
        <v>1474</v>
      </c>
      <c r="B7" s="207" t="s">
        <v>1475</v>
      </c>
      <c r="C7" s="212">
        <f>ROUND(C6*F7,0)</f>
        <v>37112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3444</v>
      </c>
    </row>
    <row r="20" spans="1:7" s="206" customFormat="1" ht="13.5" customHeight="1">
      <c r="A20" s="247" t="s">
        <v>1574</v>
      </c>
      <c r="B20" s="202" t="s">
        <v>1575</v>
      </c>
      <c r="C20" s="224">
        <f ca="1">ROUND((C5+C19)*F20,0)</f>
        <v>25744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79164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78392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772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196945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196945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1721453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835348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749565</v>
      </c>
      <c r="D34" s="209"/>
      <c r="E34" s="212"/>
      <c r="F34" s="249"/>
      <c r="G34" s="211"/>
    </row>
    <row r="35" spans="1:7" ht="13.5" customHeight="1">
      <c r="A35" s="734" t="s">
        <v>351</v>
      </c>
      <c r="B35" s="207" t="s">
        <v>1527</v>
      </c>
      <c r="C35" s="212">
        <f ca="1">ROUND(C34*F35,0)</f>
        <v>37478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14991</v>
      </c>
      <c r="D38" s="212"/>
      <c r="E38" s="212"/>
      <c r="F38" s="251">
        <f>'数据-取费表'!B36</f>
        <v>0.02</v>
      </c>
      <c r="G38" s="211" t="s">
        <v>1528</v>
      </c>
    </row>
    <row r="39" spans="1:7" s="206" customFormat="1" ht="13.5" customHeight="1">
      <c r="A39" s="247" t="s">
        <v>1534</v>
      </c>
      <c r="B39" s="202" t="s">
        <v>1535</v>
      </c>
      <c r="C39" s="224">
        <f ca="1">ROUND(C33*F20,0)</f>
        <v>16707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25561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25060</v>
      </c>
      <c r="D42" s="230"/>
      <c r="E42" s="230"/>
      <c r="F42" s="231"/>
      <c r="G42" s="3349" t="s">
        <v>1591</v>
      </c>
    </row>
    <row r="43" spans="1:7" ht="13.5" customHeight="1">
      <c r="A43" s="734" t="s">
        <v>347</v>
      </c>
      <c r="B43" s="207" t="s">
        <v>1545</v>
      </c>
      <c r="C43" s="230">
        <f ca="1">ROUND(IF('数据-取费表'!B22&lt;=1,C39*F22*'数据-取费表'!B20/2,C39*(POWER((1+F22),'数据-取费表'!B20/2)-1)),0)</f>
        <v>501</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127808</v>
      </c>
      <c r="D45" s="227">
        <f ca="1">C47</f>
        <v>3.0000000000000001E-3</v>
      </c>
      <c r="E45" s="228" t="s">
        <v>1539</v>
      </c>
      <c r="F45" s="238">
        <f ca="1">F27</f>
        <v>0.15</v>
      </c>
      <c r="G45" s="239" t="s">
        <v>1548</v>
      </c>
    </row>
    <row r="46" spans="1:7" s="206" customFormat="1" ht="13.5" customHeight="1">
      <c r="A46" s="734" t="s">
        <v>346</v>
      </c>
      <c r="B46" s="240" t="s">
        <v>1549</v>
      </c>
      <c r="C46" s="241">
        <f ca="1">ROUND((C33+C39)*F27,0)</f>
        <v>127808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1089182</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816887</v>
      </c>
      <c r="D51" s="224"/>
      <c r="E51" s="224"/>
      <c r="F51" s="256"/>
      <c r="G51" s="226" t="s">
        <v>1560</v>
      </c>
    </row>
    <row r="52" spans="1:7" s="200" customFormat="1" ht="16.8" thickBot="1">
      <c r="A52" s="257" t="s">
        <v>1561</v>
      </c>
      <c r="B52" s="258"/>
      <c r="C52" s="259">
        <f ca="1">C31+C51</f>
        <v>2538340</v>
      </c>
      <c r="D52" s="258"/>
      <c r="E52" s="258"/>
      <c r="F52" s="258"/>
      <c r="G52" s="260"/>
    </row>
    <row r="55" spans="1:7" ht="15">
      <c r="B55" s="262" t="s">
        <v>1562</v>
      </c>
      <c r="C55" s="263"/>
    </row>
    <row r="56" spans="1:7">
      <c r="B56" s="265" t="s">
        <v>802</v>
      </c>
      <c r="C56" s="267">
        <f ca="1">1-C57</f>
        <v>0.67799999999999994</v>
      </c>
    </row>
    <row r="57" spans="1:7">
      <c r="B57" s="265" t="s">
        <v>803</v>
      </c>
      <c r="C57" s="266">
        <f ca="1">ROUND(C51/C52,3)</f>
        <v>0.32200000000000001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381"/>
      <c r="Q10" s="530" t="str">
        <f t="shared" si="6"/>
        <v>土地使用年限（年）</v>
      </c>
      <c r="R10" s="664" t="s">
        <v>14</v>
      </c>
      <c r="S10" s="665">
        <f t="shared" si="0"/>
        <v>120</v>
      </c>
      <c r="T10" s="664" t="s">
        <v>14</v>
      </c>
      <c r="U10" s="665">
        <f t="shared" si="1"/>
        <v>120</v>
      </c>
      <c r="V10" s="664" t="s">
        <v>14</v>
      </c>
      <c r="W10" s="665">
        <f t="shared" si="2"/>
        <v>120</v>
      </c>
      <c r="X10" s="666"/>
      <c r="Y10" s="325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45852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381"/>
      <c r="Q10" s="530" t="str">
        <f t="shared" si="6"/>
        <v>土地使用年限（年）</v>
      </c>
      <c r="R10" s="664" t="s">
        <v>14</v>
      </c>
      <c r="S10" s="665">
        <f t="shared" si="0"/>
        <v>120</v>
      </c>
      <c r="T10" s="664" t="s">
        <v>14</v>
      </c>
      <c r="U10" s="665">
        <f t="shared" si="1"/>
        <v>120</v>
      </c>
      <c r="V10" s="664" t="s">
        <v>14</v>
      </c>
      <c r="W10" s="665">
        <f t="shared" si="2"/>
        <v>120</v>
      </c>
      <c r="X10" s="666"/>
      <c r="Y10" s="325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122</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7324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122</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结果表!H101</f>
        <v>171</v>
      </c>
    </row>
    <row r="6" spans="1:5" ht="15.6">
      <c r="B6" s="3169"/>
      <c r="C6" s="1392" t="s">
        <v>911</v>
      </c>
      <c r="D6" s="797" t="str">
        <f ca="1">NUMBERSTRING(INT(D5*10000),2)&amp;"元整"</f>
        <v>壹佰柒拾壹万元整</v>
      </c>
    </row>
    <row r="7" spans="1:5" ht="15.6">
      <c r="B7" s="3174"/>
      <c r="C7" s="1393" t="s">
        <v>912</v>
      </c>
      <c r="D7" s="798">
        <f ca="1">结果表!H102</f>
        <v>10266</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f ca="1">结果表!H107</f>
        <v>171</v>
      </c>
    </row>
    <row r="14" spans="1:5" ht="15.6">
      <c r="B14" s="3169"/>
      <c r="C14" s="1392" t="s">
        <v>911</v>
      </c>
      <c r="D14" s="797" t="str">
        <f ca="1">NUMBERSTRING(INT(D13*10000),2)&amp;"元整"</f>
        <v>壹佰柒拾壹万元整</v>
      </c>
    </row>
    <row r="15" spans="1:5" ht="15.6">
      <c r="B15" s="3174"/>
      <c r="C15" s="1393" t="s">
        <v>921</v>
      </c>
      <c r="D15" s="806">
        <f ca="1">结果表!H108</f>
        <v>10266</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v>
      </c>
      <c r="C19" s="1397" t="s">
        <v>910</v>
      </c>
      <c r="D19" s="798" t="str">
        <f>结果表!H111</f>
        <v>——</v>
      </c>
    </row>
    <row r="20" spans="1:5" ht="15.6">
      <c r="B20" s="3169"/>
      <c r="C20" s="1392" t="s">
        <v>923</v>
      </c>
      <c r="D20" s="797" t="e">
        <f>NUMBERSTRING(INT(D19*10000),2)&amp;"元整"</f>
        <v>#VALUE!</v>
      </c>
    </row>
    <row r="21" spans="1:5" ht="16.2" thickBot="1">
      <c r="B21" s="317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122</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11703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7324</v>
      </c>
      <c r="C3" s="1846" t="s">
        <v>1941</v>
      </c>
      <c r="D3" s="162" t="s">
        <v>1942</v>
      </c>
      <c r="E3" s="3116" t="s">
        <v>3413</v>
      </c>
      <c r="F3" s="1848" t="s">
        <v>3435</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9225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7796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8961</v>
      </c>
      <c r="D5" s="1252">
        <f>ROUND(C6*C17+C20,0)</f>
        <v>8700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6876</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6608</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4" t="s">
        <v>3254</v>
      </c>
      <c r="B20" s="159" t="s">
        <v>1994</v>
      </c>
      <c r="C20" s="3029">
        <f>ROUND(IF(F21="与级别开发程度一致",0,(G21-E21)/C21),0)</f>
        <v>0</v>
      </c>
      <c r="D20" s="3044" t="s">
        <v>1998</v>
      </c>
      <c r="E20" s="3045"/>
      <c r="F20" s="3470" t="s">
        <v>1995</v>
      </c>
      <c r="G20" s="347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08" t="s">
        <v>3436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45852</v>
      </c>
      <c r="H23" s="3046" t="s">
        <v>3255</v>
      </c>
      <c r="I23" s="3047" t="str">
        <f>IF(H23="季度增幅（自定义）",SUMIF(N25:N28,E2,O25:O28),"")</f>
        <v/>
      </c>
      <c r="J23" s="3139" t="s">
        <v>3437</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0.84819999999999995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122</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7305</v>
      </c>
      <c r="D33" s="1940">
        <f>'数据-汇总表'!E19</f>
        <v>166.57</v>
      </c>
      <c r="E33" s="727">
        <f>ROUND(C33*D33/10000,0)</f>
        <v>122</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1826</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f>ROUND(D5*C22*C23*C24*C28*F37,0)</f>
        <v>4539</v>
      </c>
      <c r="D37" s="1940"/>
      <c r="E37" s="163">
        <f>ROUND(C37*D37/10000,0)</f>
        <v>0</v>
      </c>
      <c r="F37" s="163">
        <f>SUMIF(修正!A59:A70,G2,修正!B59:B70)</f>
        <v>0.6</v>
      </c>
      <c r="G37" s="163">
        <f>ROUND(IF(E2="工业",C37*$M$42,C37*$M$41),0)</f>
        <v>1135</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2270</v>
      </c>
      <c r="D38" s="1940"/>
      <c r="E38" s="163">
        <f t="shared" ref="E38:E42" si="4">ROUND(C38*D38/10000,0)</f>
        <v>0</v>
      </c>
      <c r="F38" s="163">
        <f>SUMIF(修正!A59:A70,G2,修正!C59:C70)</f>
        <v>0.3</v>
      </c>
      <c r="G38" s="163">
        <f>ROUND(IF(E2="工业",C38*$M$42,C38*$M$41),0)</f>
        <v>568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3258</v>
      </c>
      <c r="C39" s="167">
        <f>ROUND(D5*C22*C23*C24*C28*F39,0)</f>
        <v>1891</v>
      </c>
      <c r="D39" s="1940"/>
      <c r="E39" s="163">
        <f t="shared" si="4"/>
        <v>0</v>
      </c>
      <c r="F39" s="163">
        <f>SUMIF(修正!A59:A70,G2,修正!D59:D70)</f>
        <v>0.25</v>
      </c>
      <c r="G39" s="163">
        <f>ROUND(IF(E2="工业",C39*$M$42,C39*$M$41),0)</f>
        <v>473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1891</v>
      </c>
      <c r="D40" s="1940"/>
      <c r="E40" s="163">
        <f t="shared" si="4"/>
        <v>0</v>
      </c>
      <c r="F40" s="167">
        <f>SUMIF(修正!A59:A70,G2,修正!E59:E70)</f>
        <v>0.25</v>
      </c>
      <c r="G40" s="163">
        <f>ROUND(IF(E2="工业",C40*$M$42,C40*$M$41),0)</f>
        <v>473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3438</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3438</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3438</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3438</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3438</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3438</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3440</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3438</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6" t="s">
        <v>3293</v>
      </c>
      <c r="B103" s="3466"/>
      <c r="C103" s="3466"/>
      <c r="D103" s="3466"/>
      <c r="E103" s="3466"/>
      <c r="F103" s="3466"/>
      <c r="G103" s="3466"/>
      <c r="H103" s="3466"/>
      <c r="I103" s="3466"/>
      <c r="J103" s="3466"/>
      <c r="K103" s="1667"/>
      <c r="L103" s="1667"/>
      <c r="M103" s="1667"/>
      <c r="N103" s="1667"/>
    </row>
    <row r="104" spans="1:14">
      <c r="A104" s="3467" t="s">
        <v>3294</v>
      </c>
      <c r="B104" s="3467" t="s">
        <v>3295</v>
      </c>
      <c r="C104" s="3088" t="s">
        <v>3296</v>
      </c>
      <c r="D104" s="3089"/>
      <c r="E104" s="3089"/>
      <c r="F104" s="3089"/>
      <c r="G104" s="3089"/>
      <c r="H104" s="3089"/>
      <c r="I104" s="3089"/>
      <c r="J104" s="3090"/>
      <c r="K104" s="3091"/>
      <c r="L104" s="3091"/>
      <c r="M104" s="3091"/>
      <c r="N104" s="3091"/>
    </row>
    <row r="105" spans="1:14">
      <c r="A105" s="3467"/>
      <c r="B105" s="3467"/>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53"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4"/>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6" t="s">
        <v>3310</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3" t="s">
        <v>2607</v>
      </c>
      <c r="B20" s="3476" t="s">
        <v>2628</v>
      </c>
      <c r="C20" s="3166" t="s">
        <v>2439</v>
      </c>
      <c r="D20" s="3166"/>
      <c r="E20" s="2842">
        <v>1</v>
      </c>
      <c r="F20" s="2843" t="s">
        <v>2440</v>
      </c>
      <c r="G20" s="2843"/>
    </row>
    <row r="21" spans="1:13" ht="19.5" customHeight="1">
      <c r="A21" s="3484"/>
      <c r="B21" s="3472"/>
      <c r="C21" s="2855" t="s">
        <v>2441</v>
      </c>
      <c r="D21" s="2855"/>
      <c r="E21" s="2846">
        <v>1</v>
      </c>
      <c r="F21" s="2843" t="s">
        <v>2442</v>
      </c>
      <c r="G21" s="2843"/>
    </row>
    <row r="22" spans="1:13" ht="19.5" customHeight="1">
      <c r="A22" s="3484"/>
      <c r="B22" s="3472"/>
      <c r="C22" s="2855" t="s">
        <v>2443</v>
      </c>
      <c r="D22" s="2855"/>
      <c r="E22" s="2846">
        <v>0.9</v>
      </c>
      <c r="F22" s="2843" t="s">
        <v>2444</v>
      </c>
      <c r="G22" s="2843"/>
    </row>
    <row r="23" spans="1:13" ht="19.5" customHeight="1">
      <c r="A23" s="3484"/>
      <c r="B23" s="3472"/>
      <c r="C23" s="2855" t="s">
        <v>2445</v>
      </c>
      <c r="D23" s="2855"/>
      <c r="E23" s="2846">
        <v>0.9</v>
      </c>
      <c r="F23" s="2843" t="s">
        <v>2446</v>
      </c>
      <c r="G23" s="2843"/>
    </row>
    <row r="24" spans="1:13" ht="19.5" customHeight="1">
      <c r="A24" s="3484"/>
      <c r="B24" s="3472"/>
      <c r="C24" s="2855" t="s">
        <v>2447</v>
      </c>
      <c r="D24" s="2855"/>
      <c r="E24" s="2846">
        <v>0.8</v>
      </c>
      <c r="F24" s="2843" t="s">
        <v>2448</v>
      </c>
      <c r="G24" s="2843"/>
    </row>
    <row r="25" spans="1:13" ht="19.5" customHeight="1">
      <c r="A25" s="3484"/>
      <c r="B25" s="3472"/>
      <c r="C25" s="2855" t="s">
        <v>2449</v>
      </c>
      <c r="D25" s="2855"/>
      <c r="E25" s="2846">
        <v>0.8</v>
      </c>
      <c r="F25" s="2843"/>
      <c r="G25" s="2843"/>
    </row>
    <row r="26" spans="1:13" ht="19.5" customHeight="1">
      <c r="A26" s="3484"/>
      <c r="B26" s="3472"/>
      <c r="C26" s="2855" t="s">
        <v>3411</v>
      </c>
      <c r="D26" s="2855"/>
      <c r="E26" s="2846">
        <v>0.43</v>
      </c>
      <c r="F26" s="2843"/>
      <c r="G26" s="2843"/>
    </row>
    <row r="27" spans="1:13" ht="19.5" customHeight="1" thickBot="1">
      <c r="A27" s="3485"/>
      <c r="B27" s="3477"/>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8" t="s">
        <v>2631</v>
      </c>
      <c r="B29" s="3481" t="s">
        <v>2612</v>
      </c>
      <c r="C29" s="2840" t="s">
        <v>2452</v>
      </c>
      <c r="D29" s="2841"/>
      <c r="E29" s="2842">
        <v>1</v>
      </c>
      <c r="F29" s="2843" t="s">
        <v>2453</v>
      </c>
      <c r="G29" s="2843"/>
    </row>
    <row r="30" spans="1:13" ht="19.5" customHeight="1">
      <c r="A30" s="3479"/>
      <c r="B30" s="3475"/>
      <c r="C30" s="2844" t="s">
        <v>2454</v>
      </c>
      <c r="D30" s="2845"/>
      <c r="E30" s="2846">
        <v>1</v>
      </c>
      <c r="F30" s="2843" t="s">
        <v>2455</v>
      </c>
      <c r="G30" s="2843"/>
    </row>
    <row r="31" spans="1:13" ht="19.5" customHeight="1">
      <c r="A31" s="3479"/>
      <c r="B31" s="3475"/>
      <c r="C31" s="2844" t="s">
        <v>2456</v>
      </c>
      <c r="D31" s="2845"/>
      <c r="E31" s="2846">
        <v>0.8</v>
      </c>
      <c r="F31" s="2843" t="s">
        <v>2457</v>
      </c>
      <c r="G31" s="2843"/>
    </row>
    <row r="32" spans="1:13" ht="19.5" customHeight="1">
      <c r="A32" s="3479"/>
      <c r="B32" s="3475"/>
      <c r="C32" s="2844" t="s">
        <v>2458</v>
      </c>
      <c r="D32" s="2845"/>
      <c r="E32" s="2846">
        <v>0.8</v>
      </c>
      <c r="F32" s="2843" t="s">
        <v>2459</v>
      </c>
      <c r="G32" s="2843"/>
    </row>
    <row r="33" spans="1:7" ht="19.5" customHeight="1">
      <c r="A33" s="3479"/>
      <c r="B33" s="3475"/>
      <c r="C33" s="2844" t="s">
        <v>2460</v>
      </c>
      <c r="D33" s="2845"/>
      <c r="E33" s="2846">
        <v>0.8</v>
      </c>
      <c r="F33" s="2843" t="s">
        <v>2461</v>
      </c>
      <c r="G33" s="2843"/>
    </row>
    <row r="34" spans="1:7" ht="19.5" customHeight="1">
      <c r="A34" s="3479"/>
      <c r="B34" s="3475"/>
      <c r="C34" s="2844" t="s">
        <v>2462</v>
      </c>
      <c r="D34" s="2845"/>
      <c r="E34" s="2846">
        <v>0.7</v>
      </c>
      <c r="F34" s="2843" t="s">
        <v>2463</v>
      </c>
      <c r="G34" s="2843"/>
    </row>
    <row r="35" spans="1:7" ht="19.5" customHeight="1">
      <c r="A35" s="3479"/>
      <c r="B35" s="3475"/>
      <c r="C35" s="2844" t="s">
        <v>2464</v>
      </c>
      <c r="D35" s="2845"/>
      <c r="E35" s="2846">
        <v>0.8</v>
      </c>
      <c r="F35" s="2843" t="s">
        <v>2465</v>
      </c>
      <c r="G35" s="2843"/>
    </row>
    <row r="36" spans="1:7" ht="19.5" customHeight="1">
      <c r="A36" s="3479"/>
      <c r="B36" s="3475"/>
      <c r="C36" s="2844" t="s">
        <v>2466</v>
      </c>
      <c r="D36" s="2845"/>
      <c r="E36" s="2846">
        <v>0.6</v>
      </c>
      <c r="F36" s="2843" t="s">
        <v>2467</v>
      </c>
      <c r="G36" s="2843"/>
    </row>
    <row r="37" spans="1:7" ht="19.5" customHeight="1">
      <c r="A37" s="3479"/>
      <c r="B37" s="3475"/>
      <c r="C37" s="2844" t="s">
        <v>2468</v>
      </c>
      <c r="D37" s="2845"/>
      <c r="E37" s="2846">
        <v>0.2</v>
      </c>
      <c r="F37" s="2843" t="s">
        <v>2469</v>
      </c>
      <c r="G37" s="2843"/>
    </row>
    <row r="38" spans="1:7" ht="19.5" customHeight="1">
      <c r="A38" s="3479"/>
      <c r="B38" s="3475"/>
      <c r="C38" s="2844" t="s">
        <v>2470</v>
      </c>
      <c r="D38" s="2845"/>
      <c r="E38" s="2846">
        <v>0.2</v>
      </c>
      <c r="F38" s="2843" t="s">
        <v>2471</v>
      </c>
      <c r="G38" s="2843"/>
    </row>
    <row r="39" spans="1:7" ht="19.5" customHeight="1">
      <c r="A39" s="3479"/>
      <c r="B39" s="3473" t="s">
        <v>2632</v>
      </c>
      <c r="C39" s="2844" t="s">
        <v>2472</v>
      </c>
      <c r="D39" s="2845"/>
      <c r="E39" s="2846">
        <v>0.6</v>
      </c>
      <c r="F39" s="2843" t="s">
        <v>2473</v>
      </c>
      <c r="G39" s="2843"/>
    </row>
    <row r="40" spans="1:7" ht="19.5" customHeight="1">
      <c r="A40" s="3479"/>
      <c r="B40" s="3475"/>
      <c r="C40" s="2844" t="s">
        <v>2474</v>
      </c>
      <c r="D40" s="2845"/>
      <c r="E40" s="2846">
        <v>0.6</v>
      </c>
      <c r="F40" s="2843" t="s">
        <v>2475</v>
      </c>
      <c r="G40" s="2843"/>
    </row>
    <row r="41" spans="1:7" ht="19.5" customHeight="1" thickBot="1">
      <c r="A41" s="3480"/>
      <c r="B41" s="348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3" t="s">
        <v>2610</v>
      </c>
      <c r="B43" s="3481" t="s">
        <v>2634</v>
      </c>
      <c r="C43" s="2840" t="s">
        <v>2479</v>
      </c>
      <c r="D43" s="2841"/>
      <c r="E43" s="2842">
        <v>1</v>
      </c>
      <c r="F43" s="2843" t="s">
        <v>2480</v>
      </c>
      <c r="G43" s="2843"/>
    </row>
    <row r="44" spans="1:7" ht="19.5" customHeight="1">
      <c r="A44" s="3484"/>
      <c r="B44" s="3475"/>
      <c r="C44" s="2844" t="s">
        <v>2481</v>
      </c>
      <c r="D44" s="2845"/>
      <c r="E44" s="2846">
        <v>1</v>
      </c>
      <c r="F44" s="2843" t="s">
        <v>2482</v>
      </c>
      <c r="G44" s="2843"/>
    </row>
    <row r="45" spans="1:7" ht="19.5" customHeight="1">
      <c r="A45" s="3484"/>
      <c r="B45" s="3474"/>
      <c r="C45" s="2844" t="s">
        <v>2483</v>
      </c>
      <c r="D45" s="2845"/>
      <c r="E45" s="2846">
        <v>1.5</v>
      </c>
      <c r="F45" s="2843" t="s">
        <v>2484</v>
      </c>
      <c r="G45" s="2843"/>
    </row>
    <row r="46" spans="1:7" ht="19.5" customHeight="1">
      <c r="A46" s="3484"/>
      <c r="B46" s="2855" t="s">
        <v>2635</v>
      </c>
      <c r="C46" s="2844" t="s">
        <v>2636</v>
      </c>
      <c r="D46" s="2845"/>
      <c r="E46" s="2846">
        <v>2</v>
      </c>
      <c r="F46" s="2843" t="s">
        <v>2485</v>
      </c>
      <c r="G46" s="2843"/>
    </row>
    <row r="47" spans="1:7" ht="19.5" customHeight="1">
      <c r="A47" s="3484"/>
      <c r="B47" s="3473" t="s">
        <v>2637</v>
      </c>
      <c r="C47" s="2844" t="s">
        <v>2486</v>
      </c>
      <c r="D47" s="2845"/>
      <c r="E47" s="2846">
        <v>1</v>
      </c>
      <c r="F47" s="2843" t="s">
        <v>2487</v>
      </c>
      <c r="G47" s="2843"/>
    </row>
    <row r="48" spans="1:7" ht="19.5" customHeight="1">
      <c r="A48" s="3484"/>
      <c r="B48" s="3475"/>
      <c r="C48" s="2844" t="s">
        <v>2488</v>
      </c>
      <c r="D48" s="2845"/>
      <c r="E48" s="2846">
        <v>1</v>
      </c>
      <c r="F48" s="2843" t="s">
        <v>2489</v>
      </c>
      <c r="G48" s="2843"/>
    </row>
    <row r="49" spans="1:7" ht="19.5" customHeight="1">
      <c r="A49" s="3484"/>
      <c r="B49" s="3475"/>
      <c r="C49" s="2844" t="s">
        <v>2490</v>
      </c>
      <c r="D49" s="2845"/>
      <c r="E49" s="2846">
        <v>1</v>
      </c>
      <c r="F49" s="2843" t="s">
        <v>2491</v>
      </c>
      <c r="G49" s="2843"/>
    </row>
    <row r="50" spans="1:7" ht="19.5" customHeight="1">
      <c r="A50" s="3484"/>
      <c r="B50" s="3475"/>
      <c r="C50" s="2844" t="s">
        <v>2492</v>
      </c>
      <c r="D50" s="2845"/>
      <c r="E50" s="2846">
        <v>1</v>
      </c>
      <c r="F50" s="2843" t="s">
        <v>2493</v>
      </c>
      <c r="G50" s="2843"/>
    </row>
    <row r="51" spans="1:7" ht="19.5" customHeight="1">
      <c r="A51" s="3484"/>
      <c r="B51" s="3475"/>
      <c r="C51" s="2844" t="s">
        <v>2494</v>
      </c>
      <c r="D51" s="2845"/>
      <c r="E51" s="2846">
        <v>1</v>
      </c>
      <c r="F51" s="2843" t="s">
        <v>2495</v>
      </c>
      <c r="G51" s="2843"/>
    </row>
    <row r="52" spans="1:7" ht="19.5" customHeight="1">
      <c r="A52" s="3484"/>
      <c r="B52" s="3475"/>
      <c r="C52" s="2844" t="s">
        <v>2496</v>
      </c>
      <c r="D52" s="2845"/>
      <c r="E52" s="2846">
        <v>1</v>
      </c>
      <c r="F52" s="2843" t="s">
        <v>2497</v>
      </c>
      <c r="G52" s="2843"/>
    </row>
    <row r="53" spans="1:7" ht="19.5" customHeight="1" thickBot="1">
      <c r="A53" s="3485"/>
      <c r="B53" s="348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73" t="s">
        <v>2651</v>
      </c>
      <c r="C75" s="2829" t="s">
        <v>2652</v>
      </c>
      <c r="D75" s="2829" t="s">
        <v>2653</v>
      </c>
      <c r="E75" s="2855">
        <v>0.2</v>
      </c>
      <c r="F75" s="2855">
        <v>25</v>
      </c>
    </row>
    <row r="76" spans="1:7" ht="24">
      <c r="A76" s="2855">
        <v>2</v>
      </c>
      <c r="B76" s="3475"/>
      <c r="C76" s="2829" t="s">
        <v>2654</v>
      </c>
      <c r="D76" s="2829" t="s">
        <v>2655</v>
      </c>
      <c r="E76" s="2855">
        <v>0.2</v>
      </c>
      <c r="F76" s="2855">
        <v>25</v>
      </c>
    </row>
    <row r="77" spans="1:7" ht="24">
      <c r="A77" s="2855">
        <v>3</v>
      </c>
      <c r="B77" s="3475"/>
      <c r="C77" s="2829" t="s">
        <v>2656</v>
      </c>
      <c r="D77" s="2829" t="s">
        <v>2657</v>
      </c>
      <c r="E77" s="2855">
        <v>0.2</v>
      </c>
      <c r="F77" s="2855">
        <v>25</v>
      </c>
    </row>
    <row r="78" spans="1:7" ht="14.4">
      <c r="A78" s="2855">
        <v>4</v>
      </c>
      <c r="B78" s="3475"/>
      <c r="C78" s="2829" t="s">
        <v>2658</v>
      </c>
      <c r="D78" s="2829" t="s">
        <v>2659</v>
      </c>
      <c r="E78" s="2855">
        <v>0.15</v>
      </c>
      <c r="F78" s="2855">
        <v>20</v>
      </c>
    </row>
    <row r="79" spans="1:7" ht="24">
      <c r="A79" s="2855">
        <v>5</v>
      </c>
      <c r="B79" s="3475"/>
      <c r="C79" s="2829" t="s">
        <v>2660</v>
      </c>
      <c r="D79" s="2829" t="s">
        <v>2661</v>
      </c>
      <c r="E79" s="2855">
        <v>0.15</v>
      </c>
      <c r="F79" s="2855">
        <v>20</v>
      </c>
    </row>
    <row r="80" spans="1:7" ht="24">
      <c r="A80" s="2855">
        <v>6</v>
      </c>
      <c r="B80" s="3475"/>
      <c r="C80" s="2829" t="s">
        <v>2662</v>
      </c>
      <c r="D80" s="2829" t="s">
        <v>2663</v>
      </c>
      <c r="E80" s="2855">
        <v>0.15</v>
      </c>
      <c r="F80" s="2855">
        <v>20</v>
      </c>
    </row>
    <row r="81" spans="1:6" ht="24">
      <c r="A81" s="2855">
        <v>7</v>
      </c>
      <c r="B81" s="3475"/>
      <c r="C81" s="2829" t="s">
        <v>2664</v>
      </c>
      <c r="D81" s="2829" t="s">
        <v>2665</v>
      </c>
      <c r="E81" s="2855">
        <v>0.15</v>
      </c>
      <c r="F81" s="2855">
        <v>20</v>
      </c>
    </row>
    <row r="82" spans="1:6" ht="24">
      <c r="A82" s="2855">
        <v>8</v>
      </c>
      <c r="B82" s="3475"/>
      <c r="C82" s="2829" t="s">
        <v>2666</v>
      </c>
      <c r="D82" s="2829" t="s">
        <v>2667</v>
      </c>
      <c r="E82" s="2855">
        <v>0.1</v>
      </c>
      <c r="F82" s="2855">
        <v>15</v>
      </c>
    </row>
    <row r="83" spans="1:6" ht="24">
      <c r="A83" s="2855">
        <v>9</v>
      </c>
      <c r="B83" s="3475"/>
      <c r="C83" s="2829" t="s">
        <v>2668</v>
      </c>
      <c r="D83" s="2829" t="s">
        <v>2669</v>
      </c>
      <c r="E83" s="2855">
        <v>0.1</v>
      </c>
      <c r="F83" s="2855">
        <v>15</v>
      </c>
    </row>
    <row r="84" spans="1:6" ht="24">
      <c r="A84" s="2855">
        <v>10</v>
      </c>
      <c r="B84" s="3475"/>
      <c r="C84" s="2829" t="s">
        <v>2670</v>
      </c>
      <c r="D84" s="2829" t="s">
        <v>2671</v>
      </c>
      <c r="E84" s="2855">
        <v>0.1</v>
      </c>
      <c r="F84" s="2855">
        <v>15</v>
      </c>
    </row>
    <row r="85" spans="1:6" ht="24">
      <c r="A85" s="2855">
        <v>11</v>
      </c>
      <c r="B85" s="3475"/>
      <c r="C85" s="2829" t="s">
        <v>2672</v>
      </c>
      <c r="D85" s="2829" t="s">
        <v>2673</v>
      </c>
      <c r="E85" s="2855">
        <v>0.1</v>
      </c>
      <c r="F85" s="2855">
        <v>15</v>
      </c>
    </row>
    <row r="86" spans="1:6" ht="24">
      <c r="A86" s="2855">
        <v>12</v>
      </c>
      <c r="B86" s="3475"/>
      <c r="C86" s="2829" t="s">
        <v>2674</v>
      </c>
      <c r="D86" s="2829" t="s">
        <v>2675</v>
      </c>
      <c r="E86" s="2855">
        <v>0.1</v>
      </c>
      <c r="F86" s="2855">
        <v>15</v>
      </c>
    </row>
    <row r="87" spans="1:6" ht="24">
      <c r="A87" s="2855">
        <v>13</v>
      </c>
      <c r="B87" s="3475"/>
      <c r="C87" s="2829" t="s">
        <v>2676</v>
      </c>
      <c r="D87" s="2829" t="s">
        <v>2677</v>
      </c>
      <c r="E87" s="2855">
        <v>0.1</v>
      </c>
      <c r="F87" s="2855">
        <v>15</v>
      </c>
    </row>
    <row r="88" spans="1:6" ht="24">
      <c r="A88" s="2855">
        <v>14</v>
      </c>
      <c r="B88" s="3475"/>
      <c r="C88" s="2829" t="s">
        <v>2678</v>
      </c>
      <c r="D88" s="2829" t="s">
        <v>2679</v>
      </c>
      <c r="E88" s="2855">
        <v>0.1</v>
      </c>
      <c r="F88" s="2855">
        <v>15</v>
      </c>
    </row>
    <row r="89" spans="1:6" ht="24">
      <c r="A89" s="2855">
        <v>15</v>
      </c>
      <c r="B89" s="3475"/>
      <c r="C89" s="2829" t="s">
        <v>2680</v>
      </c>
      <c r="D89" s="2829" t="s">
        <v>2681</v>
      </c>
      <c r="E89" s="2855">
        <v>0.1</v>
      </c>
      <c r="F89" s="2855">
        <v>15</v>
      </c>
    </row>
    <row r="90" spans="1:6" ht="24">
      <c r="A90" s="2855">
        <v>16</v>
      </c>
      <c r="B90" s="3475"/>
      <c r="C90" s="2829" t="s">
        <v>2682</v>
      </c>
      <c r="D90" s="2829" t="s">
        <v>2683</v>
      </c>
      <c r="E90" s="2855">
        <v>0.1</v>
      </c>
      <c r="F90" s="2855">
        <v>15</v>
      </c>
    </row>
    <row r="91" spans="1:6" ht="24">
      <c r="A91" s="2855">
        <v>17</v>
      </c>
      <c r="B91" s="3474"/>
      <c r="C91" s="2829" t="s">
        <v>2684</v>
      </c>
      <c r="D91" s="2829" t="s">
        <v>2685</v>
      </c>
      <c r="E91" s="2855">
        <v>0.1</v>
      </c>
      <c r="F91" s="2855">
        <v>15</v>
      </c>
    </row>
    <row r="92" spans="1:6" ht="14.4">
      <c r="A92" s="2855">
        <v>18</v>
      </c>
      <c r="B92" s="3473" t="s">
        <v>2686</v>
      </c>
      <c r="C92" s="2829" t="s">
        <v>2687</v>
      </c>
      <c r="D92" s="2829" t="s">
        <v>2688</v>
      </c>
      <c r="E92" s="2855">
        <v>0.2</v>
      </c>
      <c r="F92" s="2855">
        <v>25</v>
      </c>
    </row>
    <row r="93" spans="1:6" ht="24">
      <c r="A93" s="2855">
        <v>19</v>
      </c>
      <c r="B93" s="3475"/>
      <c r="C93" s="2829" t="s">
        <v>2689</v>
      </c>
      <c r="D93" s="2829" t="s">
        <v>2690</v>
      </c>
      <c r="E93" s="2855">
        <v>0.2</v>
      </c>
      <c r="F93" s="2855">
        <v>25</v>
      </c>
    </row>
    <row r="94" spans="1:6" ht="14.4">
      <c r="A94" s="2855">
        <v>20</v>
      </c>
      <c r="B94" s="3475"/>
      <c r="C94" s="2829" t="s">
        <v>2691</v>
      </c>
      <c r="D94" s="2829" t="s">
        <v>2692</v>
      </c>
      <c r="E94" s="2855">
        <v>0.15</v>
      </c>
      <c r="F94" s="2855">
        <v>20</v>
      </c>
    </row>
    <row r="95" spans="1:6" ht="24">
      <c r="A95" s="2855">
        <v>21</v>
      </c>
      <c r="B95" s="3475"/>
      <c r="C95" s="2829" t="s">
        <v>2693</v>
      </c>
      <c r="D95" s="2829" t="s">
        <v>2694</v>
      </c>
      <c r="E95" s="2855">
        <v>0.15</v>
      </c>
      <c r="F95" s="2855">
        <v>20</v>
      </c>
    </row>
    <row r="96" spans="1:6" ht="24">
      <c r="A96" s="2855">
        <v>22</v>
      </c>
      <c r="B96" s="3475"/>
      <c r="C96" s="2829" t="s">
        <v>2695</v>
      </c>
      <c r="D96" s="2829" t="s">
        <v>2696</v>
      </c>
      <c r="E96" s="2855">
        <v>0.15</v>
      </c>
      <c r="F96" s="2855">
        <v>20</v>
      </c>
    </row>
    <row r="97" spans="1:6" ht="36">
      <c r="A97" s="2855">
        <v>23</v>
      </c>
      <c r="B97" s="3475"/>
      <c r="C97" s="2829" t="s">
        <v>2697</v>
      </c>
      <c r="D97" s="2829" t="s">
        <v>2698</v>
      </c>
      <c r="E97" s="2855">
        <v>0.15</v>
      </c>
      <c r="F97" s="2855">
        <v>20</v>
      </c>
    </row>
    <row r="98" spans="1:6" ht="24">
      <c r="A98" s="2855">
        <v>24</v>
      </c>
      <c r="B98" s="3475"/>
      <c r="C98" s="2829" t="s">
        <v>2699</v>
      </c>
      <c r="D98" s="2829" t="s">
        <v>2700</v>
      </c>
      <c r="E98" s="2855">
        <v>0.1</v>
      </c>
      <c r="F98" s="2855">
        <v>15</v>
      </c>
    </row>
    <row r="99" spans="1:6" ht="24">
      <c r="A99" s="2855">
        <v>25</v>
      </c>
      <c r="B99" s="3475"/>
      <c r="C99" s="2829" t="s">
        <v>2701</v>
      </c>
      <c r="D99" s="2829" t="s">
        <v>2702</v>
      </c>
      <c r="E99" s="2855">
        <v>0.1</v>
      </c>
      <c r="F99" s="2855">
        <v>15</v>
      </c>
    </row>
    <row r="100" spans="1:6" ht="24">
      <c r="A100" s="2855">
        <v>26</v>
      </c>
      <c r="B100" s="3475"/>
      <c r="C100" s="2829" t="s">
        <v>2703</v>
      </c>
      <c r="D100" s="2829" t="s">
        <v>2704</v>
      </c>
      <c r="E100" s="2855">
        <v>0.1</v>
      </c>
      <c r="F100" s="2855">
        <v>15</v>
      </c>
    </row>
    <row r="101" spans="1:6" ht="24">
      <c r="A101" s="2855">
        <v>27</v>
      </c>
      <c r="B101" s="3475"/>
      <c r="C101" s="2829" t="s">
        <v>2705</v>
      </c>
      <c r="D101" s="2829" t="s">
        <v>2706</v>
      </c>
      <c r="E101" s="2855">
        <v>0.1</v>
      </c>
      <c r="F101" s="2855">
        <v>15</v>
      </c>
    </row>
    <row r="102" spans="1:6" ht="24">
      <c r="A102" s="2855">
        <v>28</v>
      </c>
      <c r="B102" s="3475"/>
      <c r="C102" s="2829" t="s">
        <v>2707</v>
      </c>
      <c r="D102" s="2829" t="s">
        <v>2708</v>
      </c>
      <c r="E102" s="2855">
        <v>0.1</v>
      </c>
      <c r="F102" s="2855">
        <v>15</v>
      </c>
    </row>
    <row r="103" spans="1:6" ht="24">
      <c r="A103" s="2855">
        <v>29</v>
      </c>
      <c r="B103" s="3475"/>
      <c r="C103" s="2829" t="s">
        <v>2709</v>
      </c>
      <c r="D103" s="2829" t="s">
        <v>2710</v>
      </c>
      <c r="E103" s="2855">
        <v>0.1</v>
      </c>
      <c r="F103" s="2855">
        <v>15</v>
      </c>
    </row>
    <row r="104" spans="1:6" ht="24">
      <c r="A104" s="2855">
        <v>30</v>
      </c>
      <c r="B104" s="3475"/>
      <c r="C104" s="2829" t="s">
        <v>2711</v>
      </c>
      <c r="D104" s="2829" t="s">
        <v>2712</v>
      </c>
      <c r="E104" s="2855">
        <v>0.1</v>
      </c>
      <c r="F104" s="2855">
        <v>15</v>
      </c>
    </row>
    <row r="105" spans="1:6" ht="24">
      <c r="A105" s="2855">
        <v>31</v>
      </c>
      <c r="B105" s="3475"/>
      <c r="C105" s="2829" t="s">
        <v>2713</v>
      </c>
      <c r="D105" s="2829" t="s">
        <v>2714</v>
      </c>
      <c r="E105" s="2855">
        <v>0.1</v>
      </c>
      <c r="F105" s="2855">
        <v>15</v>
      </c>
    </row>
    <row r="106" spans="1:6" ht="24">
      <c r="A106" s="2855">
        <v>32</v>
      </c>
      <c r="B106" s="3475"/>
      <c r="C106" s="2829" t="s">
        <v>2715</v>
      </c>
      <c r="D106" s="2829" t="s">
        <v>2716</v>
      </c>
      <c r="E106" s="2855">
        <v>0.1</v>
      </c>
      <c r="F106" s="2855">
        <v>15</v>
      </c>
    </row>
    <row r="107" spans="1:6" ht="24">
      <c r="A107" s="2855">
        <v>33</v>
      </c>
      <c r="B107" s="3475"/>
      <c r="C107" s="2829" t="s">
        <v>2717</v>
      </c>
      <c r="D107" s="2829" t="s">
        <v>2718</v>
      </c>
      <c r="E107" s="2855">
        <v>0.1</v>
      </c>
      <c r="F107" s="2855">
        <v>15</v>
      </c>
    </row>
    <row r="108" spans="1:6" ht="24">
      <c r="A108" s="2855">
        <v>34</v>
      </c>
      <c r="B108" s="3474"/>
      <c r="C108" s="2829" t="s">
        <v>2719</v>
      </c>
      <c r="D108" s="2829" t="s">
        <v>2720</v>
      </c>
      <c r="E108" s="2855">
        <v>0.1</v>
      </c>
      <c r="F108" s="2855">
        <v>15</v>
      </c>
    </row>
    <row r="109" spans="1:6" ht="36">
      <c r="A109" s="2855">
        <v>35</v>
      </c>
      <c r="B109" s="3473" t="s">
        <v>2721</v>
      </c>
      <c r="C109" s="2855" t="s">
        <v>2722</v>
      </c>
      <c r="D109" s="2829" t="s">
        <v>2723</v>
      </c>
      <c r="E109" s="2855">
        <v>0.15</v>
      </c>
      <c r="F109" s="2855">
        <v>20</v>
      </c>
    </row>
    <row r="110" spans="1:6" ht="24">
      <c r="A110" s="2855">
        <v>36</v>
      </c>
      <c r="B110" s="3475"/>
      <c r="C110" s="2855" t="s">
        <v>2724</v>
      </c>
      <c r="D110" s="2829" t="s">
        <v>2725</v>
      </c>
      <c r="E110" s="2855">
        <v>0.15</v>
      </c>
      <c r="F110" s="2855">
        <v>20</v>
      </c>
    </row>
    <row r="111" spans="1:6" ht="24">
      <c r="A111" s="2855">
        <v>37</v>
      </c>
      <c r="B111" s="3475"/>
      <c r="C111" s="2855" t="s">
        <v>2726</v>
      </c>
      <c r="D111" s="2829" t="s">
        <v>2727</v>
      </c>
      <c r="E111" s="2855">
        <v>0.15</v>
      </c>
      <c r="F111" s="2855">
        <v>20</v>
      </c>
    </row>
    <row r="112" spans="1:6" ht="24">
      <c r="A112" s="2855">
        <v>38</v>
      </c>
      <c r="B112" s="3475"/>
      <c r="C112" s="2855" t="s">
        <v>2728</v>
      </c>
      <c r="D112" s="2829" t="s">
        <v>2729</v>
      </c>
      <c r="E112" s="2855">
        <v>0.1</v>
      </c>
      <c r="F112" s="2855">
        <v>15</v>
      </c>
    </row>
    <row r="113" spans="1:6" ht="24">
      <c r="A113" s="2855">
        <v>39</v>
      </c>
      <c r="B113" s="3475"/>
      <c r="C113" s="2855" t="s">
        <v>2730</v>
      </c>
      <c r="D113" s="2829" t="s">
        <v>2731</v>
      </c>
      <c r="E113" s="2855">
        <v>0.1</v>
      </c>
      <c r="F113" s="2855">
        <v>15</v>
      </c>
    </row>
    <row r="114" spans="1:6" ht="24">
      <c r="A114" s="2855">
        <v>40</v>
      </c>
      <c r="B114" s="3474"/>
      <c r="C114" s="2855" t="s">
        <v>2732</v>
      </c>
      <c r="D114" s="2829" t="s">
        <v>2733</v>
      </c>
      <c r="E114" s="2855">
        <v>0.1</v>
      </c>
      <c r="F114" s="2855">
        <v>15</v>
      </c>
    </row>
    <row r="115" spans="1:6" ht="24">
      <c r="A115" s="2855">
        <v>41</v>
      </c>
      <c r="B115" s="3472" t="s">
        <v>2734</v>
      </c>
      <c r="C115" s="2855" t="s">
        <v>2735</v>
      </c>
      <c r="D115" s="2829" t="s">
        <v>2736</v>
      </c>
      <c r="E115" s="2855">
        <v>0.1</v>
      </c>
      <c r="F115" s="2855">
        <v>15</v>
      </c>
    </row>
    <row r="116" spans="1:6" ht="24">
      <c r="A116" s="2855">
        <v>42</v>
      </c>
      <c r="B116" s="3472"/>
      <c r="C116" s="2855" t="s">
        <v>2737</v>
      </c>
      <c r="D116" s="2829" t="s">
        <v>2738</v>
      </c>
      <c r="E116" s="2855">
        <v>0.1</v>
      </c>
      <c r="F116" s="2855">
        <v>15</v>
      </c>
    </row>
    <row r="117" spans="1:6" ht="24">
      <c r="A117" s="2855">
        <v>43</v>
      </c>
      <c r="B117" s="3472"/>
      <c r="C117" s="2855" t="s">
        <v>2739</v>
      </c>
      <c r="D117" s="2829" t="s">
        <v>2740</v>
      </c>
      <c r="E117" s="2855">
        <v>0.1</v>
      </c>
      <c r="F117" s="2855">
        <v>15</v>
      </c>
    </row>
    <row r="118" spans="1:6" ht="24">
      <c r="A118" s="2855">
        <v>44</v>
      </c>
      <c r="B118" s="3473" t="s">
        <v>2741</v>
      </c>
      <c r="C118" s="2855" t="s">
        <v>2742</v>
      </c>
      <c r="D118" s="2829" t="s">
        <v>2743</v>
      </c>
      <c r="E118" s="2855">
        <v>0.1</v>
      </c>
      <c r="F118" s="2855">
        <v>15</v>
      </c>
    </row>
    <row r="119" spans="1:6" ht="24">
      <c r="A119" s="2855">
        <v>45</v>
      </c>
      <c r="B119" s="3474"/>
      <c r="C119" s="2829" t="s">
        <v>2744</v>
      </c>
      <c r="D119" s="2829" t="s">
        <v>2745</v>
      </c>
      <c r="E119" s="2855">
        <v>0.1</v>
      </c>
      <c r="F119" s="2855">
        <v>15</v>
      </c>
    </row>
    <row r="120" spans="1:6" ht="24">
      <c r="A120" s="2855">
        <v>46</v>
      </c>
      <c r="B120" s="3473" t="s">
        <v>2746</v>
      </c>
      <c r="C120" s="2855" t="s">
        <v>2747</v>
      </c>
      <c r="D120" s="2829" t="s">
        <v>2748</v>
      </c>
      <c r="E120" s="2855">
        <v>0.1</v>
      </c>
      <c r="F120" s="2855">
        <v>15</v>
      </c>
    </row>
    <row r="121" spans="1:6" ht="24">
      <c r="A121" s="2855">
        <v>47</v>
      </c>
      <c r="B121" s="3474"/>
      <c r="C121" s="2855" t="s">
        <v>2749</v>
      </c>
      <c r="D121" s="2829" t="s">
        <v>2750</v>
      </c>
      <c r="E121" s="2855">
        <v>0.1</v>
      </c>
      <c r="F121" s="2855">
        <v>15</v>
      </c>
    </row>
    <row r="122" spans="1:6" ht="24">
      <c r="A122" s="2855">
        <v>48</v>
      </c>
      <c r="B122" s="3473" t="s">
        <v>2751</v>
      </c>
      <c r="C122" s="2855" t="s">
        <v>2752</v>
      </c>
      <c r="D122" s="2829" t="s">
        <v>2753</v>
      </c>
      <c r="E122" s="2855">
        <v>0.1</v>
      </c>
      <c r="F122" s="2855">
        <v>15</v>
      </c>
    </row>
    <row r="123" spans="1:6" ht="24">
      <c r="A123" s="2855">
        <v>49</v>
      </c>
      <c r="B123" s="3474"/>
      <c r="C123" s="2855" t="s">
        <v>2754</v>
      </c>
      <c r="D123" s="2829" t="s">
        <v>2755</v>
      </c>
      <c r="E123" s="2855">
        <v>0.1</v>
      </c>
      <c r="F123" s="2855">
        <v>15</v>
      </c>
    </row>
    <row r="124" spans="1:6" ht="24">
      <c r="A124" s="2855">
        <v>50</v>
      </c>
      <c r="B124" s="3472" t="s">
        <v>2756</v>
      </c>
      <c r="C124" s="2855" t="s">
        <v>2757</v>
      </c>
      <c r="D124" s="2829" t="s">
        <v>2758</v>
      </c>
      <c r="E124" s="2855">
        <v>0.1</v>
      </c>
      <c r="F124" s="2855">
        <v>15</v>
      </c>
    </row>
    <row r="125" spans="1:6" ht="24">
      <c r="A125" s="2855">
        <v>51</v>
      </c>
      <c r="B125" s="3472"/>
      <c r="C125" s="2855" t="s">
        <v>2759</v>
      </c>
      <c r="D125" s="2829" t="s">
        <v>2760</v>
      </c>
      <c r="E125" s="2855">
        <v>0.1</v>
      </c>
      <c r="F125" s="2855">
        <v>15</v>
      </c>
    </row>
    <row r="126" spans="1:6" ht="24">
      <c r="A126" s="2855">
        <v>52</v>
      </c>
      <c r="B126" s="3472" t="s">
        <v>2761</v>
      </c>
      <c r="C126" s="2855" t="s">
        <v>2762</v>
      </c>
      <c r="D126" s="2829" t="s">
        <v>2763</v>
      </c>
      <c r="E126" s="2855">
        <v>0.1</v>
      </c>
      <c r="F126" s="2855">
        <v>15</v>
      </c>
    </row>
    <row r="127" spans="1:6" ht="24">
      <c r="A127" s="2855">
        <v>53</v>
      </c>
      <c r="B127" s="3472"/>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72" t="s">
        <v>2769</v>
      </c>
      <c r="C129" s="2855" t="s">
        <v>2770</v>
      </c>
      <c r="D129" s="2829" t="s">
        <v>2771</v>
      </c>
      <c r="E129" s="2855">
        <v>0.1</v>
      </c>
      <c r="F129" s="2855">
        <v>15</v>
      </c>
    </row>
    <row r="130" spans="1:6" ht="24">
      <c r="A130" s="2855">
        <v>56</v>
      </c>
      <c r="B130" s="3472"/>
      <c r="C130" s="2855" t="s">
        <v>2772</v>
      </c>
      <c r="D130" s="2829" t="s">
        <v>2773</v>
      </c>
      <c r="E130" s="2855">
        <v>0.1</v>
      </c>
      <c r="F130" s="2855">
        <v>15</v>
      </c>
    </row>
    <row r="131" spans="1:6" ht="24">
      <c r="A131" s="2855">
        <v>57</v>
      </c>
      <c r="B131" s="3472"/>
      <c r="C131" s="2855" t="s">
        <v>2774</v>
      </c>
      <c r="D131" s="2829" t="s">
        <v>2775</v>
      </c>
      <c r="E131" s="2855">
        <v>0.1</v>
      </c>
      <c r="F131" s="2855">
        <v>15</v>
      </c>
    </row>
    <row r="132" spans="1:6" ht="24">
      <c r="A132" s="2855">
        <v>58</v>
      </c>
      <c r="B132" s="3472" t="s">
        <v>2776</v>
      </c>
      <c r="C132" s="2855" t="s">
        <v>2777</v>
      </c>
      <c r="D132" s="2829" t="s">
        <v>2778</v>
      </c>
      <c r="E132" s="2855">
        <v>0.1</v>
      </c>
      <c r="F132" s="2855">
        <v>15</v>
      </c>
    </row>
    <row r="133" spans="1:6" ht="24">
      <c r="A133" s="2855">
        <v>59</v>
      </c>
      <c r="B133" s="3472"/>
      <c r="C133" s="2855" t="s">
        <v>2779</v>
      </c>
      <c r="D133" s="2829" t="s">
        <v>2780</v>
      </c>
      <c r="E133" s="2855">
        <v>0.1</v>
      </c>
      <c r="F133" s="2855">
        <v>15</v>
      </c>
    </row>
    <row r="134" spans="1:6" ht="24">
      <c r="A134" s="2855">
        <v>60</v>
      </c>
      <c r="B134" s="3473" t="s">
        <v>2781</v>
      </c>
      <c r="C134" s="2855" t="s">
        <v>2782</v>
      </c>
      <c r="D134" s="2829" t="s">
        <v>2783</v>
      </c>
      <c r="E134" s="2855">
        <v>0.1</v>
      </c>
      <c r="F134" s="2855">
        <v>15</v>
      </c>
    </row>
    <row r="135" spans="1:6" ht="24">
      <c r="A135" s="2855">
        <v>61</v>
      </c>
      <c r="B135" s="3474"/>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72" t="s">
        <v>2789</v>
      </c>
      <c r="C137" s="2855" t="s">
        <v>2790</v>
      </c>
      <c r="D137" s="2829" t="s">
        <v>2791</v>
      </c>
      <c r="E137" s="2855">
        <v>0.1</v>
      </c>
      <c r="F137" s="2855">
        <v>15</v>
      </c>
    </row>
    <row r="138" spans="1:6" ht="24">
      <c r="A138" s="2855">
        <v>64</v>
      </c>
      <c r="B138" s="3472"/>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27650</v>
      </c>
      <c r="C2" s="2" t="s">
        <v>106</v>
      </c>
      <c r="D2" s="191"/>
      <c r="E2" s="191"/>
      <c r="F2" s="191"/>
      <c r="G2" s="191"/>
    </row>
    <row r="3" spans="1:7" s="192" customFormat="1" ht="18" customHeight="1" thickBot="1">
      <c r="A3" s="195" t="s">
        <v>58</v>
      </c>
      <c r="B3" s="196">
        <f ca="1">ROUND(B2*10000/'数据-汇总表'!E3,0)</f>
        <v>1659963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111</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83</v>
      </c>
      <c r="D51" s="224"/>
      <c r="E51" s="224"/>
      <c r="F51" s="256"/>
      <c r="G51" s="226" t="s">
        <v>37</v>
      </c>
    </row>
    <row r="52" spans="1:7" s="200" customFormat="1" ht="16.8" thickBot="1">
      <c r="A52" s="257" t="s">
        <v>38</v>
      </c>
      <c r="B52" s="258"/>
      <c r="C52" s="259">
        <f ca="1">C31+C51</f>
        <v>27650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6" t="s">
        <v>3181</v>
      </c>
      <c r="B1" s="3486"/>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7" t="s">
        <v>3232</v>
      </c>
      <c r="B1" s="3487"/>
      <c r="C1" s="3487"/>
      <c r="D1" s="3487"/>
      <c r="E1" s="3487"/>
      <c r="F1" s="348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45852</v>
      </c>
      <c r="B1" s="2927" t="s">
        <v>3377</v>
      </c>
      <c r="C1" s="2928"/>
      <c r="D1" s="2928"/>
      <c r="E1" s="2928"/>
      <c r="F1" s="2928"/>
      <c r="G1" s="2928"/>
      <c r="H1" s="2928"/>
      <c r="I1" s="2928"/>
      <c r="J1" s="2894"/>
      <c r="K1" s="2928" t="s">
        <v>454</v>
      </c>
      <c r="L1" s="2928"/>
      <c r="M1" s="2928"/>
      <c r="N1" s="2928"/>
      <c r="O1" s="2928"/>
      <c r="P1" s="2928"/>
      <c r="Q1" s="2894"/>
      <c r="R1" s="3489" t="s">
        <v>456</v>
      </c>
      <c r="S1" s="3490"/>
      <c r="T1" s="3490"/>
      <c r="U1" s="3490"/>
      <c r="V1" s="3490"/>
      <c r="W1" s="3490"/>
      <c r="X1" s="2894"/>
      <c r="Y1" s="3489" t="s">
        <v>457</v>
      </c>
      <c r="Z1" s="3490"/>
      <c r="AA1" s="3490"/>
      <c r="AB1" s="3490"/>
      <c r="AC1" s="3490"/>
      <c r="AD1" s="3490"/>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89" t="s">
        <v>2827</v>
      </c>
      <c r="S29" s="3490"/>
      <c r="T29" s="3490"/>
      <c r="U29" s="3490"/>
      <c r="V29" s="3490"/>
      <c r="W29" s="3490"/>
      <c r="X29" s="2894"/>
      <c r="Y29" s="3489" t="s">
        <v>2828</v>
      </c>
      <c r="Z29" s="3490"/>
      <c r="AA29" s="3490"/>
      <c r="AB29" s="3490"/>
      <c r="AC29" s="3490"/>
      <c r="AD29" s="3490"/>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2" t="s">
        <v>2839</v>
      </c>
      <c r="B1" s="3502"/>
      <c r="C1" s="3502"/>
      <c r="D1" s="3502"/>
      <c r="E1" s="3502"/>
      <c r="F1" s="3502"/>
      <c r="G1" s="350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45852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1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171</v>
      </c>
      <c r="I4" s="801">
        <f ca="1">结果表!I118</f>
        <v>10266</v>
      </c>
    </row>
    <row r="5" spans="1:9" ht="30" customHeight="1">
      <c r="A5" s="3181" t="s">
        <v>927</v>
      </c>
      <c r="B5" s="3181"/>
      <c r="C5" s="3181"/>
      <c r="D5" s="3181" t="str">
        <f>结果表!D119</f>
        <v>零元整</v>
      </c>
      <c r="E5" s="3181"/>
      <c r="F5" s="3181" t="str">
        <f>结果表!F119</f>
        <v>零元整</v>
      </c>
      <c r="G5" s="3181"/>
      <c r="H5" s="3181" t="str">
        <f ca="1">结果表!H119</f>
        <v>壹佰柒拾壹万元整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171</v>
      </c>
      <c r="E8" s="3180"/>
      <c r="F8" s="3180"/>
      <c r="G8" s="3180"/>
      <c r="H8" s="3180"/>
      <c r="I8" s="3180"/>
    </row>
    <row r="9" spans="1:9" ht="15">
      <c r="A9" s="3181" t="s">
        <v>927</v>
      </c>
      <c r="B9" s="3181"/>
      <c r="C9" s="3181"/>
      <c r="D9" s="3181" t="str">
        <f ca="1">结果表!D123</f>
        <v>壹佰柒拾壹万元整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
      </c>
      <c r="B12" s="3180"/>
      <c r="C12" s="3180"/>
      <c r="D12" s="3180" t="str">
        <f>结果表!D126</f>
        <v>——</v>
      </c>
      <c r="E12" s="3180"/>
      <c r="F12" s="3180"/>
      <c r="G12" s="3180"/>
      <c r="H12" s="3180"/>
      <c r="I12" s="3180"/>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45852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中指</vt:lpstr>
      <vt:lpstr>售价案例</vt:lpstr>
      <vt:lpstr>租金案例</vt:lpstr>
      <vt:lpstr>收益法-酒店模型</vt:lpstr>
      <vt:lpstr>收益法（汇总）</vt:lpstr>
      <vt:lpstr>比较法-住宅</vt:lpstr>
      <vt:lpstr>比较法-商业</vt:lpstr>
      <vt:lpstr>信息</vt:lpstr>
      <vt:lpstr>成本法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2025-07-14T08:21:59Z</dcterms:modified>
</cp:coreProperties>
</file>