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75" windowWidth="16665" windowHeight="8835" tabRatio="875" firstSheet="16" activeTab="3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案例" sheetId="68" r:id="rId41"/>
    <sheet name="结果一览表" sheetId="69" r:id="rId42"/>
    <sheet name="Sheet2" sheetId="70" r:id="rId43"/>
  </sheets>
  <externalReferences>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 i="11" l="1"/>
  <c r="F20" i="11" l="1"/>
  <c r="O3" i="70"/>
  <c r="N3" i="70"/>
  <c r="O2" i="70"/>
  <c r="N2" i="70"/>
  <c r="C9" i="69" l="1"/>
  <c r="C4" i="69" l="1"/>
  <c r="I36" i="40"/>
  <c r="G36" i="40"/>
  <c r="E36" i="40"/>
  <c r="C36" i="40"/>
  <c r="I43" i="40"/>
  <c r="G43" i="40"/>
  <c r="E43" i="40"/>
  <c r="O69" i="40"/>
  <c r="E69" i="40"/>
  <c r="E68" i="40" s="1"/>
  <c r="F68" i="40" s="1"/>
  <c r="G68" i="40" s="1"/>
  <c r="H68" i="40" s="1"/>
  <c r="I68" i="40" s="1"/>
  <c r="J68" i="40" s="1"/>
  <c r="K68" i="40" s="1"/>
  <c r="L68" i="40" s="1"/>
  <c r="M68" i="40" s="1"/>
  <c r="N68" i="40" s="1"/>
  <c r="O68" i="40" s="1"/>
  <c r="F69" i="40"/>
  <c r="G69" i="40"/>
  <c r="H69" i="40"/>
  <c r="I69" i="40"/>
  <c r="J69" i="40"/>
  <c r="K69" i="40"/>
  <c r="L69" i="40"/>
  <c r="M69" i="40"/>
  <c r="N69" i="40"/>
  <c r="I8" i="40"/>
  <c r="G8" i="40"/>
  <c r="E8" i="40"/>
  <c r="D5" i="9" l="1"/>
  <c r="V10" i="68"/>
  <c r="F1" i="46"/>
  <c r="D29" i="46" s="1"/>
  <c r="I13" i="3"/>
  <c r="F19" i="6" s="1"/>
  <c r="AH5" i="59"/>
  <c r="AG5" i="59"/>
  <c r="AE5" i="59"/>
  <c r="AF5" i="59"/>
  <c r="AD5" i="59"/>
  <c r="Q5" i="59"/>
  <c r="P5" i="59"/>
  <c r="O5" i="59"/>
  <c r="N5" i="59"/>
  <c r="AH6" i="59"/>
  <c r="AG6" i="59"/>
  <c r="AE6" i="59"/>
  <c r="AF6" i="59" s="1"/>
  <c r="AD6" i="59"/>
  <c r="Q6" i="59"/>
  <c r="P6" i="59"/>
  <c r="O6" i="59"/>
  <c r="N6" i="59"/>
  <c r="F25" i="12"/>
  <c r="C25" i="12"/>
  <c r="C16" i="11"/>
  <c r="C15" i="11"/>
  <c r="C14" i="11"/>
  <c r="C9" i="11"/>
  <c r="K36" i="36"/>
  <c r="K38" i="35"/>
  <c r="K42" i="37"/>
  <c r="K49" i="34"/>
  <c r="K48" i="33"/>
  <c r="K48" i="21"/>
  <c r="K44" i="40"/>
  <c r="K49" i="39"/>
  <c r="E77" i="9"/>
  <c r="F77" i="9"/>
  <c r="AH7" i="59"/>
  <c r="AG7" i="59"/>
  <c r="AE7" i="59"/>
  <c r="AF7" i="59"/>
  <c r="AD7" i="59"/>
  <c r="Q7" i="59"/>
  <c r="P7" i="59"/>
  <c r="O7" i="59"/>
  <c r="N7" i="59"/>
  <c r="A21" i="31"/>
  <c r="C109" i="9"/>
  <c r="AH8" i="59"/>
  <c r="AG8" i="59"/>
  <c r="AE8" i="59"/>
  <c r="AF8" i="59"/>
  <c r="AD8" i="59"/>
  <c r="Q8" i="59"/>
  <c r="P8" i="59"/>
  <c r="O8" i="59"/>
  <c r="N8" i="59"/>
  <c r="Q10" i="59"/>
  <c r="P10" i="59"/>
  <c r="O10" i="59"/>
  <c r="N10" i="59"/>
  <c r="AH9" i="59"/>
  <c r="AG9" i="59"/>
  <c r="AE9" i="59"/>
  <c r="AF9" i="59"/>
  <c r="AD9" i="59"/>
  <c r="Q9" i="59"/>
  <c r="P9" i="59"/>
  <c r="O9" i="59"/>
  <c r="N9" i="59"/>
  <c r="AH10" i="59"/>
  <c r="AG10" i="59"/>
  <c r="AE10" i="59"/>
  <c r="AF10" i="59"/>
  <c r="AD10" i="59"/>
  <c r="Q11" i="59"/>
  <c r="Q12" i="59"/>
  <c r="P11" i="59"/>
  <c r="P12" i="59"/>
  <c r="O11" i="59"/>
  <c r="O12" i="59"/>
  <c r="N11" i="59"/>
  <c r="N12" i="59"/>
  <c r="AH11" i="59"/>
  <c r="AG11" i="59"/>
  <c r="AE11" i="59"/>
  <c r="AF11" i="59"/>
  <c r="AD11" i="59"/>
  <c r="AH12" i="59"/>
  <c r="AG12" i="59"/>
  <c r="AE12" i="59"/>
  <c r="AF12" i="59" s="1"/>
  <c r="AD12" i="59"/>
  <c r="M15" i="49"/>
  <c r="L15" i="49"/>
  <c r="K15" i="49"/>
  <c r="J15" i="49"/>
  <c r="I15" i="49"/>
  <c r="H15" i="49"/>
  <c r="G15" i="49"/>
  <c r="F15" i="49"/>
  <c r="E15" i="49"/>
  <c r="D15" i="49"/>
  <c r="C15" i="49"/>
  <c r="B15" i="49"/>
  <c r="AH13" i="59"/>
  <c r="AG13" i="59"/>
  <c r="AE13" i="59"/>
  <c r="AF13" i="59" s="1"/>
  <c r="AD13" i="59"/>
  <c r="Q13" i="59"/>
  <c r="P13" i="59"/>
  <c r="O13" i="59"/>
  <c r="N13" i="59"/>
  <c r="L3" i="59"/>
  <c r="AH3" i="59" s="1"/>
  <c r="K3" i="59"/>
  <c r="AG3" i="59" s="1"/>
  <c r="J3" i="59"/>
  <c r="AE3" i="59" s="1"/>
  <c r="AF3" i="59"/>
  <c r="I3" i="59"/>
  <c r="AD3" i="59"/>
  <c r="AH14" i="59"/>
  <c r="AG14" i="59"/>
  <c r="AE14" i="59"/>
  <c r="AF14" i="59"/>
  <c r="AD14" i="59"/>
  <c r="Q14" i="59"/>
  <c r="Q15" i="59"/>
  <c r="P14" i="59"/>
  <c r="P15" i="59"/>
  <c r="O14" i="59"/>
  <c r="O15" i="59"/>
  <c r="N14" i="59"/>
  <c r="N15" i="59"/>
  <c r="AH15" i="59"/>
  <c r="AG15" i="59"/>
  <c r="AE15" i="59"/>
  <c r="AF15" i="59" s="1"/>
  <c r="AD15" i="59"/>
  <c r="Q16" i="59"/>
  <c r="P16" i="59"/>
  <c r="O16" i="59"/>
  <c r="N16" i="59"/>
  <c r="J50" i="15"/>
  <c r="J51" i="15" s="1"/>
  <c r="D18" i="59"/>
  <c r="AH16" i="59"/>
  <c r="AG16" i="59"/>
  <c r="AE16" i="59"/>
  <c r="AF16" i="59"/>
  <c r="AD16" i="59"/>
  <c r="AE17" i="59"/>
  <c r="AF17" i="59" s="1"/>
  <c r="AG17" i="59"/>
  <c r="AH17" i="59"/>
  <c r="AD17" i="59"/>
  <c r="Q17" i="59"/>
  <c r="P17" i="59"/>
  <c r="O17" i="59"/>
  <c r="N17" i="59"/>
  <c r="N18" i="59"/>
  <c r="Q18" i="59"/>
  <c r="P18" i="59"/>
  <c r="O18" i="59"/>
  <c r="L4" i="9"/>
  <c r="M4" i="9"/>
  <c r="A30" i="51" s="1"/>
  <c r="A30" i="64"/>
  <c r="K59" i="15"/>
  <c r="P62" i="15"/>
  <c r="P75" i="15"/>
  <c r="Q74" i="44"/>
  <c r="Q61" i="44"/>
  <c r="Q60" i="44"/>
  <c r="Q53" i="44"/>
  <c r="J51" i="44"/>
  <c r="J52" i="44" s="1"/>
  <c r="M48" i="44"/>
  <c r="A16" i="55"/>
  <c r="A15" i="55"/>
  <c r="B66" i="63" s="1"/>
  <c r="A14" i="55"/>
  <c r="A11" i="55"/>
  <c r="A10" i="55"/>
  <c r="B61" i="63" s="1"/>
  <c r="A9" i="55"/>
  <c r="B60" i="63"/>
  <c r="A8" i="55"/>
  <c r="A6" i="54"/>
  <c r="A8" i="54"/>
  <c r="A7" i="54"/>
  <c r="B51" i="63" s="1"/>
  <c r="A28" i="51"/>
  <c r="A27" i="51"/>
  <c r="B20" i="63"/>
  <c r="Q19" i="59"/>
  <c r="O19" i="59"/>
  <c r="N20" i="59"/>
  <c r="O20" i="59"/>
  <c r="P20" i="59"/>
  <c r="Q20" i="59"/>
  <c r="N19" i="59"/>
  <c r="P19" i="59"/>
  <c r="F21" i="59"/>
  <c r="K75" i="9"/>
  <c r="K6" i="4"/>
  <c r="K76" i="9" s="1"/>
  <c r="O76" i="9"/>
  <c r="L76" i="9"/>
  <c r="B22" i="31"/>
  <c r="E15" i="66"/>
  <c r="F15" i="66"/>
  <c r="E16" i="66"/>
  <c r="F16" i="66"/>
  <c r="E17" i="66"/>
  <c r="F17" i="66"/>
  <c r="E18" i="66"/>
  <c r="F18" i="66"/>
  <c r="E19" i="66"/>
  <c r="F19" i="66"/>
  <c r="E20" i="66"/>
  <c r="F20" i="66"/>
  <c r="E21" i="66"/>
  <c r="F21" i="66"/>
  <c r="E22" i="66"/>
  <c r="F22" i="66"/>
  <c r="E23" i="66"/>
  <c r="F23" i="66"/>
  <c r="B3" i="66"/>
  <c r="V21" i="59"/>
  <c r="B17" i="59"/>
  <c r="F20" i="59"/>
  <c r="F17" i="59"/>
  <c r="V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c r="AG28" i="59"/>
  <c r="AH28" i="59"/>
  <c r="AD29" i="59"/>
  <c r="AE29" i="59"/>
  <c r="AF29" i="59" s="1"/>
  <c r="AG29" i="59"/>
  <c r="AH29" i="59"/>
  <c r="AD30" i="59"/>
  <c r="AE30" i="59"/>
  <c r="AF30" i="59" s="1"/>
  <c r="AG30" i="59"/>
  <c r="AH30" i="59"/>
  <c r="AD31" i="59"/>
  <c r="AE31" i="59"/>
  <c r="AF31" i="59"/>
  <c r="AG31" i="59"/>
  <c r="AH31" i="59"/>
  <c r="AH32" i="59"/>
  <c r="AG32" i="59"/>
  <c r="AE32" i="59"/>
  <c r="AF32" i="59"/>
  <c r="AD32" i="59"/>
  <c r="AD33" i="59"/>
  <c r="AE33" i="59"/>
  <c r="AF33" i="59"/>
  <c r="AG33" i="59"/>
  <c r="AH33" i="59"/>
  <c r="S2" i="31"/>
  <c r="M2" i="31"/>
  <c r="N2" i="31"/>
  <c r="O2" i="31"/>
  <c r="P2" i="31"/>
  <c r="Q2" i="31"/>
  <c r="R2" i="31"/>
  <c r="C3" i="65"/>
  <c r="C1" i="65"/>
  <c r="N1" i="65" s="1"/>
  <c r="B76" i="63"/>
  <c r="M5" i="54"/>
  <c r="A23" i="51"/>
  <c r="Y12" i="46"/>
  <c r="AA9" i="46"/>
  <c r="AA12" i="46" s="1"/>
  <c r="AB9" i="46"/>
  <c r="AB10" i="46"/>
  <c r="AC9" i="46"/>
  <c r="AD9" i="46"/>
  <c r="AD10" i="46" s="1"/>
  <c r="AE9" i="46"/>
  <c r="AE10" i="46" s="1"/>
  <c r="AF9" i="46"/>
  <c r="AF10" i="46"/>
  <c r="AG9" i="46"/>
  <c r="AH9" i="46"/>
  <c r="AH10" i="46" s="1"/>
  <c r="AI9" i="46"/>
  <c r="AJ9" i="46"/>
  <c r="AJ10" i="46" s="1"/>
  <c r="Z9" i="46"/>
  <c r="Z10" i="46"/>
  <c r="AG10" i="46"/>
  <c r="AC10" i="46"/>
  <c r="AA10" i="46"/>
  <c r="Y10" i="46"/>
  <c r="Z12" i="46"/>
  <c r="AG12" i="46"/>
  <c r="AE12" i="46"/>
  <c r="AC12" i="46"/>
  <c r="B75" i="63"/>
  <c r="B73" i="63"/>
  <c r="A21" i="64"/>
  <c r="A27" i="64"/>
  <c r="A15" i="64"/>
  <c r="A14" i="64"/>
  <c r="A11" i="64"/>
  <c r="A3" i="64"/>
  <c r="A45" i="9"/>
  <c r="K40" i="9" s="1"/>
  <c r="A44" i="9"/>
  <c r="C57" i="10"/>
  <c r="A28" i="64" s="1"/>
  <c r="C56" i="10"/>
  <c r="A26" i="64" s="1"/>
  <c r="C55" i="10"/>
  <c r="C54" i="10"/>
  <c r="B49" i="63"/>
  <c r="B44" i="63"/>
  <c r="B40" i="63"/>
  <c r="B30" i="63"/>
  <c r="B27" i="63"/>
  <c r="B25" i="63"/>
  <c r="A11" i="51"/>
  <c r="B10" i="63" s="1"/>
  <c r="A26" i="51"/>
  <c r="B19" i="63"/>
  <c r="K39" i="9"/>
  <c r="B58" i="63"/>
  <c r="B53" i="63"/>
  <c r="A46" i="9"/>
  <c r="K41" i="9"/>
  <c r="B8" i="63"/>
  <c r="A21" i="55"/>
  <c r="B71" i="63" s="1"/>
  <c r="A20" i="55"/>
  <c r="B69" i="63"/>
  <c r="B26" i="63"/>
  <c r="B28" i="63"/>
  <c r="B29" i="63"/>
  <c r="B31" i="63"/>
  <c r="B33" i="63"/>
  <c r="B35" i="63"/>
  <c r="B36" i="63"/>
  <c r="B37" i="63"/>
  <c r="B63" i="63"/>
  <c r="B64" i="63"/>
  <c r="B68" i="63"/>
  <c r="D51" i="10"/>
  <c r="B59" i="63"/>
  <c r="B51" i="10"/>
  <c r="B17" i="63"/>
  <c r="A15" i="51"/>
  <c r="B12" i="63" s="1"/>
  <c r="A14" i="51"/>
  <c r="B11" i="63"/>
  <c r="A4" i="55"/>
  <c r="B57" i="63" s="1"/>
  <c r="B41" i="63"/>
  <c r="G5" i="54"/>
  <c r="B34" i="63"/>
  <c r="E5" i="54"/>
  <c r="B32" i="63"/>
  <c r="R2" i="54"/>
  <c r="B24" i="63"/>
  <c r="B49" i="50"/>
  <c r="B5" i="63"/>
  <c r="B40" i="50"/>
  <c r="B3" i="63"/>
  <c r="N4" i="63"/>
  <c r="B21" i="63"/>
  <c r="B67" i="63"/>
  <c r="I19" i="46"/>
  <c r="Q21" i="59"/>
  <c r="P21" i="59"/>
  <c r="O21" i="59"/>
  <c r="N21" i="59"/>
  <c r="B21" i="59" s="1"/>
  <c r="D82" i="59"/>
  <c r="F81" i="59"/>
  <c r="F80" i="59" s="1"/>
  <c r="F79" i="59" s="1"/>
  <c r="E81" i="59"/>
  <c r="E80" i="59"/>
  <c r="E79" i="59" s="1"/>
  <c r="C81" i="59"/>
  <c r="D81" i="59"/>
  <c r="B81" i="59"/>
  <c r="B80" i="59"/>
  <c r="B79" i="59"/>
  <c r="D78" i="59"/>
  <c r="F77" i="59"/>
  <c r="F76" i="59" s="1"/>
  <c r="E77" i="59"/>
  <c r="E76" i="59"/>
  <c r="E75" i="59" s="1"/>
  <c r="C77" i="59"/>
  <c r="D77" i="59"/>
  <c r="B77" i="59"/>
  <c r="B76" i="59" s="1"/>
  <c r="B75" i="59" s="1"/>
  <c r="F75" i="59"/>
  <c r="D74" i="59"/>
  <c r="Q73" i="59"/>
  <c r="P73" i="59"/>
  <c r="O73" i="59"/>
  <c r="N73" i="59"/>
  <c r="F73" i="59"/>
  <c r="V73" i="59" s="1"/>
  <c r="E73" i="59"/>
  <c r="U73" i="59" s="1"/>
  <c r="C73" i="59"/>
  <c r="D73" i="59" s="1"/>
  <c r="T73" i="59"/>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c r="C69" i="59"/>
  <c r="D69" i="59" s="1"/>
  <c r="B69" i="59"/>
  <c r="S69" i="59"/>
  <c r="Q68" i="59"/>
  <c r="P68" i="59"/>
  <c r="O68" i="59"/>
  <c r="N68" i="59"/>
  <c r="F68" i="59"/>
  <c r="F67" i="59" s="1"/>
  <c r="B68" i="59"/>
  <c r="B67" i="59"/>
  <c r="Q67" i="59"/>
  <c r="P67" i="59"/>
  <c r="O67" i="59"/>
  <c r="N67" i="59"/>
  <c r="Q66" i="59"/>
  <c r="P66" i="59"/>
  <c r="O66" i="59"/>
  <c r="N66" i="59"/>
  <c r="D66" i="59"/>
  <c r="Q65" i="59"/>
  <c r="P65" i="59"/>
  <c r="O65" i="59"/>
  <c r="N65" i="59"/>
  <c r="F65" i="59"/>
  <c r="E65" i="59"/>
  <c r="U65" i="59" s="1"/>
  <c r="C65" i="59"/>
  <c r="B65" i="59"/>
  <c r="B64" i="59" s="1"/>
  <c r="B63" i="59" s="1"/>
  <c r="Q64" i="59"/>
  <c r="P64" i="59"/>
  <c r="O64" i="59"/>
  <c r="N64" i="59"/>
  <c r="Q63" i="59"/>
  <c r="P63" i="59"/>
  <c r="O63" i="59"/>
  <c r="N63" i="59"/>
  <c r="Q62" i="59"/>
  <c r="P62" i="59"/>
  <c r="O62" i="59"/>
  <c r="N62" i="59"/>
  <c r="D62" i="59"/>
  <c r="F61" i="59"/>
  <c r="V61" i="59"/>
  <c r="E61" i="59"/>
  <c r="E60" i="59"/>
  <c r="P60" i="59" s="1"/>
  <c r="C61" i="59"/>
  <c r="B61" i="59"/>
  <c r="N61" i="59"/>
  <c r="F60" i="59"/>
  <c r="F59" i="59"/>
  <c r="Q58" i="59" s="1"/>
  <c r="Q59" i="59"/>
  <c r="B60" i="59"/>
  <c r="B59" i="59" s="1"/>
  <c r="D58" i="59"/>
  <c r="Q57" i="59"/>
  <c r="P57" i="59"/>
  <c r="O57" i="59"/>
  <c r="N57" i="59"/>
  <c r="Q56" i="59"/>
  <c r="P56" i="59"/>
  <c r="O56" i="59"/>
  <c r="N56" i="59"/>
  <c r="Q55" i="59"/>
  <c r="P55" i="59"/>
  <c r="O55" i="59"/>
  <c r="N55" i="59"/>
  <c r="B56" i="59" s="1"/>
  <c r="B57" i="59" s="1"/>
  <c r="S57" i="59" s="1"/>
  <c r="Q54" i="59"/>
  <c r="F55" i="59"/>
  <c r="F56" i="59" s="1"/>
  <c r="P54" i="59"/>
  <c r="E55" i="59"/>
  <c r="E56" i="59" s="1"/>
  <c r="E57" i="59" s="1"/>
  <c r="U57" i="59" s="1"/>
  <c r="O54" i="59"/>
  <c r="C55" i="59"/>
  <c r="N54" i="59"/>
  <c r="B55" i="59" s="1"/>
  <c r="D54" i="59"/>
  <c r="Q53" i="59"/>
  <c r="P53" i="59"/>
  <c r="O53" i="59"/>
  <c r="N53" i="59"/>
  <c r="Q52" i="59"/>
  <c r="P52" i="59"/>
  <c r="O52" i="59"/>
  <c r="N52" i="59"/>
  <c r="Q51" i="59"/>
  <c r="P51" i="59"/>
  <c r="O51" i="59"/>
  <c r="C52" i="59" s="1"/>
  <c r="C53" i="59" s="1"/>
  <c r="N51" i="59"/>
  <c r="Q50" i="59"/>
  <c r="F51" i="59"/>
  <c r="P50" i="59"/>
  <c r="E51" i="59" s="1"/>
  <c r="E52" i="59" s="1"/>
  <c r="E53" i="59"/>
  <c r="U53" i="59" s="1"/>
  <c r="O50" i="59"/>
  <c r="C51" i="59"/>
  <c r="N50" i="59"/>
  <c r="B51" i="59" s="1"/>
  <c r="B52" i="59" s="1"/>
  <c r="B53" i="59" s="1"/>
  <c r="S53" i="59" s="1"/>
  <c r="D50" i="59"/>
  <c r="Q49" i="59"/>
  <c r="P49" i="59"/>
  <c r="O49" i="59"/>
  <c r="N49" i="59"/>
  <c r="Q48" i="59"/>
  <c r="P48" i="59"/>
  <c r="O48" i="59"/>
  <c r="N48" i="59"/>
  <c r="Q47" i="59"/>
  <c r="P47" i="59"/>
  <c r="O47" i="59"/>
  <c r="N47" i="59"/>
  <c r="Q46" i="59"/>
  <c r="F47" i="59"/>
  <c r="P46" i="59"/>
  <c r="E47" i="59"/>
  <c r="E48" i="59" s="1"/>
  <c r="E49" i="59"/>
  <c r="U49" i="59" s="1"/>
  <c r="O46" i="59"/>
  <c r="C47" i="59" s="1"/>
  <c r="N46" i="59"/>
  <c r="B47" i="59"/>
  <c r="B48" i="59" s="1"/>
  <c r="B49" i="59" s="1"/>
  <c r="S49" i="59" s="1"/>
  <c r="D46" i="59"/>
  <c r="Q45" i="59"/>
  <c r="P45" i="59"/>
  <c r="O45" i="59"/>
  <c r="N45" i="59"/>
  <c r="Q44" i="59"/>
  <c r="P44" i="59"/>
  <c r="O44" i="59"/>
  <c r="N44" i="59"/>
  <c r="Q43" i="59"/>
  <c r="P43" i="59"/>
  <c r="O43" i="59"/>
  <c r="N43" i="59"/>
  <c r="Q42" i="59"/>
  <c r="F43" i="59" s="1"/>
  <c r="F44" i="59"/>
  <c r="F45" i="59" s="1"/>
  <c r="V45" i="59" s="1"/>
  <c r="P42" i="59"/>
  <c r="E43" i="59"/>
  <c r="O42" i="59"/>
  <c r="C43" i="59"/>
  <c r="C44" i="59" s="1"/>
  <c r="D44" i="59" s="1"/>
  <c r="N42" i="59"/>
  <c r="B43" i="59"/>
  <c r="B44" i="59" s="1"/>
  <c r="D42" i="59"/>
  <c r="T41" i="59"/>
  <c r="Q41" i="59"/>
  <c r="P41" i="59"/>
  <c r="O41" i="59"/>
  <c r="N41" i="59"/>
  <c r="D41" i="59"/>
  <c r="Q40" i="59"/>
  <c r="P40" i="59"/>
  <c r="O40" i="59"/>
  <c r="N40" i="59"/>
  <c r="Q39" i="59"/>
  <c r="P39" i="59"/>
  <c r="O39" i="59"/>
  <c r="N39" i="59"/>
  <c r="Q38" i="59"/>
  <c r="F39" i="59" s="1"/>
  <c r="P38" i="59"/>
  <c r="E39" i="59" s="1"/>
  <c r="E40" i="59" s="1"/>
  <c r="E41" i="59" s="1"/>
  <c r="U41" i="59" s="1"/>
  <c r="O38" i="59"/>
  <c r="C39" i="59"/>
  <c r="C40" i="59" s="1"/>
  <c r="D40" i="59" s="1"/>
  <c r="N38" i="59"/>
  <c r="B39" i="59" s="1"/>
  <c r="B40" i="59"/>
  <c r="B41" i="59"/>
  <c r="S41" i="59"/>
  <c r="D38" i="59"/>
  <c r="Q37" i="59"/>
  <c r="P37" i="59"/>
  <c r="O37" i="59"/>
  <c r="N37" i="59"/>
  <c r="Q36" i="59"/>
  <c r="P36" i="59"/>
  <c r="O36" i="59"/>
  <c r="N36" i="59"/>
  <c r="Q35" i="59"/>
  <c r="P35" i="59"/>
  <c r="O35" i="59"/>
  <c r="C36" i="59" s="1"/>
  <c r="N35" i="59"/>
  <c r="Q34" i="59"/>
  <c r="F35" i="59"/>
  <c r="F36" i="59" s="1"/>
  <c r="P34" i="59"/>
  <c r="E35" i="59" s="1"/>
  <c r="E36" i="59" s="1"/>
  <c r="E37" i="59" s="1"/>
  <c r="U37" i="59" s="1"/>
  <c r="O34" i="59"/>
  <c r="C35" i="59"/>
  <c r="D35" i="59" s="1"/>
  <c r="N34" i="59"/>
  <c r="B35" i="59"/>
  <c r="B36" i="59" s="1"/>
  <c r="B37" i="59"/>
  <c r="S37" i="59" s="1"/>
  <c r="D34" i="59"/>
  <c r="Q33" i="59"/>
  <c r="P33" i="59"/>
  <c r="O33" i="59"/>
  <c r="N33" i="59"/>
  <c r="Q32" i="59"/>
  <c r="AB32" i="59" s="1"/>
  <c r="P32" i="59"/>
  <c r="AA32" i="59" s="1"/>
  <c r="O32" i="59"/>
  <c r="Y32" i="59" s="1"/>
  <c r="Z32" i="59" s="1"/>
  <c r="N32" i="59"/>
  <c r="X32" i="59" s="1"/>
  <c r="Q31" i="59"/>
  <c r="AB31" i="59" s="1"/>
  <c r="P31" i="59"/>
  <c r="AA31" i="59" s="1"/>
  <c r="O31" i="59"/>
  <c r="Y31" i="59" s="1"/>
  <c r="Z31" i="59" s="1"/>
  <c r="N31" i="59"/>
  <c r="X31" i="59" s="1"/>
  <c r="Q30" i="59"/>
  <c r="AB30" i="59" s="1"/>
  <c r="F31" i="59"/>
  <c r="P30" i="59"/>
  <c r="E31" i="59"/>
  <c r="O30" i="59"/>
  <c r="N30" i="59"/>
  <c r="X30" i="59" s="1"/>
  <c r="B31" i="59"/>
  <c r="B32" i="59"/>
  <c r="B33" i="59" s="1"/>
  <c r="S33" i="59" s="1"/>
  <c r="D30" i="59"/>
  <c r="Q29" i="59"/>
  <c r="AB29" i="59" s="1"/>
  <c r="P29" i="59"/>
  <c r="O29" i="59"/>
  <c r="Y29" i="59" s="1"/>
  <c r="Z29" i="59" s="1"/>
  <c r="N29" i="59"/>
  <c r="X29" i="59" s="1"/>
  <c r="Q28" i="59"/>
  <c r="AB28" i="59" s="1"/>
  <c r="P28" i="59"/>
  <c r="O28" i="59"/>
  <c r="Y28" i="59" s="1"/>
  <c r="Z28" i="59" s="1"/>
  <c r="N28" i="59"/>
  <c r="X28" i="59" s="1"/>
  <c r="Q27" i="59"/>
  <c r="AB27" i="59" s="1"/>
  <c r="P27" i="59"/>
  <c r="AA27" i="59" s="1"/>
  <c r="O27" i="59"/>
  <c r="Y27" i="59" s="1"/>
  <c r="Z27" i="59" s="1"/>
  <c r="N27" i="59"/>
  <c r="X27" i="59" s="1"/>
  <c r="Q26" i="59"/>
  <c r="P26" i="59"/>
  <c r="AA26" i="59" s="1"/>
  <c r="O26" i="59"/>
  <c r="Y26" i="59" s="1"/>
  <c r="Z26" i="59" s="1"/>
  <c r="N26" i="59"/>
  <c r="X26" i="59" s="1"/>
  <c r="B27" i="59"/>
  <c r="B28" i="59"/>
  <c r="B29" i="59" s="1"/>
  <c r="S29" i="59" s="1"/>
  <c r="D26" i="59"/>
  <c r="Q25" i="59"/>
  <c r="AB25" i="59" s="1"/>
  <c r="P25" i="59"/>
  <c r="AA25" i="59" s="1"/>
  <c r="O25" i="59"/>
  <c r="N25" i="59"/>
  <c r="X25" i="59" s="1"/>
  <c r="Q24" i="59"/>
  <c r="AB24" i="59" s="1"/>
  <c r="P24" i="59"/>
  <c r="AA24" i="59" s="1"/>
  <c r="O24" i="59"/>
  <c r="N24" i="59"/>
  <c r="X24" i="59" s="1"/>
  <c r="Q23" i="59"/>
  <c r="AB23" i="59" s="1"/>
  <c r="P23" i="59"/>
  <c r="AA23" i="59" s="1"/>
  <c r="O23" i="59"/>
  <c r="N23" i="59"/>
  <c r="X23" i="59" s="1"/>
  <c r="Q22" i="59"/>
  <c r="AB22" i="59" s="1"/>
  <c r="F23" i="59"/>
  <c r="P22" i="59"/>
  <c r="O22" i="59"/>
  <c r="C23" i="59"/>
  <c r="D23" i="59" s="1"/>
  <c r="N22" i="59"/>
  <c r="D22" i="59"/>
  <c r="E23" i="59"/>
  <c r="E24" i="59"/>
  <c r="E25" i="59" s="1"/>
  <c r="U25" i="59" s="1"/>
  <c r="B45" i="59"/>
  <c r="S45" i="59"/>
  <c r="E44" i="59"/>
  <c r="E45" i="59" s="1"/>
  <c r="U45" i="59"/>
  <c r="S61" i="59"/>
  <c r="F24" i="59"/>
  <c r="F25" i="59" s="1"/>
  <c r="V25" i="59" s="1"/>
  <c r="F32" i="59"/>
  <c r="F33" i="59" s="1"/>
  <c r="F37" i="59"/>
  <c r="V37" i="59"/>
  <c r="F40" i="59"/>
  <c r="F41" i="59" s="1"/>
  <c r="V41" i="59"/>
  <c r="F48" i="59"/>
  <c r="F49" i="59"/>
  <c r="V49" i="59" s="1"/>
  <c r="F52" i="59"/>
  <c r="F53" i="59"/>
  <c r="V53" i="59"/>
  <c r="F57" i="59"/>
  <c r="V57" i="59" s="1"/>
  <c r="C24" i="59"/>
  <c r="D39" i="59"/>
  <c r="D43" i="59"/>
  <c r="C48" i="59"/>
  <c r="D47" i="59"/>
  <c r="D51" i="59"/>
  <c r="C56" i="59"/>
  <c r="D55" i="59"/>
  <c r="E59" i="59"/>
  <c r="P58" i="59" s="1"/>
  <c r="N60" i="59"/>
  <c r="Q60" i="59"/>
  <c r="T61" i="59"/>
  <c r="O61" i="59"/>
  <c r="D61" i="59"/>
  <c r="C60" i="59"/>
  <c r="C59" i="59" s="1"/>
  <c r="P61" i="59"/>
  <c r="U61" i="59"/>
  <c r="Q61" i="59"/>
  <c r="C64" i="59"/>
  <c r="E64" i="59"/>
  <c r="E63" i="59"/>
  <c r="E68" i="59"/>
  <c r="E67" i="59"/>
  <c r="C72" i="59"/>
  <c r="D72" i="59" s="1"/>
  <c r="C76" i="59"/>
  <c r="C75" i="59" s="1"/>
  <c r="C80" i="59"/>
  <c r="C79" i="59" s="1"/>
  <c r="D79" i="59" s="1"/>
  <c r="U16" i="4"/>
  <c r="S16" i="4"/>
  <c r="Q16" i="4"/>
  <c r="O16" i="4"/>
  <c r="N16" i="4" s="1"/>
  <c r="M16" i="4"/>
  <c r="L16" i="4" s="1"/>
  <c r="K16" i="4"/>
  <c r="P59" i="59"/>
  <c r="C71" i="59"/>
  <c r="D71" i="59" s="1"/>
  <c r="D64" i="59"/>
  <c r="C63" i="59"/>
  <c r="D63" i="59"/>
  <c r="O60" i="59"/>
  <c r="D60" i="59"/>
  <c r="D75" i="59"/>
  <c r="N58" i="59"/>
  <c r="N59" i="59"/>
  <c r="C57" i="59"/>
  <c r="D56" i="59"/>
  <c r="D52" i="59"/>
  <c r="C49" i="59"/>
  <c r="D49" i="59" s="1"/>
  <c r="D48" i="59"/>
  <c r="C45" i="59"/>
  <c r="C25" i="59"/>
  <c r="D25" i="59" s="1"/>
  <c r="D24" i="59"/>
  <c r="T53" i="59"/>
  <c r="D53" i="59"/>
  <c r="T45" i="59"/>
  <c r="D45" i="59"/>
  <c r="T57" i="59"/>
  <c r="D57" i="59"/>
  <c r="O59" i="59"/>
  <c r="D59" i="59"/>
  <c r="O58"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c r="F68" i="35" s="1"/>
  <c r="G68" i="35" s="1"/>
  <c r="Q21" i="37"/>
  <c r="Z21" i="37" s="1"/>
  <c r="F21" i="37"/>
  <c r="AA21" i="37" s="1"/>
  <c r="C21" i="37"/>
  <c r="E77" i="37"/>
  <c r="F77" i="37" s="1"/>
  <c r="G77" i="37" s="1"/>
  <c r="D77" i="37"/>
  <c r="Z21" i="34"/>
  <c r="Q21" i="34"/>
  <c r="C21" i="34"/>
  <c r="D84" i="34"/>
  <c r="F21" i="34"/>
  <c r="S21" i="34" s="1"/>
  <c r="Z21" i="33"/>
  <c r="Q21" i="33"/>
  <c r="C21" i="33"/>
  <c r="D83" i="33"/>
  <c r="E83" i="33" s="1"/>
  <c r="F83" i="33" s="1"/>
  <c r="G83" i="33" s="1"/>
  <c r="Z21" i="21"/>
  <c r="Q21" i="21"/>
  <c r="D83" i="21"/>
  <c r="E83" i="21"/>
  <c r="F21" i="21"/>
  <c r="AA21" i="21" s="1"/>
  <c r="C21" i="21"/>
  <c r="Z27" i="40"/>
  <c r="Q27" i="40"/>
  <c r="D96" i="40"/>
  <c r="E96" i="40" s="1"/>
  <c r="F96" i="40" s="1"/>
  <c r="F27" i="40"/>
  <c r="AA27" i="40" s="1"/>
  <c r="Z31" i="39"/>
  <c r="Q31" i="39"/>
  <c r="D105" i="39"/>
  <c r="E105" i="39" s="1"/>
  <c r="F105" i="39" s="1"/>
  <c r="F31" i="39"/>
  <c r="AA31" i="39" s="1"/>
  <c r="G20" i="20"/>
  <c r="C27" i="40" s="1"/>
  <c r="C22" i="20"/>
  <c r="B65" i="46" s="1"/>
  <c r="S18" i="36"/>
  <c r="S18" i="35"/>
  <c r="S21" i="37"/>
  <c r="S21" i="21"/>
  <c r="S31" i="39"/>
  <c r="C31" i="39"/>
  <c r="B54" i="46"/>
  <c r="B74" i="46"/>
  <c r="E66" i="36"/>
  <c r="H18" i="35"/>
  <c r="J18" i="35"/>
  <c r="H21" i="37"/>
  <c r="J21" i="37"/>
  <c r="E84" i="34"/>
  <c r="F84" i="34" s="1"/>
  <c r="G84" i="34" s="1"/>
  <c r="J21" i="34"/>
  <c r="H21" i="34"/>
  <c r="F21" i="33"/>
  <c r="H21" i="33"/>
  <c r="J21" i="33"/>
  <c r="F83" i="21"/>
  <c r="G83" i="21" s="1"/>
  <c r="H21" i="21"/>
  <c r="J21" i="21"/>
  <c r="H27" i="40"/>
  <c r="H31" i="39"/>
  <c r="F23" i="15"/>
  <c r="D23" i="15" s="1"/>
  <c r="G17" i="11"/>
  <c r="F15" i="15"/>
  <c r="F17" i="15"/>
  <c r="F18" i="15"/>
  <c r="F20" i="15"/>
  <c r="F21" i="15"/>
  <c r="F33" i="15"/>
  <c r="F60" i="15" s="1"/>
  <c r="K2" i="4"/>
  <c r="K1" i="4"/>
  <c r="B1" i="4"/>
  <c r="B37" i="50" s="1"/>
  <c r="B2" i="63" s="1"/>
  <c r="C31" i="57"/>
  <c r="C32" i="57"/>
  <c r="I23" i="57"/>
  <c r="D20" i="57"/>
  <c r="I19" i="57"/>
  <c r="I18" i="57"/>
  <c r="I20" i="57" s="1"/>
  <c r="I17" i="57"/>
  <c r="E15" i="57"/>
  <c r="I14" i="57"/>
  <c r="I13" i="57"/>
  <c r="I12" i="57"/>
  <c r="I15" i="57"/>
  <c r="I9" i="57"/>
  <c r="I8" i="57"/>
  <c r="I7" i="57"/>
  <c r="I6" i="57"/>
  <c r="I5" i="57"/>
  <c r="I10" i="57" s="1"/>
  <c r="I4" i="57"/>
  <c r="I3" i="57"/>
  <c r="C30" i="57"/>
  <c r="E26" i="57"/>
  <c r="C112" i="9"/>
  <c r="G2" i="46"/>
  <c r="F80" i="46" s="1"/>
  <c r="H81" i="46" s="1"/>
  <c r="I2" i="46"/>
  <c r="N11" i="46" s="1"/>
  <c r="D1" i="46"/>
  <c r="F113" i="46"/>
  <c r="D99" i="46"/>
  <c r="D108" i="46"/>
  <c r="E99" i="46"/>
  <c r="E108" i="46" s="1"/>
  <c r="F99" i="46"/>
  <c r="F100" i="46"/>
  <c r="G99" i="46"/>
  <c r="G108" i="46" s="1"/>
  <c r="H99" i="46"/>
  <c r="H108" i="46"/>
  <c r="I99" i="46"/>
  <c r="I108" i="46" s="1"/>
  <c r="J99" i="46"/>
  <c r="J108" i="46"/>
  <c r="K99" i="46"/>
  <c r="K108" i="46" s="1"/>
  <c r="L99" i="46"/>
  <c r="L100" i="46"/>
  <c r="M99" i="46"/>
  <c r="M108" i="46" s="1"/>
  <c r="N99" i="46"/>
  <c r="N108" i="46"/>
  <c r="C99" i="46"/>
  <c r="C108" i="46" s="1"/>
  <c r="L108" i="46"/>
  <c r="K58" i="46"/>
  <c r="J58" i="46" s="1"/>
  <c r="D58" i="46"/>
  <c r="K50" i="46"/>
  <c r="D77" i="46"/>
  <c r="B83" i="46"/>
  <c r="B82" i="46"/>
  <c r="B71" i="46"/>
  <c r="B60" i="46"/>
  <c r="B49" i="46"/>
  <c r="M87" i="46"/>
  <c r="N87" i="46" s="1"/>
  <c r="K87" i="46"/>
  <c r="J87" i="46" s="1"/>
  <c r="D87" i="46"/>
  <c r="M86" i="46"/>
  <c r="N86" i="46" s="1"/>
  <c r="K86" i="46"/>
  <c r="D86" i="46" s="1"/>
  <c r="J86" i="46"/>
  <c r="M85" i="46"/>
  <c r="N85" i="46" s="1"/>
  <c r="D85" i="46"/>
  <c r="K85" i="46"/>
  <c r="J85" i="46"/>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c r="M76" i="46"/>
  <c r="N76" i="46" s="1"/>
  <c r="D76" i="46"/>
  <c r="K76" i="46"/>
  <c r="J76" i="46"/>
  <c r="M75" i="46"/>
  <c r="N75" i="46"/>
  <c r="K75" i="46"/>
  <c r="J75" i="46"/>
  <c r="M74" i="46"/>
  <c r="N74" i="46"/>
  <c r="K74" i="46"/>
  <c r="J74" i="46"/>
  <c r="D74" i="46"/>
  <c r="M73" i="46"/>
  <c r="D73" i="46"/>
  <c r="K73" i="46"/>
  <c r="J73" i="46" s="1"/>
  <c r="M72" i="46"/>
  <c r="N72" i="46"/>
  <c r="K72" i="46"/>
  <c r="J72" i="46" s="1"/>
  <c r="D72" i="46"/>
  <c r="M71" i="46"/>
  <c r="N71" i="46" s="1"/>
  <c r="K71" i="46"/>
  <c r="J71" i="46"/>
  <c r="M70" i="46"/>
  <c r="N70" i="46" s="1"/>
  <c r="K70" i="46"/>
  <c r="J70" i="46"/>
  <c r="D70" i="46"/>
  <c r="M69" i="46"/>
  <c r="N69" i="46" s="1"/>
  <c r="K69" i="46"/>
  <c r="J69" i="46"/>
  <c r="M66" i="46"/>
  <c r="N66" i="46" s="1"/>
  <c r="K66" i="46"/>
  <c r="M65" i="46"/>
  <c r="N65" i="46" s="1"/>
  <c r="K65" i="46"/>
  <c r="J65" i="46"/>
  <c r="D65" i="46"/>
  <c r="M64" i="46"/>
  <c r="N64" i="46" s="1"/>
  <c r="K64" i="46"/>
  <c r="J64" i="46"/>
  <c r="D64" i="46"/>
  <c r="M63" i="46"/>
  <c r="N63" i="46"/>
  <c r="K63" i="46"/>
  <c r="J63" i="46" s="1"/>
  <c r="D63" i="46"/>
  <c r="M62" i="46"/>
  <c r="N62" i="46"/>
  <c r="K62" i="46"/>
  <c r="J62" i="46" s="1"/>
  <c r="D62" i="46"/>
  <c r="M61" i="46"/>
  <c r="N61" i="46" s="1"/>
  <c r="K61" i="46"/>
  <c r="J61" i="46"/>
  <c r="D61" i="46"/>
  <c r="M60" i="46"/>
  <c r="N60" i="46" s="1"/>
  <c r="K60" i="46"/>
  <c r="J60" i="46"/>
  <c r="D60" i="46"/>
  <c r="M59" i="46"/>
  <c r="N59" i="46"/>
  <c r="K59" i="46"/>
  <c r="J59" i="46" s="1"/>
  <c r="D59" i="46"/>
  <c r="M58" i="46"/>
  <c r="N58" i="46"/>
  <c r="M55" i="46"/>
  <c r="N55" i="46" s="1"/>
  <c r="K55" i="46"/>
  <c r="J55" i="46"/>
  <c r="M54" i="46"/>
  <c r="N54" i="46" s="1"/>
  <c r="K54" i="46"/>
  <c r="M53" i="46"/>
  <c r="N53" i="46" s="1"/>
  <c r="K53" i="46"/>
  <c r="J53" i="46"/>
  <c r="D53" i="46"/>
  <c r="M52" i="46"/>
  <c r="N52" i="46" s="1"/>
  <c r="K52" i="46"/>
  <c r="J52" i="46"/>
  <c r="D52" i="46"/>
  <c r="M51" i="46"/>
  <c r="N51" i="46"/>
  <c r="K51" i="46"/>
  <c r="J51" i="46" s="1"/>
  <c r="M50" i="46"/>
  <c r="N50" i="46"/>
  <c r="M49" i="46"/>
  <c r="N49" i="46" s="1"/>
  <c r="K49" i="46"/>
  <c r="J49" i="46"/>
  <c r="D49" i="46"/>
  <c r="M48" i="46"/>
  <c r="N48" i="46" s="1"/>
  <c r="K48" i="46"/>
  <c r="J48" i="46"/>
  <c r="D48" i="46"/>
  <c r="M47" i="46"/>
  <c r="N47" i="46"/>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R12" i="1" s="1"/>
  <c r="A13" i="1"/>
  <c r="B13" i="1"/>
  <c r="E13" i="1" s="1"/>
  <c r="A7" i="1"/>
  <c r="A8" i="1"/>
  <c r="A9" i="1"/>
  <c r="A10" i="1"/>
  <c r="R10" i="1" s="1"/>
  <c r="A11" i="1"/>
  <c r="A6" i="1"/>
  <c r="T4" i="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A111" i="3" s="1"/>
  <c r="AZ111" i="3" s="1"/>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G100" i="3" s="1"/>
  <c r="H100" i="3"/>
  <c r="BT99" i="3"/>
  <c r="BS99" i="3"/>
  <c r="BR99" i="3"/>
  <c r="BQ99" i="3"/>
  <c r="BP99" i="3"/>
  <c r="BO99" i="3"/>
  <c r="BN99" i="3"/>
  <c r="BM99" i="3"/>
  <c r="BL99" i="3"/>
  <c r="BK99" i="3"/>
  <c r="BJ99" i="3"/>
  <c r="BI99" i="3"/>
  <c r="BH99" i="3"/>
  <c r="BG99" i="3"/>
  <c r="BF99" i="3"/>
  <c r="BE99" i="3"/>
  <c r="BD99" i="3"/>
  <c r="BC99" i="3"/>
  <c r="BA99" i="3" s="1"/>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L97" i="3"/>
  <c r="BK97" i="3"/>
  <c r="BJ97" i="3"/>
  <c r="BI97" i="3"/>
  <c r="BH97" i="3"/>
  <c r="BG97" i="3"/>
  <c r="BF97" i="3"/>
  <c r="BE97" i="3"/>
  <c r="BD97" i="3"/>
  <c r="BC97" i="3"/>
  <c r="BA97" i="3" s="1"/>
  <c r="AZ97" i="3" s="1"/>
  <c r="BB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c r="BK88" i="3"/>
  <c r="BJ88" i="3"/>
  <c r="BI88" i="3"/>
  <c r="BH88" i="3"/>
  <c r="BG88" i="3"/>
  <c r="BF88" i="3"/>
  <c r="BE88" i="3"/>
  <c r="BD88" i="3"/>
  <c r="BC88" i="3"/>
  <c r="BA88" i="3" s="1"/>
  <c r="AZ88" i="3" s="1"/>
  <c r="BB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L85" i="3"/>
  <c r="BK85" i="3"/>
  <c r="BJ85" i="3"/>
  <c r="BI85" i="3"/>
  <c r="BH85" i="3"/>
  <c r="BG85" i="3"/>
  <c r="BF85" i="3"/>
  <c r="BE85" i="3"/>
  <c r="BD85" i="3"/>
  <c r="BC85" i="3"/>
  <c r="BA85" i="3" s="1"/>
  <c r="BB85" i="3"/>
  <c r="AZ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L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G66" i="3" s="1"/>
  <c r="H66" i="3"/>
  <c r="BT65" i="3"/>
  <c r="BS65" i="3"/>
  <c r="BR65" i="3"/>
  <c r="BQ65" i="3"/>
  <c r="BP65" i="3"/>
  <c r="BO65" i="3"/>
  <c r="BN65" i="3"/>
  <c r="BM65" i="3"/>
  <c r="BL65" i="3"/>
  <c r="BK65" i="3"/>
  <c r="BJ65" i="3"/>
  <c r="BI65" i="3"/>
  <c r="BH65" i="3"/>
  <c r="BG65" i="3"/>
  <c r="BF65" i="3"/>
  <c r="BE65" i="3"/>
  <c r="BD65" i="3"/>
  <c r="BC65" i="3"/>
  <c r="BB65" i="3"/>
  <c r="AX65" i="3"/>
  <c r="AW65" i="3"/>
  <c r="AV65" i="3"/>
  <c r="AC65" i="3"/>
  <c r="H65" i="3"/>
  <c r="BT64" i="3"/>
  <c r="BS64" i="3"/>
  <c r="BR64" i="3"/>
  <c r="BQ64" i="3"/>
  <c r="BP64" i="3"/>
  <c r="BO64" i="3"/>
  <c r="BN64" i="3"/>
  <c r="BL64" i="3" s="1"/>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A194" i="3" s="1"/>
  <c r="AZ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A175" i="3" s="1"/>
  <c r="AZ175" i="3" s="1"/>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A172" i="3" s="1"/>
  <c r="AZ172" i="3" s="1"/>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G145" i="3" s="1"/>
  <c r="BT144" i="3"/>
  <c r="BS144" i="3"/>
  <c r="BR144" i="3"/>
  <c r="BQ144" i="3"/>
  <c r="BP144" i="3"/>
  <c r="BO144" i="3"/>
  <c r="BL144" i="3" s="1"/>
  <c r="BN144" i="3"/>
  <c r="BM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L136" i="3" s="1"/>
  <c r="BN136" i="3"/>
  <c r="BM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A124" i="3" s="1"/>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A123" i="3" s="1"/>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L121" i="3" s="1"/>
  <c r="BN121" i="3"/>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G113" i="3" s="1"/>
  <c r="BT296" i="3"/>
  <c r="BS296" i="3"/>
  <c r="BR296" i="3"/>
  <c r="BQ296" i="3"/>
  <c r="BP296" i="3"/>
  <c r="BO296" i="3"/>
  <c r="BL296" i="3" s="1"/>
  <c r="BN296" i="3"/>
  <c r="BM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AZ291" i="3" s="1"/>
  <c r="BC291" i="3"/>
  <c r="BB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L288" i="3" s="1"/>
  <c r="BN288" i="3"/>
  <c r="BM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AZ283" i="3" s="1"/>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AZ275" i="3" s="1"/>
  <c r="BC275" i="3"/>
  <c r="BB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L263" i="3" s="1"/>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L255" i="3" s="1"/>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AZ251" i="3" s="1"/>
  <c r="BC251" i="3"/>
  <c r="BB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AZ243" i="3" s="1"/>
  <c r="BC243" i="3"/>
  <c r="BB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AZ235" i="3" s="1"/>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A227" i="3" s="1"/>
  <c r="AZ227" i="3" s="1"/>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A224" i="3" s="1"/>
  <c r="AZ224" i="3" s="1"/>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C216" i="3"/>
  <c r="BA216" i="3" s="1"/>
  <c r="AZ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A213" i="3" s="1"/>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A211" i="3" s="1"/>
  <c r="AZ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A208" i="3" s="1"/>
  <c r="AZ208" i="3" s="1"/>
  <c r="BB208" i="3"/>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A205" i="3" s="1"/>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A387" i="3" s="1"/>
  <c r="AZ387" i="3" s="1"/>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L384" i="3" s="1"/>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A350" i="3" s="1"/>
  <c r="AZ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A334" i="3" s="1"/>
  <c r="AZ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L319" i="3" s="1"/>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A318" i="3" s="1"/>
  <c r="BB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G315" i="3" s="1"/>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G479" i="3" s="1"/>
  <c r="H479" i="3"/>
  <c r="BT478" i="3"/>
  <c r="BS478" i="3"/>
  <c r="BR478" i="3"/>
  <c r="BQ478" i="3"/>
  <c r="BP478" i="3"/>
  <c r="BO478" i="3"/>
  <c r="BL478" i="3" s="1"/>
  <c r="AZ478" i="3" s="1"/>
  <c r="BN478" i="3"/>
  <c r="BM478" i="3"/>
  <c r="BK478" i="3"/>
  <c r="BJ478" i="3"/>
  <c r="BI478" i="3"/>
  <c r="BH478" i="3"/>
  <c r="BG478" i="3"/>
  <c r="BF478" i="3"/>
  <c r="BE478" i="3"/>
  <c r="BD478" i="3"/>
  <c r="BC478" i="3"/>
  <c r="BA478" i="3" s="1"/>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AZ473" i="3" s="1"/>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G468" i="3" s="1"/>
  <c r="H468" i="3"/>
  <c r="BT467" i="3"/>
  <c r="BS467" i="3"/>
  <c r="BR467" i="3"/>
  <c r="BQ467" i="3"/>
  <c r="BP467" i="3"/>
  <c r="BO467" i="3"/>
  <c r="BN467" i="3"/>
  <c r="BM467" i="3"/>
  <c r="BL467" i="3" s="1"/>
  <c r="BK467" i="3"/>
  <c r="BJ467" i="3"/>
  <c r="BI467" i="3"/>
  <c r="BH467" i="3"/>
  <c r="BG467" i="3"/>
  <c r="BF467" i="3"/>
  <c r="BE467" i="3"/>
  <c r="BD467" i="3"/>
  <c r="BC467" i="3"/>
  <c r="BA467" i="3" s="1"/>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A465" i="3" s="1"/>
  <c r="AZ465" i="3" s="1"/>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AZ457" i="3" s="1"/>
  <c r="BC457" i="3"/>
  <c r="BB457" i="3"/>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G429" i="3" s="1"/>
  <c r="H429" i="3"/>
  <c r="BT428" i="3"/>
  <c r="BS428" i="3"/>
  <c r="BR428" i="3"/>
  <c r="BQ428" i="3"/>
  <c r="BP428" i="3"/>
  <c r="BO428" i="3"/>
  <c r="BN428" i="3"/>
  <c r="BM428" i="3"/>
  <c r="BL428" i="3"/>
  <c r="BK428" i="3"/>
  <c r="BJ428" i="3"/>
  <c r="BI428" i="3"/>
  <c r="BH428" i="3"/>
  <c r="BG428" i="3"/>
  <c r="BF428" i="3"/>
  <c r="BE428" i="3"/>
  <c r="BD428" i="3"/>
  <c r="BC428" i="3"/>
  <c r="BA428" i="3" s="1"/>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L422" i="3" s="1"/>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s="1"/>
  <c r="AZ417" i="3" s="1"/>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L414" i="3"/>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45" i="21"/>
  <c r="J142" i="21"/>
  <c r="J140" i="21"/>
  <c r="K145" i="21"/>
  <c r="K139" i="21"/>
  <c r="M87" i="21"/>
  <c r="L87" i="21"/>
  <c r="K87" i="21"/>
  <c r="J87" i="21"/>
  <c r="I87" i="21"/>
  <c r="H87" i="21"/>
  <c r="G87" i="21"/>
  <c r="F87" i="21"/>
  <c r="E87" i="21"/>
  <c r="D87" i="21"/>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N12" i="46"/>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c r="C21" i="40"/>
  <c r="C32" i="40"/>
  <c r="F36" i="40"/>
  <c r="AA36" i="40" s="1"/>
  <c r="H10" i="40"/>
  <c r="AB10" i="40" s="1"/>
  <c r="H11" i="40"/>
  <c r="AB11" i="40"/>
  <c r="H36" i="40"/>
  <c r="AB36" i="40" s="1"/>
  <c r="J10" i="40"/>
  <c r="AC10" i="40" s="1"/>
  <c r="J11" i="40"/>
  <c r="AC11" i="40"/>
  <c r="J36" i="40"/>
  <c r="AC36" i="40" s="1"/>
  <c r="F10" i="39"/>
  <c r="AA10" i="39" s="1"/>
  <c r="F11" i="39"/>
  <c r="AA11" i="39" s="1"/>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c r="E55" i="34"/>
  <c r="F55" i="34" s="1"/>
  <c r="I50" i="40"/>
  <c r="J50" i="40" s="1"/>
  <c r="G50" i="40"/>
  <c r="H50" i="40" s="1"/>
  <c r="E50" i="40"/>
  <c r="F50" i="40" s="1"/>
  <c r="I55" i="39"/>
  <c r="J55" i="39"/>
  <c r="G55" i="39"/>
  <c r="H55" i="39" s="1"/>
  <c r="E55" i="39"/>
  <c r="F55" i="39"/>
  <c r="I42" i="36"/>
  <c r="J42" i="36" s="1"/>
  <c r="G42" i="36"/>
  <c r="H42" i="36"/>
  <c r="E42" i="36"/>
  <c r="F42" i="36" s="1"/>
  <c r="I44" i="35"/>
  <c r="J44" i="35"/>
  <c r="G44" i="35"/>
  <c r="H44" i="35" s="1"/>
  <c r="E44" i="35"/>
  <c r="F44" i="35"/>
  <c r="I54" i="33"/>
  <c r="J54" i="33" s="1"/>
  <c r="G54" i="33"/>
  <c r="E54" i="33"/>
  <c r="F54" i="33"/>
  <c r="H14" i="3"/>
  <c r="AC14" i="3"/>
  <c r="G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c r="C26" i="35"/>
  <c r="C79" i="35" s="1"/>
  <c r="J31" i="35"/>
  <c r="H31" i="35"/>
  <c r="AB31" i="35" s="1"/>
  <c r="F31" i="35"/>
  <c r="D87" i="35"/>
  <c r="E87" i="35"/>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W41" i="33" s="1"/>
  <c r="AC41" i="33"/>
  <c r="D113" i="33"/>
  <c r="F37" i="33"/>
  <c r="AA37" i="33"/>
  <c r="D111" i="33"/>
  <c r="E111" i="33" s="1"/>
  <c r="F111" i="33" s="1"/>
  <c r="G111" i="33" s="1"/>
  <c r="H111" i="33" s="1"/>
  <c r="I111" i="33" s="1"/>
  <c r="J111" i="33" s="1"/>
  <c r="K111" i="33" s="1"/>
  <c r="L111" i="33" s="1"/>
  <c r="M111" i="33" s="1"/>
  <c r="S515" i="31"/>
  <c r="S517" i="31"/>
  <c r="S519" i="31"/>
  <c r="S521" i="31"/>
  <c r="S523" i="31"/>
  <c r="F41" i="21"/>
  <c r="J41" i="21"/>
  <c r="AC41" i="21" s="1"/>
  <c r="H41" i="21"/>
  <c r="U41" i="2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s="1"/>
  <c r="D98" i="40"/>
  <c r="E98" i="40"/>
  <c r="B97" i="40"/>
  <c r="D94" i="40"/>
  <c r="D92" i="40"/>
  <c r="D90" i="40"/>
  <c r="H21" i="40"/>
  <c r="AB21" i="40" s="1"/>
  <c r="D88" i="40"/>
  <c r="E88" i="40"/>
  <c r="D86" i="40"/>
  <c r="E86"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s="1"/>
  <c r="Q34" i="40"/>
  <c r="Z34" i="40" s="1"/>
  <c r="Q33" i="40"/>
  <c r="Z33" i="40" s="1"/>
  <c r="Q32" i="40"/>
  <c r="Z32" i="40"/>
  <c r="Q30" i="40"/>
  <c r="Z30" i="40" s="1"/>
  <c r="Q29" i="40"/>
  <c r="Z29" i="40"/>
  <c r="Q25" i="40"/>
  <c r="Z25" i="40" s="1"/>
  <c r="Q23" i="40"/>
  <c r="Z23" i="40"/>
  <c r="Q21" i="40"/>
  <c r="Z21" i="40" s="1"/>
  <c r="Q19" i="40"/>
  <c r="Z19" i="40"/>
  <c r="Q17" i="40"/>
  <c r="Z17" i="40" s="1"/>
  <c r="Q16" i="40"/>
  <c r="Z16" i="40"/>
  <c r="Q15" i="40"/>
  <c r="Z15" i="40" s="1"/>
  <c r="Q14" i="40"/>
  <c r="Z14" i="40"/>
  <c r="Q13" i="40"/>
  <c r="Z13" i="40" s="1"/>
  <c r="Q12" i="40"/>
  <c r="Z12" i="40"/>
  <c r="Q11" i="40"/>
  <c r="Z11" i="40" s="1"/>
  <c r="C9" i="40"/>
  <c r="C65" i="40"/>
  <c r="D126" i="39"/>
  <c r="E126" i="39" s="1"/>
  <c r="F126" i="39" s="1"/>
  <c r="G126" i="39"/>
  <c r="H126" i="39" s="1"/>
  <c r="I126" i="39"/>
  <c r="J126" i="39" s="1"/>
  <c r="K126" i="39" s="1"/>
  <c r="L126" i="39" s="1"/>
  <c r="M126" i="39" s="1"/>
  <c r="D122" i="39"/>
  <c r="E122" i="39"/>
  <c r="F122" i="39"/>
  <c r="G122" i="39" s="1"/>
  <c r="H122" i="39" s="1"/>
  <c r="I122" i="39"/>
  <c r="J122" i="39" s="1"/>
  <c r="K122" i="39" s="1"/>
  <c r="L122" i="39" s="1"/>
  <c r="M122" i="39" s="1"/>
  <c r="B116" i="39"/>
  <c r="D111" i="39"/>
  <c r="E111" i="39" s="1"/>
  <c r="F111" i="39"/>
  <c r="G111" i="39" s="1"/>
  <c r="H111" i="39"/>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c r="K107" i="39" s="1"/>
  <c r="L107" i="39" s="1"/>
  <c r="M107" i="39" s="1"/>
  <c r="D103" i="39"/>
  <c r="D101" i="39"/>
  <c r="E101" i="39" s="1"/>
  <c r="F101" i="39" s="1"/>
  <c r="G101" i="39" s="1"/>
  <c r="Q41" i="39"/>
  <c r="Z41" i="39"/>
  <c r="Q42" i="39"/>
  <c r="Z42" i="39"/>
  <c r="Q43" i="39"/>
  <c r="Q44" i="39"/>
  <c r="Z44" i="39" s="1"/>
  <c r="Q45" i="39"/>
  <c r="Z45" i="39"/>
  <c r="Q46" i="39"/>
  <c r="Z46" i="39" s="1"/>
  <c r="Q47" i="39"/>
  <c r="Z47" i="39" s="1"/>
  <c r="Q40" i="39"/>
  <c r="Z40" i="39" s="1"/>
  <c r="Q38" i="39"/>
  <c r="Z38" i="39"/>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c r="F93" i="39" s="1"/>
  <c r="G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c r="Q27" i="39"/>
  <c r="Z27" i="39" s="1"/>
  <c r="Q25" i="39"/>
  <c r="Z25" i="39" s="1"/>
  <c r="Q23" i="39"/>
  <c r="Z23" i="39" s="1"/>
  <c r="Q21" i="39"/>
  <c r="Z21" i="39"/>
  <c r="Q19" i="39"/>
  <c r="Z19" i="39" s="1"/>
  <c r="Q17" i="39"/>
  <c r="Z17" i="39" s="1"/>
  <c r="Q16" i="39"/>
  <c r="Z16" i="39" s="1"/>
  <c r="Q15" i="39"/>
  <c r="Z15" i="39"/>
  <c r="Q14" i="39"/>
  <c r="Z14" i="39" s="1"/>
  <c r="Q13" i="39"/>
  <c r="Z13" i="39" s="1"/>
  <c r="Q12" i="39"/>
  <c r="Z12" i="39" s="1"/>
  <c r="Q11" i="39"/>
  <c r="Z11" i="39"/>
  <c r="U10" i="39"/>
  <c r="C9" i="39"/>
  <c r="C70" i="39" s="1"/>
  <c r="C20" i="36"/>
  <c r="C20" i="35"/>
  <c r="C16" i="36"/>
  <c r="C16" i="35"/>
  <c r="C14" i="36"/>
  <c r="C14" i="35"/>
  <c r="B80" i="37"/>
  <c r="H25" i="37"/>
  <c r="U25" i="37"/>
  <c r="B110" i="37"/>
  <c r="J39" i="37" s="1"/>
  <c r="AC39" i="37"/>
  <c r="B108" i="37"/>
  <c r="C23" i="37"/>
  <c r="C19" i="37"/>
  <c r="C17" i="37"/>
  <c r="C15" i="37"/>
  <c r="B112" i="37"/>
  <c r="D107" i="37"/>
  <c r="E107" i="37"/>
  <c r="D105" i="37"/>
  <c r="E105" i="37"/>
  <c r="H36" i="37"/>
  <c r="D103" i="37"/>
  <c r="E103" i="37" s="1"/>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s="1"/>
  <c r="F75" i="37" s="1"/>
  <c r="D73" i="37"/>
  <c r="E73" i="37"/>
  <c r="F73" i="37" s="1"/>
  <c r="G73" i="37" s="1"/>
  <c r="D71" i="37"/>
  <c r="E71" i="37" s="1"/>
  <c r="F71" i="37"/>
  <c r="G71" i="37" s="1"/>
  <c r="F15" i="37"/>
  <c r="AA15" i="37" s="1"/>
  <c r="B68" i="37"/>
  <c r="H14" i="37" s="1"/>
  <c r="U14" i="37"/>
  <c r="B66" i="37"/>
  <c r="B64" i="37"/>
  <c r="D63" i="37"/>
  <c r="E63" i="37"/>
  <c r="F63" i="37" s="1"/>
  <c r="G63" i="37" s="1"/>
  <c r="H63" i="37" s="1"/>
  <c r="I63" i="37" s="1"/>
  <c r="J63" i="37"/>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s="1"/>
  <c r="J30" i="37"/>
  <c r="W30" i="37" s="1"/>
  <c r="H30" i="37"/>
  <c r="AB30" i="37" s="1"/>
  <c r="F30" i="37"/>
  <c r="Q29" i="37"/>
  <c r="Z29" i="37" s="1"/>
  <c r="H29" i="37"/>
  <c r="U29" i="37"/>
  <c r="Q28" i="37"/>
  <c r="Z28" i="37" s="1"/>
  <c r="Q27" i="37"/>
  <c r="Z27" i="37"/>
  <c r="Q26" i="37"/>
  <c r="Z26" i="37" s="1"/>
  <c r="H26" i="37"/>
  <c r="AB26" i="37" s="1"/>
  <c r="F26" i="37"/>
  <c r="AA26" i="37" s="1"/>
  <c r="Q25" i="37"/>
  <c r="Z25" i="37" s="1"/>
  <c r="J25" i="37"/>
  <c r="W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c r="D81" i="36"/>
  <c r="E81" i="36" s="1"/>
  <c r="F81" i="36" s="1"/>
  <c r="G81" i="36" s="1"/>
  <c r="H81" i="36"/>
  <c r="I81" i="36" s="1"/>
  <c r="J81" i="36" s="1"/>
  <c r="K81" i="36" s="1"/>
  <c r="L81" i="36" s="1"/>
  <c r="M81" i="36" s="1"/>
  <c r="F79" i="36"/>
  <c r="E79" i="36"/>
  <c r="D79" i="36"/>
  <c r="C79" i="36"/>
  <c r="B93" i="36"/>
  <c r="B91" i="36"/>
  <c r="F32" i="36" s="1"/>
  <c r="S32" i="36" s="1"/>
  <c r="B95" i="36"/>
  <c r="H34" i="36"/>
  <c r="D83" i="36"/>
  <c r="E83" i="36" s="1"/>
  <c r="F83" i="36" s="1"/>
  <c r="G83" i="36" s="1"/>
  <c r="H83" i="36" s="1"/>
  <c r="I83" i="36" s="1"/>
  <c r="J83" i="36" s="1"/>
  <c r="K83" i="36" s="1"/>
  <c r="L83" i="36" s="1"/>
  <c r="M83" i="36" s="1"/>
  <c r="D78" i="36"/>
  <c r="J26" i="36"/>
  <c r="W26" i="36" s="1"/>
  <c r="B75" i="36"/>
  <c r="B73" i="36"/>
  <c r="B71" i="36"/>
  <c r="D70" i="36"/>
  <c r="H22" i="36"/>
  <c r="AB22" i="36" s="1"/>
  <c r="D68" i="36"/>
  <c r="E68" i="36"/>
  <c r="D64" i="36"/>
  <c r="E64" i="36" s="1"/>
  <c r="F64" i="36" s="1"/>
  <c r="G64" i="36" s="1"/>
  <c r="J16" i="36"/>
  <c r="D62" i="36"/>
  <c r="E62" i="36" s="1"/>
  <c r="B59" i="36"/>
  <c r="B57" i="36"/>
  <c r="H12" i="36" s="1"/>
  <c r="J12" i="36"/>
  <c r="B55" i="36"/>
  <c r="F54" i="36"/>
  <c r="G54" i="36" s="1"/>
  <c r="H54" i="36"/>
  <c r="I54" i="36" s="1"/>
  <c r="J10" i="36"/>
  <c r="W10" i="36" s="1"/>
  <c r="C51" i="36"/>
  <c r="H9" i="36" s="1"/>
  <c r="P37" i="36"/>
  <c r="P36" i="36"/>
  <c r="V35" i="36"/>
  <c r="T35" i="36"/>
  <c r="R35" i="36"/>
  <c r="P35" i="36"/>
  <c r="Q34" i="36"/>
  <c r="Z34" i="36" s="1"/>
  <c r="Q33" i="36"/>
  <c r="Z33" i="36"/>
  <c r="Q32" i="36"/>
  <c r="Z32" i="36" s="1"/>
  <c r="Q31" i="36"/>
  <c r="Z31" i="36"/>
  <c r="Q30" i="36"/>
  <c r="Z30" i="36" s="1"/>
  <c r="Q29" i="36"/>
  <c r="Z29" i="36"/>
  <c r="Q28" i="36"/>
  <c r="Z28" i="36" s="1"/>
  <c r="J28" i="36"/>
  <c r="AC28" i="36"/>
  <c r="Q27" i="36"/>
  <c r="Z27" i="36" s="1"/>
  <c r="Q26" i="36"/>
  <c r="Z26" i="36"/>
  <c r="H26" i="36"/>
  <c r="AB26" i="36" s="1"/>
  <c r="Q25" i="36"/>
  <c r="Z25" i="36"/>
  <c r="Q24" i="36"/>
  <c r="Z24" i="36" s="1"/>
  <c r="Q23" i="36"/>
  <c r="Z23" i="36" s="1"/>
  <c r="J23" i="36"/>
  <c r="AC23" i="36"/>
  <c r="H23" i="36"/>
  <c r="AB23" i="36" s="1"/>
  <c r="F23" i="36"/>
  <c r="AA23" i="36"/>
  <c r="Q22" i="36"/>
  <c r="Z22" i="36" s="1"/>
  <c r="J22" i="36"/>
  <c r="AC22" i="36"/>
  <c r="Q20" i="36"/>
  <c r="Z20" i="36" s="1"/>
  <c r="Q16" i="36"/>
  <c r="Z16" i="36"/>
  <c r="Q14" i="36"/>
  <c r="Z14" i="36" s="1"/>
  <c r="Q13" i="36"/>
  <c r="Z13" i="36"/>
  <c r="Q12" i="36"/>
  <c r="Z12" i="36" s="1"/>
  <c r="U12" i="36"/>
  <c r="Q11" i="36"/>
  <c r="Z11" i="36" s="1"/>
  <c r="Q10" i="36"/>
  <c r="Z10" i="36"/>
  <c r="F10" i="36"/>
  <c r="AA10" i="36" s="1"/>
  <c r="Q9" i="36"/>
  <c r="Z9" i="36"/>
  <c r="J9" i="36"/>
  <c r="AC9" i="36" s="1"/>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B97" i="35"/>
  <c r="B77" i="35"/>
  <c r="B75" i="35"/>
  <c r="J24" i="35" s="1"/>
  <c r="B73" i="35"/>
  <c r="B57" i="35"/>
  <c r="B61" i="35"/>
  <c r="B59" i="35"/>
  <c r="H12"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s="1"/>
  <c r="H56" i="35" s="1"/>
  <c r="I56" i="35" s="1"/>
  <c r="C53" i="35"/>
  <c r="F9" i="35" s="1"/>
  <c r="AA9" i="35" s="1"/>
  <c r="P39" i="35"/>
  <c r="P38" i="35"/>
  <c r="V37" i="35"/>
  <c r="T37" i="35"/>
  <c r="R37" i="35"/>
  <c r="P37" i="35"/>
  <c r="Q36" i="35"/>
  <c r="Z36" i="35" s="1"/>
  <c r="Q35" i="35"/>
  <c r="Z35" i="35" s="1"/>
  <c r="Q34" i="35"/>
  <c r="Z34" i="35" s="1"/>
  <c r="J34" i="35"/>
  <c r="AC34" i="35" s="1"/>
  <c r="H34" i="35"/>
  <c r="AB34" i="35" s="1"/>
  <c r="F34" i="35"/>
  <c r="AA34" i="35" s="1"/>
  <c r="Q33" i="35"/>
  <c r="Z33" i="35"/>
  <c r="Q32" i="35"/>
  <c r="Z32" i="35" s="1"/>
  <c r="H32" i="35"/>
  <c r="AB32" i="35" s="1"/>
  <c r="F32" i="35"/>
  <c r="AA32" i="35" s="1"/>
  <c r="Q31" i="35"/>
  <c r="Z31" i="35" s="1"/>
  <c r="AC31" i="35"/>
  <c r="AA31" i="35"/>
  <c r="Q30" i="35"/>
  <c r="Z30" i="35" s="1"/>
  <c r="Q29" i="35"/>
  <c r="Z29" i="35"/>
  <c r="Q28" i="35"/>
  <c r="Z28" i="35" s="1"/>
  <c r="J28" i="35"/>
  <c r="H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J12" i="35"/>
  <c r="W12" i="35"/>
  <c r="F12" i="35"/>
  <c r="AA12" i="35" s="1"/>
  <c r="Q11" i="35"/>
  <c r="Z11" i="35"/>
  <c r="Q10" i="35"/>
  <c r="Z10" i="35" s="1"/>
  <c r="Q9" i="35"/>
  <c r="Z9" i="35"/>
  <c r="J9" i="35"/>
  <c r="W9" i="35" s="1"/>
  <c r="J8" i="35"/>
  <c r="H8" i="35"/>
  <c r="F8" i="35"/>
  <c r="AA8" i="35"/>
  <c r="C7" i="35"/>
  <c r="D120" i="34"/>
  <c r="E120" i="34" s="1"/>
  <c r="F120" i="34" s="1"/>
  <c r="G120" i="34" s="1"/>
  <c r="H120" i="34"/>
  <c r="I120" i="34" s="1"/>
  <c r="J120" i="34" s="1"/>
  <c r="K120" i="34" s="1"/>
  <c r="L120" i="34" s="1"/>
  <c r="M120" i="34" s="1"/>
  <c r="D90" i="34"/>
  <c r="C15" i="34"/>
  <c r="F67" i="34"/>
  <c r="G67" i="34" s="1"/>
  <c r="H67" i="34" s="1"/>
  <c r="I67" i="34"/>
  <c r="H10" i="34"/>
  <c r="AB10" i="34" s="1"/>
  <c r="D126" i="34"/>
  <c r="E126" i="34" s="1"/>
  <c r="F126" i="34" s="1"/>
  <c r="G126" i="34" s="1"/>
  <c r="D124" i="34"/>
  <c r="E124" i="34" s="1"/>
  <c r="F124" i="34" s="1"/>
  <c r="G124" i="34" s="1"/>
  <c r="H124" i="34"/>
  <c r="I124" i="34" s="1"/>
  <c r="J124" i="34" s="1"/>
  <c r="K124" i="34" s="1"/>
  <c r="L124" i="34" s="1"/>
  <c r="M124" i="34" s="1"/>
  <c r="J43" i="34"/>
  <c r="D118" i="34"/>
  <c r="E118" i="34"/>
  <c r="F118" i="34"/>
  <c r="G118" i="34" s="1"/>
  <c r="H40" i="34"/>
  <c r="U40" i="34"/>
  <c r="D116" i="34"/>
  <c r="E116" i="34" s="1"/>
  <c r="F116" i="34" s="1"/>
  <c r="G116" i="34" s="1"/>
  <c r="H116" i="34" s="1"/>
  <c r="I116" i="34" s="1"/>
  <c r="J116" i="34" s="1"/>
  <c r="K116" i="34" s="1"/>
  <c r="L116" i="34" s="1"/>
  <c r="M116" i="34" s="1"/>
  <c r="F110" i="34"/>
  <c r="E110" i="34"/>
  <c r="D110" i="34"/>
  <c r="C110" i="34"/>
  <c r="D109" i="34"/>
  <c r="E109" i="34"/>
  <c r="F109" i="34" s="1"/>
  <c r="G109" i="34" s="1"/>
  <c r="H109" i="34" s="1"/>
  <c r="I109" i="34"/>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S28" i="34"/>
  <c r="B89" i="34"/>
  <c r="J27" i="34" s="1"/>
  <c r="D88" i="34"/>
  <c r="E88" i="34"/>
  <c r="F88" i="34" s="1"/>
  <c r="G88" i="34" s="1"/>
  <c r="H88" i="34" s="1"/>
  <c r="I88" i="34" s="1"/>
  <c r="J88" i="34"/>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c r="Q45" i="34"/>
  <c r="Z45" i="34" s="1"/>
  <c r="Q44" i="34"/>
  <c r="Z44" i="34"/>
  <c r="H44" i="34"/>
  <c r="AB44" i="34" s="1"/>
  <c r="Q43" i="34"/>
  <c r="Z43" i="34"/>
  <c r="F43" i="34"/>
  <c r="AA43" i="34" s="1"/>
  <c r="Q42" i="34"/>
  <c r="Z42" i="34"/>
  <c r="Q41" i="34"/>
  <c r="Z41" i="34" s="1"/>
  <c r="Q40" i="34"/>
  <c r="Z40" i="34"/>
  <c r="F40" i="34"/>
  <c r="S40" i="34" s="1"/>
  <c r="Q39" i="34"/>
  <c r="Z39" i="34"/>
  <c r="J39" i="34"/>
  <c r="AC39" i="34" s="1"/>
  <c r="H39" i="34"/>
  <c r="U39" i="34"/>
  <c r="F39" i="34"/>
  <c r="Q38" i="34"/>
  <c r="Z38" i="34" s="1"/>
  <c r="Q37" i="34"/>
  <c r="Z37" i="34"/>
  <c r="Q36" i="34"/>
  <c r="Z36" i="34" s="1"/>
  <c r="Q35" i="34"/>
  <c r="Z35" i="34" s="1"/>
  <c r="Q34" i="34"/>
  <c r="Z34" i="34" s="1"/>
  <c r="J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s="1"/>
  <c r="Q14" i="34"/>
  <c r="Z14" i="34" s="1"/>
  <c r="Q13" i="34"/>
  <c r="Z13" i="34" s="1"/>
  <c r="Q12" i="34"/>
  <c r="Z12" i="34"/>
  <c r="Q11" i="34"/>
  <c r="Z11" i="34" s="1"/>
  <c r="Q10" i="34"/>
  <c r="Z10" i="34" s="1"/>
  <c r="F10" i="34"/>
  <c r="AA10" i="34" s="1"/>
  <c r="Q9" i="34"/>
  <c r="Z9" i="34" s="1"/>
  <c r="H9" i="34"/>
  <c r="AB9" i="34" s="1"/>
  <c r="F9" i="34"/>
  <c r="AA9" i="34" s="1"/>
  <c r="J8" i="34"/>
  <c r="AC8" i="34"/>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c r="AC26" i="33"/>
  <c r="C23" i="33"/>
  <c r="C19" i="33"/>
  <c r="C17" i="33"/>
  <c r="C15" i="33"/>
  <c r="C15" i="21"/>
  <c r="D125" i="33"/>
  <c r="D123" i="33"/>
  <c r="D117" i="33"/>
  <c r="E117" i="33"/>
  <c r="F117" i="33" s="1"/>
  <c r="G117" i="33" s="1"/>
  <c r="D115" i="33"/>
  <c r="E115" i="33"/>
  <c r="F115" i="33" s="1"/>
  <c r="G115" i="33"/>
  <c r="H115" i="33" s="1"/>
  <c r="I115" i="33" s="1"/>
  <c r="J115" i="33" s="1"/>
  <c r="K115" i="33"/>
  <c r="L115" i="33" s="1"/>
  <c r="M115" i="33" s="1"/>
  <c r="D108" i="33"/>
  <c r="E108" i="33"/>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s="1"/>
  <c r="D81" i="33"/>
  <c r="E81" i="33"/>
  <c r="F81" i="33"/>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s="1"/>
  <c r="Q44" i="33"/>
  <c r="Z44" i="33"/>
  <c r="Q43" i="33"/>
  <c r="Z43" i="33" s="1"/>
  <c r="Q42" i="33"/>
  <c r="Z42" i="33"/>
  <c r="J42" i="33"/>
  <c r="AC42" i="33" s="1"/>
  <c r="Q41" i="33"/>
  <c r="Z41" i="33" s="1"/>
  <c r="Q40" i="33"/>
  <c r="Z40" i="33" s="1"/>
  <c r="J40" i="33"/>
  <c r="AC40" i="33"/>
  <c r="H40" i="33"/>
  <c r="AA40" i="33"/>
  <c r="Q39" i="33"/>
  <c r="Z39" i="33"/>
  <c r="J39" i="33"/>
  <c r="AC39" i="33" s="1"/>
  <c r="Q38" i="33"/>
  <c r="Z38" i="33" s="1"/>
  <c r="J38" i="33"/>
  <c r="AC38" i="33" s="1"/>
  <c r="H38" i="33"/>
  <c r="AB38" i="33" s="1"/>
  <c r="F38" i="33"/>
  <c r="AA38" i="33" s="1"/>
  <c r="Q37" i="33"/>
  <c r="Z37" i="33"/>
  <c r="Q36" i="33"/>
  <c r="Z36" i="33" s="1"/>
  <c r="Q35" i="33"/>
  <c r="Z35" i="33"/>
  <c r="H35" i="33"/>
  <c r="AB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s="1"/>
  <c r="J12" i="33"/>
  <c r="W12" i="33" s="1"/>
  <c r="H12" i="33"/>
  <c r="U12" i="33"/>
  <c r="F12" i="33"/>
  <c r="S12" i="33" s="1"/>
  <c r="Q11" i="33"/>
  <c r="Z11" i="33" s="1"/>
  <c r="Q10" i="33"/>
  <c r="Z10" i="33" s="1"/>
  <c r="Q9" i="33"/>
  <c r="Z9" i="33" s="1"/>
  <c r="J9" i="33"/>
  <c r="AC9" i="33" s="1"/>
  <c r="H9" i="33"/>
  <c r="AB9" i="33"/>
  <c r="F9" i="33"/>
  <c r="AA9" i="33" s="1"/>
  <c r="J8" i="33"/>
  <c r="W8" i="33"/>
  <c r="H8" i="33"/>
  <c r="F8" i="33"/>
  <c r="C7" i="33"/>
  <c r="C58" i="33"/>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c r="H123" i="21" s="1"/>
  <c r="I123" i="21" s="1"/>
  <c r="J123" i="21" s="1"/>
  <c r="K123" i="21"/>
  <c r="L123" i="21" s="1"/>
  <c r="M123" i="21" s="1"/>
  <c r="H42" i="21"/>
  <c r="AB42" i="21"/>
  <c r="D119" i="21"/>
  <c r="D117" i="21"/>
  <c r="E117" i="21" s="1"/>
  <c r="F117" i="21" s="1"/>
  <c r="G117" i="21" s="1"/>
  <c r="D115" i="21"/>
  <c r="E115" i="21" s="1"/>
  <c r="F115" i="21" s="1"/>
  <c r="G115" i="21" s="1"/>
  <c r="H115" i="2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c r="D108" i="21"/>
  <c r="E108" i="21" s="1"/>
  <c r="F108" i="21" s="1"/>
  <c r="G108" i="21"/>
  <c r="H108" i="2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c r="D81" i="21"/>
  <c r="E81" i="21" s="1"/>
  <c r="F81" i="21" s="1"/>
  <c r="G81" i="21" s="1"/>
  <c r="D77" i="21"/>
  <c r="E77" i="21" s="1"/>
  <c r="B130" i="21"/>
  <c r="B128" i="21"/>
  <c r="B126" i="21"/>
  <c r="B98" i="21"/>
  <c r="B96" i="21"/>
  <c r="B94" i="21"/>
  <c r="B92" i="21"/>
  <c r="B90" i="21"/>
  <c r="B74" i="21"/>
  <c r="B72" i="21"/>
  <c r="B70" i="21"/>
  <c r="F10" i="21"/>
  <c r="AA10" i="21"/>
  <c r="C7" i="21"/>
  <c r="C58" i="21" s="1"/>
  <c r="C19" i="21"/>
  <c r="C17" i="21"/>
  <c r="C23" i="21"/>
  <c r="Q9" i="21"/>
  <c r="Z9" i="21" s="1"/>
  <c r="Q10" i="21"/>
  <c r="Z10" i="21" s="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c r="Q29" i="21"/>
  <c r="Z29" i="21" s="1"/>
  <c r="Q30" i="21"/>
  <c r="Z30" i="2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Q40" i="21"/>
  <c r="Z40" i="21" s="1"/>
  <c r="Q41" i="21"/>
  <c r="Z41" i="21"/>
  <c r="Q42" i="21"/>
  <c r="Z42" i="21" s="1"/>
  <c r="J43" i="21"/>
  <c r="AC43" i="21" s="1"/>
  <c r="Q43" i="21"/>
  <c r="Z43" i="21" s="1"/>
  <c r="Q44" i="21"/>
  <c r="Z44" i="21"/>
  <c r="Q45" i="21"/>
  <c r="Z45" i="21" s="1"/>
  <c r="Q46" i="21"/>
  <c r="Z46" i="21" s="1"/>
  <c r="P47" i="21"/>
  <c r="R47" i="21"/>
  <c r="T47" i="21"/>
  <c r="V47" i="21"/>
  <c r="P48" i="21"/>
  <c r="P49" i="21"/>
  <c r="F8" i="21"/>
  <c r="S8" i="21" s="1"/>
  <c r="E12" i="11"/>
  <c r="C9" i="12"/>
  <c r="C6" i="12"/>
  <c r="C24" i="12" s="1"/>
  <c r="BB12" i="3"/>
  <c r="F9" i="12"/>
  <c r="D9" i="12"/>
  <c r="E9" i="12"/>
  <c r="G9" i="12"/>
  <c r="K5" i="3"/>
  <c r="J5" i="3"/>
  <c r="BE10" i="3"/>
  <c r="BD13" i="3"/>
  <c r="BE13" i="3"/>
  <c r="BF13" i="3"/>
  <c r="BF5" i="3" s="1"/>
  <c r="BG13" i="3"/>
  <c r="BH13" i="3"/>
  <c r="BH5"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T5" i="3" s="1"/>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c r="H43" i="21"/>
  <c r="AB43" i="21" s="1"/>
  <c r="F32" i="21"/>
  <c r="F38" i="21"/>
  <c r="AA38" i="21" s="1"/>
  <c r="S38" i="21"/>
  <c r="F36" i="21"/>
  <c r="S36" i="21"/>
  <c r="F39" i="21"/>
  <c r="AA39" i="21" s="1"/>
  <c r="J40" i="21"/>
  <c r="W40" i="21"/>
  <c r="H35" i="21"/>
  <c r="AB35" i="21" s="1"/>
  <c r="J8" i="21"/>
  <c r="AC8" i="21"/>
  <c r="J9" i="21"/>
  <c r="AC9" i="21" s="1"/>
  <c r="H8" i="21"/>
  <c r="H9" i="21"/>
  <c r="U9" i="21" s="1"/>
  <c r="H10" i="21"/>
  <c r="U10" i="21" s="1"/>
  <c r="H39" i="21"/>
  <c r="AB39" i="21"/>
  <c r="J34" i="21"/>
  <c r="W34" i="21" s="1"/>
  <c r="H36" i="21"/>
  <c r="U36" i="21" s="1"/>
  <c r="F35" i="21"/>
  <c r="AA35" i="21" s="1"/>
  <c r="J33" i="21"/>
  <c r="W33" i="21"/>
  <c r="H33" i="21"/>
  <c r="U33" i="21" s="1"/>
  <c r="F33" i="21"/>
  <c r="J10" i="21"/>
  <c r="AC10" i="21" s="1"/>
  <c r="H26" i="21"/>
  <c r="F19" i="21"/>
  <c r="AA19" i="21" s="1"/>
  <c r="H19" i="21"/>
  <c r="AB19" i="21" s="1"/>
  <c r="J19" i="21"/>
  <c r="W19" i="21"/>
  <c r="J12" i="21"/>
  <c r="J26" i="21"/>
  <c r="W26" i="21"/>
  <c r="F26" i="21"/>
  <c r="AA26" i="21"/>
  <c r="AB41" i="21"/>
  <c r="S41" i="21"/>
  <c r="AA41" i="21"/>
  <c r="W41" i="21"/>
  <c r="S10" i="39"/>
  <c r="U30" i="37"/>
  <c r="F103" i="37"/>
  <c r="F39" i="37"/>
  <c r="S39" i="37" s="1"/>
  <c r="W39" i="37"/>
  <c r="F29" i="36"/>
  <c r="AA29" i="36"/>
  <c r="F16" i="36"/>
  <c r="AA16" i="36" s="1"/>
  <c r="U22" i="36"/>
  <c r="W23" i="36"/>
  <c r="W22" i="36"/>
  <c r="U26" i="36"/>
  <c r="AC31" i="36"/>
  <c r="J33" i="36"/>
  <c r="W33" i="36"/>
  <c r="AC27" i="35"/>
  <c r="U31" i="35"/>
  <c r="S34" i="35"/>
  <c r="S31" i="35"/>
  <c r="W31" i="35"/>
  <c r="U34" i="35"/>
  <c r="F36" i="34"/>
  <c r="S36" i="34"/>
  <c r="W9" i="34"/>
  <c r="S34" i="34"/>
  <c r="W39" i="34"/>
  <c r="H39" i="33"/>
  <c r="AB39" i="33"/>
  <c r="F26" i="33"/>
  <c r="AA26" i="33" s="1"/>
  <c r="U9" i="33"/>
  <c r="U33" i="33"/>
  <c r="W38" i="33"/>
  <c r="S40" i="33"/>
  <c r="S33" i="33"/>
  <c r="W33" i="33"/>
  <c r="U38" i="33"/>
  <c r="W8" i="21"/>
  <c r="H39" i="37"/>
  <c r="AB39" i="37" s="1"/>
  <c r="S10" i="40"/>
  <c r="W10" i="40"/>
  <c r="S11" i="40"/>
  <c r="U11" i="40"/>
  <c r="S36" i="40"/>
  <c r="U36" i="40"/>
  <c r="S40" i="39"/>
  <c r="S36" i="39"/>
  <c r="F11" i="21"/>
  <c r="S11" i="21" s="1"/>
  <c r="AC40" i="21"/>
  <c r="AB36" i="21"/>
  <c r="AC35" i="21"/>
  <c r="C29" i="39"/>
  <c r="C23" i="39"/>
  <c r="U36" i="39"/>
  <c r="S42" i="39"/>
  <c r="H32" i="33"/>
  <c r="AB32" i="33" s="1"/>
  <c r="H11" i="21"/>
  <c r="U11" i="21" s="1"/>
  <c r="J11" i="21"/>
  <c r="W11" i="21" s="1"/>
  <c r="F100" i="40"/>
  <c r="F86" i="40"/>
  <c r="J17" i="40" s="1"/>
  <c r="AA12" i="33"/>
  <c r="J27" i="36"/>
  <c r="W27" i="36" s="1"/>
  <c r="J34" i="36"/>
  <c r="W34" i="36" s="1"/>
  <c r="J30" i="35"/>
  <c r="W30" i="35"/>
  <c r="F22" i="35"/>
  <c r="AA22" i="35" s="1"/>
  <c r="H10" i="35"/>
  <c r="U10" i="35" s="1"/>
  <c r="U29" i="36"/>
  <c r="E85" i="36"/>
  <c r="F85" i="36"/>
  <c r="G85" i="36" s="1"/>
  <c r="H85" i="36" s="1"/>
  <c r="I85" i="36" s="1"/>
  <c r="J85" i="36" s="1"/>
  <c r="K85" i="36" s="1"/>
  <c r="L85" i="36" s="1"/>
  <c r="M85" i="36" s="1"/>
  <c r="J29" i="36"/>
  <c r="AC29" i="36" s="1"/>
  <c r="F12" i="36"/>
  <c r="S12" i="36"/>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AA28" i="34"/>
  <c r="F19" i="34"/>
  <c r="AA19" i="34" s="1"/>
  <c r="J10" i="34"/>
  <c r="AC10" i="34" s="1"/>
  <c r="U9" i="34"/>
  <c r="W8" i="34"/>
  <c r="J28" i="34"/>
  <c r="W28" i="34" s="1"/>
  <c r="S38" i="33"/>
  <c r="E113" i="33"/>
  <c r="F36" i="33"/>
  <c r="S36" i="33" s="1"/>
  <c r="F19" i="33"/>
  <c r="S19" i="33" s="1"/>
  <c r="J19" i="33"/>
  <c r="S10" i="21"/>
  <c r="W40" i="33"/>
  <c r="F125" i="21"/>
  <c r="G125" i="21"/>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AA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W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W30" i="21"/>
  <c r="AB30" i="21"/>
  <c r="S28" i="21"/>
  <c r="AA28" i="21"/>
  <c r="AB14" i="21"/>
  <c r="W14" i="21"/>
  <c r="AC14" i="21"/>
  <c r="W42" i="21"/>
  <c r="S46" i="33"/>
  <c r="U36" i="37"/>
  <c r="AC13" i="36"/>
  <c r="AB45" i="33"/>
  <c r="AB31" i="33"/>
  <c r="AC28" i="33"/>
  <c r="U28" i="21"/>
  <c r="AB44" i="21"/>
  <c r="S19" i="21"/>
  <c r="G529" i="3"/>
  <c r="G521" i="3"/>
  <c r="G517" i="3"/>
  <c r="G513" i="3"/>
  <c r="G508" i="3"/>
  <c r="G499" i="3"/>
  <c r="G493" i="3"/>
  <c r="G485" i="3"/>
  <c r="G17" i="3"/>
  <c r="G565" i="3"/>
  <c r="G561" i="3"/>
  <c r="G557" i="3"/>
  <c r="G549" i="3"/>
  <c r="G545" i="3"/>
  <c r="G539" i="3"/>
  <c r="BL569" i="3"/>
  <c r="BL561" i="3"/>
  <c r="BL557" i="3"/>
  <c r="BL553" i="3"/>
  <c r="BL545" i="3"/>
  <c r="AZ545" i="3" s="1"/>
  <c r="BL535" i="3"/>
  <c r="BL527" i="3"/>
  <c r="BL519" i="3"/>
  <c r="BL511" i="3"/>
  <c r="BL501" i="3"/>
  <c r="AZ501" i="3" s="1"/>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S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D3" i="21"/>
  <c r="AC33" i="36"/>
  <c r="AC12" i="35"/>
  <c r="W23" i="35"/>
  <c r="AC23" i="37"/>
  <c r="S27" i="37"/>
  <c r="U39"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J57" i="39"/>
  <c r="H13" i="40"/>
  <c r="U13" i="40" s="1"/>
  <c r="I4" i="4"/>
  <c r="K141" i="21"/>
  <c r="K143" i="21"/>
  <c r="K144" i="21"/>
  <c r="I59" i="40"/>
  <c r="C59" i="40" s="1"/>
  <c r="I60" i="40"/>
  <c r="C60" i="40"/>
  <c r="W9" i="33"/>
  <c r="G297" i="3"/>
  <c r="BL298" i="3"/>
  <c r="G299" i="3"/>
  <c r="BL300" i="3"/>
  <c r="AZ300" i="3" s="1"/>
  <c r="BA302" i="3"/>
  <c r="AZ302" i="3" s="1"/>
  <c r="BA303" i="3"/>
  <c r="AZ303" i="3" s="1"/>
  <c r="BL303" i="3"/>
  <c r="G304" i="3"/>
  <c r="BA305" i="3"/>
  <c r="AZ305" i="3"/>
  <c r="G321" i="3"/>
  <c r="BL322" i="3"/>
  <c r="G323" i="3"/>
  <c r="BL324" i="3"/>
  <c r="BA326" i="3"/>
  <c r="AZ326" i="3" s="1"/>
  <c r="BA327" i="3"/>
  <c r="BL327" i="3"/>
  <c r="AZ327" i="3"/>
  <c r="G328" i="3"/>
  <c r="BA329" i="3"/>
  <c r="AZ329" i="3"/>
  <c r="G337" i="3"/>
  <c r="BL338" i="3"/>
  <c r="G339" i="3"/>
  <c r="BL340" i="3"/>
  <c r="BA342" i="3"/>
  <c r="AZ342" i="3" s="1"/>
  <c r="BA343" i="3"/>
  <c r="BL343" i="3"/>
  <c r="AZ343" i="3"/>
  <c r="G344" i="3"/>
  <c r="BA345" i="3"/>
  <c r="AZ345" i="3"/>
  <c r="G353" i="3"/>
  <c r="BL354" i="3"/>
  <c r="G355" i="3"/>
  <c r="BL356" i="3"/>
  <c r="G357" i="3"/>
  <c r="BL358" i="3"/>
  <c r="G359" i="3"/>
  <c r="BA360" i="3"/>
  <c r="AZ360" i="3" s="1"/>
  <c r="BA361" i="3"/>
  <c r="BL361" i="3"/>
  <c r="G362" i="3"/>
  <c r="BA363" i="3"/>
  <c r="G371" i="3"/>
  <c r="BL372" i="3"/>
  <c r="G373" i="3"/>
  <c r="BL374" i="3"/>
  <c r="BA376" i="3"/>
  <c r="AZ376" i="3"/>
  <c r="BA377" i="3"/>
  <c r="AZ377" i="3" s="1"/>
  <c r="BL377" i="3"/>
  <c r="G378" i="3"/>
  <c r="BA379" i="3"/>
  <c r="AZ379" i="3" s="1"/>
  <c r="BA114" i="3"/>
  <c r="AZ114" i="3" s="1"/>
  <c r="BL115" i="3"/>
  <c r="AZ115" i="3"/>
  <c r="G116" i="3"/>
  <c r="BA118" i="3"/>
  <c r="AZ118" i="3"/>
  <c r="BL119" i="3"/>
  <c r="AZ119" i="3" s="1"/>
  <c r="G120" i="3"/>
  <c r="BA122" i="3"/>
  <c r="AZ122" i="3"/>
  <c r="BL123" i="3"/>
  <c r="AZ123" i="3" s="1"/>
  <c r="G124" i="3"/>
  <c r="BA126" i="3"/>
  <c r="AZ126" i="3" s="1"/>
  <c r="BL127" i="3"/>
  <c r="G128" i="3"/>
  <c r="BA130" i="3"/>
  <c r="AZ130" i="3" s="1"/>
  <c r="BL131" i="3"/>
  <c r="AZ131" i="3"/>
  <c r="G132" i="3"/>
  <c r="BA134" i="3"/>
  <c r="AZ134" i="3" s="1"/>
  <c r="BL135" i="3"/>
  <c r="AZ135" i="3"/>
  <c r="G136" i="3"/>
  <c r="BA138" i="3"/>
  <c r="AZ138" i="3"/>
  <c r="BL139" i="3"/>
  <c r="AZ139" i="3" s="1"/>
  <c r="G140" i="3"/>
  <c r="BA142" i="3"/>
  <c r="AZ142" i="3"/>
  <c r="BL143" i="3"/>
  <c r="AZ143" i="3" s="1"/>
  <c r="G144" i="3"/>
  <c r="BA146" i="3"/>
  <c r="AZ146" i="3"/>
  <c r="BL147" i="3"/>
  <c r="AZ147" i="3" s="1"/>
  <c r="G148" i="3"/>
  <c r="BA150" i="3"/>
  <c r="AZ150" i="3" s="1"/>
  <c r="BL151" i="3"/>
  <c r="AZ151" i="3"/>
  <c r="BA153" i="3"/>
  <c r="AZ153" i="3" s="1"/>
  <c r="BL154" i="3"/>
  <c r="G155" i="3"/>
  <c r="BA157" i="3"/>
  <c r="AZ157" i="3" s="1"/>
  <c r="BL158" i="3"/>
  <c r="G159" i="3"/>
  <c r="BA161" i="3"/>
  <c r="BL162" i="3"/>
  <c r="G163" i="3"/>
  <c r="BA165" i="3"/>
  <c r="AZ165" i="3" s="1"/>
  <c r="BL166" i="3"/>
  <c r="G167" i="3"/>
  <c r="BA169" i="3"/>
  <c r="AZ169" i="3" s="1"/>
  <c r="BL170" i="3"/>
  <c r="G171" i="3"/>
  <c r="BA173" i="3"/>
  <c r="AZ173" i="3" s="1"/>
  <c r="BL174" i="3"/>
  <c r="G175" i="3"/>
  <c r="BA178" i="3"/>
  <c r="AZ178" i="3" s="1"/>
  <c r="BL179" i="3"/>
  <c r="G180" i="3"/>
  <c r="AZ23" i="3"/>
  <c r="AZ27" i="3"/>
  <c r="AZ31" i="3"/>
  <c r="AZ47" i="3"/>
  <c r="AZ59" i="3"/>
  <c r="G537" i="3"/>
  <c r="BL181" i="3"/>
  <c r="AZ181" i="3"/>
  <c r="G182" i="3"/>
  <c r="BA184" i="3"/>
  <c r="AZ184" i="3"/>
  <c r="BL185" i="3"/>
  <c r="AZ185" i="3" s="1"/>
  <c r="G186" i="3"/>
  <c r="BA188" i="3"/>
  <c r="AZ188" i="3"/>
  <c r="BL189" i="3"/>
  <c r="AZ189" i="3" s="1"/>
  <c r="G190" i="3"/>
  <c r="BA192" i="3"/>
  <c r="AZ192" i="3"/>
  <c r="BL193" i="3"/>
  <c r="AZ193" i="3" s="1"/>
  <c r="G194" i="3"/>
  <c r="BA196" i="3"/>
  <c r="AZ196" i="3" s="1"/>
  <c r="BL197" i="3"/>
  <c r="G198" i="3"/>
  <c r="BA200" i="3"/>
  <c r="BL201" i="3"/>
  <c r="AZ201" i="3" s="1"/>
  <c r="AZ66" i="3"/>
  <c r="AZ74" i="3"/>
  <c r="AZ78" i="3"/>
  <c r="AZ90" i="3"/>
  <c r="AZ94" i="3"/>
  <c r="AZ98" i="3"/>
  <c r="AZ102" i="3"/>
  <c r="AZ106" i="3"/>
  <c r="AZ110" i="3"/>
  <c r="G491" i="3"/>
  <c r="BA298" i="3"/>
  <c r="AZ298" i="3" s="1"/>
  <c r="BA299" i="3"/>
  <c r="BL299" i="3"/>
  <c r="AZ299" i="3" s="1"/>
  <c r="G300" i="3"/>
  <c r="G303" i="3"/>
  <c r="BL304" i="3"/>
  <c r="BA306" i="3"/>
  <c r="AZ306" i="3" s="1"/>
  <c r="BA307" i="3"/>
  <c r="BL307" i="3"/>
  <c r="AZ307" i="3"/>
  <c r="G308" i="3"/>
  <c r="G319" i="3"/>
  <c r="BL320" i="3"/>
  <c r="BA322" i="3"/>
  <c r="AZ322" i="3" s="1"/>
  <c r="BA323" i="3"/>
  <c r="AZ323" i="3" s="1"/>
  <c r="BL323" i="3"/>
  <c r="G324" i="3"/>
  <c r="G327" i="3"/>
  <c r="BL328" i="3"/>
  <c r="BA330" i="3"/>
  <c r="AZ330" i="3"/>
  <c r="BA331" i="3"/>
  <c r="AZ331" i="3" s="1"/>
  <c r="BL331" i="3"/>
  <c r="G332" i="3"/>
  <c r="G335" i="3"/>
  <c r="BL336" i="3"/>
  <c r="BA338" i="3"/>
  <c r="AZ338" i="3"/>
  <c r="BA339" i="3"/>
  <c r="BL339" i="3"/>
  <c r="G340" i="3"/>
  <c r="G343" i="3"/>
  <c r="BL344" i="3"/>
  <c r="BA346" i="3"/>
  <c r="AZ346" i="3" s="1"/>
  <c r="BA347" i="3"/>
  <c r="AZ347" i="3" s="1"/>
  <c r="BL347" i="3"/>
  <c r="G348" i="3"/>
  <c r="G351" i="3"/>
  <c r="BL352" i="3"/>
  <c r="BA354" i="3"/>
  <c r="AZ354" i="3" s="1"/>
  <c r="BA355" i="3"/>
  <c r="AZ355" i="3" s="1"/>
  <c r="BL355" i="3"/>
  <c r="G356" i="3"/>
  <c r="AZ127" i="3"/>
  <c r="BA358" i="3"/>
  <c r="AZ358" i="3" s="1"/>
  <c r="BA359" i="3"/>
  <c r="AZ359" i="3" s="1"/>
  <c r="BL359" i="3"/>
  <c r="G360" i="3"/>
  <c r="G361" i="3"/>
  <c r="BL362" i="3"/>
  <c r="BA364" i="3"/>
  <c r="AZ364" i="3"/>
  <c r="BA365" i="3"/>
  <c r="AZ365" i="3" s="1"/>
  <c r="BL365" i="3"/>
  <c r="G366" i="3"/>
  <c r="G369" i="3"/>
  <c r="BL370" i="3"/>
  <c r="BA372" i="3"/>
  <c r="AZ372" i="3"/>
  <c r="BA373" i="3"/>
  <c r="BL373" i="3"/>
  <c r="AZ373" i="3"/>
  <c r="G374" i="3"/>
  <c r="G377" i="3"/>
  <c r="BL378" i="3"/>
  <c r="BA380" i="3"/>
  <c r="AZ380" i="3"/>
  <c r="BA381" i="3"/>
  <c r="AZ381" i="3" s="1"/>
  <c r="BL381" i="3"/>
  <c r="G382" i="3"/>
  <c r="G385" i="3"/>
  <c r="AZ162" i="3"/>
  <c r="AZ170" i="3"/>
  <c r="AZ174" i="3"/>
  <c r="AZ179" i="3"/>
  <c r="AZ187"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AZ317" i="3" s="1"/>
  <c r="G318" i="3"/>
  <c r="BA320" i="3"/>
  <c r="AZ320" i="3"/>
  <c r="BL321" i="3"/>
  <c r="G322" i="3"/>
  <c r="BA324" i="3"/>
  <c r="AZ324" i="3"/>
  <c r="BL325" i="3"/>
  <c r="G326" i="3"/>
  <c r="BA328" i="3"/>
  <c r="AZ328" i="3"/>
  <c r="BL329" i="3"/>
  <c r="G330" i="3"/>
  <c r="BA332" i="3"/>
  <c r="AZ332" i="3"/>
  <c r="BL333" i="3"/>
  <c r="G334" i="3"/>
  <c r="BA336" i="3"/>
  <c r="AZ336" i="3"/>
  <c r="BL337" i="3"/>
  <c r="AZ337" i="3" s="1"/>
  <c r="G338" i="3"/>
  <c r="BA340" i="3"/>
  <c r="AZ340" i="3"/>
  <c r="BL341" i="3"/>
  <c r="G342" i="3"/>
  <c r="BA344" i="3"/>
  <c r="AZ344" i="3"/>
  <c r="BL345" i="3"/>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29" i="3"/>
  <c r="AZ233" i="3"/>
  <c r="AZ237" i="3"/>
  <c r="AZ241" i="3"/>
  <c r="AZ245" i="3"/>
  <c r="AZ309" i="3"/>
  <c r="AZ321" i="3"/>
  <c r="AZ325" i="3"/>
  <c r="AZ333" i="3"/>
  <c r="AZ341" i="3"/>
  <c r="AZ349" i="3"/>
  <c r="AZ353" i="3"/>
  <c r="AZ363" i="3"/>
  <c r="AZ367" i="3"/>
  <c r="G368" i="3"/>
  <c r="BA370" i="3"/>
  <c r="AZ370" i="3" s="1"/>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5" i="3"/>
  <c r="AZ335" i="3"/>
  <c r="AZ339" i="3"/>
  <c r="AZ351" i="3"/>
  <c r="AZ361" i="3"/>
  <c r="AZ369" i="3"/>
  <c r="AZ385" i="3"/>
  <c r="AZ390" i="3"/>
  <c r="AZ394" i="3"/>
  <c r="AZ398" i="3"/>
  <c r="AZ410" i="3"/>
  <c r="AZ414" i="3"/>
  <c r="AZ418" i="3"/>
  <c r="AZ422" i="3"/>
  <c r="AZ426" i="3"/>
  <c r="AZ430" i="3"/>
  <c r="AZ434" i="3"/>
  <c r="AZ438" i="3"/>
  <c r="AZ442" i="3"/>
  <c r="AZ446" i="3"/>
  <c r="AZ450" i="3"/>
  <c r="AZ455" i="3"/>
  <c r="AZ459" i="3"/>
  <c r="AZ467" i="3"/>
  <c r="AZ475" i="3"/>
  <c r="AZ479" i="3"/>
  <c r="H7" i="48"/>
  <c r="F33"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H13" i="39"/>
  <c r="AB13" i="39" s="1"/>
  <c r="F13" i="39"/>
  <c r="J13" i="39"/>
  <c r="AC13" i="39"/>
  <c r="AA36" i="35"/>
  <c r="H11" i="37"/>
  <c r="AB11" i="37"/>
  <c r="W37" i="37"/>
  <c r="AA30" i="33"/>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G103" i="37"/>
  <c r="H103" i="37"/>
  <c r="I103" i="37"/>
  <c r="J103" i="37" s="1"/>
  <c r="K103" i="37" s="1"/>
  <c r="L103" i="37" s="1"/>
  <c r="M103" i="37" s="1"/>
  <c r="H35" i="37"/>
  <c r="AB35" i="37" s="1"/>
  <c r="S26" i="21"/>
  <c r="H32" i="21"/>
  <c r="U32" i="21" s="1"/>
  <c r="AB26" i="21"/>
  <c r="U26" i="21"/>
  <c r="AA33" i="21"/>
  <c r="S33" i="21"/>
  <c r="U39" i="21"/>
  <c r="W9" i="21"/>
  <c r="J32" i="21"/>
  <c r="AC32" i="21" s="1"/>
  <c r="G13" i="3"/>
  <c r="AC5" i="3"/>
  <c r="F17" i="21"/>
  <c r="S17" i="21"/>
  <c r="H17" i="21"/>
  <c r="AB17" i="21" s="1"/>
  <c r="J17" i="21"/>
  <c r="AC17" i="21"/>
  <c r="H37" i="21"/>
  <c r="U37" i="21" s="1"/>
  <c r="F40" i="21"/>
  <c r="S40" i="21"/>
  <c r="H40" i="21"/>
  <c r="AB40" i="21" s="1"/>
  <c r="E119" i="21"/>
  <c r="F119" i="21"/>
  <c r="G119" i="21" s="1"/>
  <c r="H119" i="21" s="1"/>
  <c r="I119" i="21" s="1"/>
  <c r="J119" i="21" s="1"/>
  <c r="K119" i="21" s="1"/>
  <c r="L119" i="21" s="1"/>
  <c r="M119" i="21" s="1"/>
  <c r="AA8" i="33"/>
  <c r="S8" i="33"/>
  <c r="AC8" i="33"/>
  <c r="H66" i="33"/>
  <c r="F10" i="33"/>
  <c r="AA10" i="33" s="1"/>
  <c r="F11" i="33"/>
  <c r="S11" i="33"/>
  <c r="J15" i="33"/>
  <c r="W15" i="33" s="1"/>
  <c r="H19" i="33"/>
  <c r="AB19" i="33"/>
  <c r="F32" i="33"/>
  <c r="AA32" i="33" s="1"/>
  <c r="J32" i="33"/>
  <c r="AC32" i="33"/>
  <c r="F35" i="33"/>
  <c r="AA35" i="33" s="1"/>
  <c r="AB39" i="34"/>
  <c r="F11" i="34"/>
  <c r="S11" i="34"/>
  <c r="E80" i="34"/>
  <c r="F80" i="34" s="1"/>
  <c r="G80" i="34" s="1"/>
  <c r="H17" i="34"/>
  <c r="AB17" i="34"/>
  <c r="AC27" i="34"/>
  <c r="W27" i="34"/>
  <c r="S12" i="35"/>
  <c r="AB28" i="35"/>
  <c r="U28" i="35"/>
  <c r="J13" i="33"/>
  <c r="W13" i="33"/>
  <c r="H13" i="33"/>
  <c r="U13" i="33" s="1"/>
  <c r="H29" i="33"/>
  <c r="AB29" i="33"/>
  <c r="F29" i="33"/>
  <c r="AA29" i="33" s="1"/>
  <c r="J12" i="34"/>
  <c r="AC12" i="34"/>
  <c r="H12" i="34"/>
  <c r="AB12" i="34" s="1"/>
  <c r="F12" i="34"/>
  <c r="S12" i="34"/>
  <c r="J14" i="34"/>
  <c r="W14" i="34" s="1"/>
  <c r="F14" i="34"/>
  <c r="S14" i="34"/>
  <c r="H14" i="34"/>
  <c r="AB14" i="34" s="1"/>
  <c r="H30" i="34"/>
  <c r="AB30" i="34"/>
  <c r="F30" i="34"/>
  <c r="S30" i="34" s="1"/>
  <c r="J30" i="34"/>
  <c r="W30" i="34"/>
  <c r="H32" i="34"/>
  <c r="AB32" i="34" s="1"/>
  <c r="F32" i="34"/>
  <c r="AA32" i="34"/>
  <c r="J32" i="34"/>
  <c r="W32" i="34" s="1"/>
  <c r="H46" i="34"/>
  <c r="AB46" i="34"/>
  <c r="F46" i="34"/>
  <c r="AA46" i="34" s="1"/>
  <c r="J46" i="34"/>
  <c r="AC46" i="34"/>
  <c r="H11" i="35"/>
  <c r="J11" i="35"/>
  <c r="AC11" i="35" s="1"/>
  <c r="F96" i="37"/>
  <c r="H32" i="37"/>
  <c r="AB32" i="37" s="1"/>
  <c r="F19" i="39"/>
  <c r="S19" i="39"/>
  <c r="H19" i="39"/>
  <c r="AB19" i="39" s="1"/>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c r="AB40" i="33"/>
  <c r="U40" i="33"/>
  <c r="AA35" i="34"/>
  <c r="S35" i="34"/>
  <c r="E90" i="34"/>
  <c r="H27" i="34"/>
  <c r="AB27" i="34"/>
  <c r="AB8" i="35"/>
  <c r="U8" i="35"/>
  <c r="S9" i="35"/>
  <c r="J14" i="35"/>
  <c r="AC14" i="35"/>
  <c r="F14" i="35"/>
  <c r="H14" i="35"/>
  <c r="U14" i="35"/>
  <c r="E80" i="35"/>
  <c r="F80" i="35" s="1"/>
  <c r="G80" i="35" s="1"/>
  <c r="H80" i="35" s="1"/>
  <c r="I80" i="35" s="1"/>
  <c r="J80" i="35" s="1"/>
  <c r="K80" i="35" s="1"/>
  <c r="L80" i="35" s="1"/>
  <c r="M80" i="35" s="1"/>
  <c r="E94" i="35"/>
  <c r="F94" i="35" s="1"/>
  <c r="G94" i="35" s="1"/>
  <c r="H94" i="35" s="1"/>
  <c r="I94" i="35" s="1"/>
  <c r="J94" i="35" s="1"/>
  <c r="K94" i="35" s="1"/>
  <c r="L94" i="35" s="1"/>
  <c r="M94" i="35" s="1"/>
  <c r="J32" i="35"/>
  <c r="AC32" i="35"/>
  <c r="H11" i="36"/>
  <c r="AB11" i="36" s="1"/>
  <c r="F11" i="36"/>
  <c r="S11" i="36"/>
  <c r="W16" i="36"/>
  <c r="AC16" i="36"/>
  <c r="E78" i="36"/>
  <c r="F78" i="36"/>
  <c r="G78" i="36"/>
  <c r="H78" i="36" s="1"/>
  <c r="I78" i="36" s="1"/>
  <c r="J78" i="36" s="1"/>
  <c r="K78" i="36" s="1"/>
  <c r="L78" i="36" s="1"/>
  <c r="M78" i="36" s="1"/>
  <c r="F26" i="36"/>
  <c r="S26" i="36"/>
  <c r="U34" i="36"/>
  <c r="AB34" i="36"/>
  <c r="H33" i="36"/>
  <c r="U33" i="36"/>
  <c r="F33" i="36"/>
  <c r="AA33" i="36" s="1"/>
  <c r="H27" i="36"/>
  <c r="AB27" i="36"/>
  <c r="AA31" i="36"/>
  <c r="AC25" i="37"/>
  <c r="AC26" i="37"/>
  <c r="W26" i="37"/>
  <c r="AB29" i="37"/>
  <c r="AA30" i="37"/>
  <c r="S30" i="37"/>
  <c r="AC30" i="37"/>
  <c r="AC31" i="37"/>
  <c r="W31" i="37"/>
  <c r="AB14" i="37"/>
  <c r="F17" i="39"/>
  <c r="AA17" i="39" s="1"/>
  <c r="H17" i="39"/>
  <c r="U17" i="39"/>
  <c r="J17" i="39"/>
  <c r="W17" i="39" s="1"/>
  <c r="F21" i="39"/>
  <c r="S21" i="39"/>
  <c r="H21" i="39"/>
  <c r="U21" i="39" s="1"/>
  <c r="J21" i="39"/>
  <c r="W21" i="39" s="1"/>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AC39" i="39" s="1"/>
  <c r="J29" i="35"/>
  <c r="AC29" i="35"/>
  <c r="F29" i="35"/>
  <c r="S29" i="35"/>
  <c r="W30" i="36"/>
  <c r="AC30" i="36"/>
  <c r="F37" i="39"/>
  <c r="S37" i="39"/>
  <c r="H37" i="39"/>
  <c r="U37" i="39"/>
  <c r="J37" i="39"/>
  <c r="W37" i="39"/>
  <c r="BL568" i="3"/>
  <c r="BA568" i="3"/>
  <c r="AZ568" i="3" s="1"/>
  <c r="BL567" i="3"/>
  <c r="AZ567" i="3" s="1"/>
  <c r="BA567" i="3"/>
  <c r="BL566" i="3"/>
  <c r="AZ566" i="3"/>
  <c r="BL565" i="3"/>
  <c r="AZ565" i="3"/>
  <c r="BA564" i="3"/>
  <c r="AZ564" i="3"/>
  <c r="BA563" i="3"/>
  <c r="AZ563" i="3"/>
  <c r="BL554" i="3"/>
  <c r="AZ554" i="3"/>
  <c r="BA553" i="3"/>
  <c r="AZ553" i="3"/>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AZ530" i="3" s="1"/>
  <c r="BA530" i="3"/>
  <c r="BL529" i="3"/>
  <c r="BA529" i="3"/>
  <c r="BL528" i="3"/>
  <c r="AZ528" i="3" s="1"/>
  <c r="BA527" i="3"/>
  <c r="AZ527" i="3" s="1"/>
  <c r="BA526" i="3"/>
  <c r="AZ526" i="3" s="1"/>
  <c r="BA525" i="3"/>
  <c r="AZ525" i="3" s="1"/>
  <c r="BL523" i="3"/>
  <c r="AZ523" i="3" s="1"/>
  <c r="BA523" i="3"/>
  <c r="BL522" i="3"/>
  <c r="BA522" i="3"/>
  <c r="AZ522" i="3" s="1"/>
  <c r="BL521" i="3"/>
  <c r="AZ521" i="3" s="1"/>
  <c r="BA519" i="3"/>
  <c r="AZ519" i="3" s="1"/>
  <c r="BL518" i="3"/>
  <c r="BA518" i="3"/>
  <c r="AZ518" i="3"/>
  <c r="BL517" i="3"/>
  <c r="BA517" i="3"/>
  <c r="AZ517" i="3" s="1"/>
  <c r="BL515" i="3"/>
  <c r="BA515" i="3"/>
  <c r="BA514" i="3"/>
  <c r="AZ514" i="3" s="1"/>
  <c r="BL513" i="3"/>
  <c r="AZ513" i="3" s="1"/>
  <c r="BA513" i="3"/>
  <c r="BL512" i="3"/>
  <c r="AZ512" i="3"/>
  <c r="BA511" i="3"/>
  <c r="AZ511" i="3"/>
  <c r="BA510" i="3"/>
  <c r="BL509" i="3"/>
  <c r="AZ509" i="3"/>
  <c r="BL507" i="3"/>
  <c r="BA507" i="3"/>
  <c r="AZ507" i="3" s="1"/>
  <c r="BL506" i="3"/>
  <c r="BA506" i="3"/>
  <c r="AZ506" i="3"/>
  <c r="BL505" i="3"/>
  <c r="AZ505" i="3"/>
  <c r="BL504" i="3"/>
  <c r="BA504" i="3"/>
  <c r="AZ504" i="3" s="1"/>
  <c r="BA503" i="3"/>
  <c r="AZ503" i="3"/>
  <c r="BA500" i="3"/>
  <c r="BL499" i="3"/>
  <c r="BA499" i="3"/>
  <c r="AZ499" i="3" s="1"/>
  <c r="BL498" i="3"/>
  <c r="AZ498" i="3" s="1"/>
  <c r="BL497" i="3"/>
  <c r="BA497" i="3"/>
  <c r="BL496" i="3"/>
  <c r="AZ496" i="3" s="1"/>
  <c r="BA496" i="3"/>
  <c r="BA495" i="3"/>
  <c r="AZ495" i="3"/>
  <c r="BL494" i="3"/>
  <c r="BA494" i="3"/>
  <c r="AZ494" i="3" s="1"/>
  <c r="G494" i="3"/>
  <c r="BA491" i="3"/>
  <c r="AZ491" i="3"/>
  <c r="BL490" i="3"/>
  <c r="BA490" i="3"/>
  <c r="AZ490" i="3" s="1"/>
  <c r="BL489" i="3"/>
  <c r="BA489" i="3"/>
  <c r="AZ489" i="3"/>
  <c r="BL487" i="3"/>
  <c r="AZ487" i="3"/>
  <c r="BL486" i="3"/>
  <c r="BA486" i="3"/>
  <c r="AZ486" i="3" s="1"/>
  <c r="BA485" i="3"/>
  <c r="AZ485" i="3"/>
  <c r="BA483" i="3"/>
  <c r="AZ483" i="3"/>
  <c r="BA482" i="3"/>
  <c r="AZ482" i="3"/>
  <c r="BL481" i="3"/>
  <c r="AZ481" i="3" s="1"/>
  <c r="BJ5" i="3"/>
  <c r="BA481" i="3"/>
  <c r="BB5" i="3"/>
  <c r="BL19" i="3"/>
  <c r="AZ19" i="3" s="1"/>
  <c r="BA18" i="3"/>
  <c r="F36" i="44"/>
  <c r="F114" i="34"/>
  <c r="G114" i="34" s="1"/>
  <c r="H114" i="34" s="1"/>
  <c r="I114" i="34" s="1"/>
  <c r="J114" i="34" s="1"/>
  <c r="K114" i="34" s="1"/>
  <c r="L114" i="34" s="1"/>
  <c r="M114" i="34" s="1"/>
  <c r="H38" i="34"/>
  <c r="U38" i="34" s="1"/>
  <c r="H30" i="40"/>
  <c r="AB30" i="40"/>
  <c r="G100" i="40"/>
  <c r="H100" i="40" s="1"/>
  <c r="I100" i="40" s="1"/>
  <c r="J100" i="40" s="1"/>
  <c r="K100" i="40" s="1"/>
  <c r="L100" i="40" s="1"/>
  <c r="M100" i="40" s="1"/>
  <c r="J30" i="40"/>
  <c r="AC30" i="40"/>
  <c r="F38" i="40"/>
  <c r="AA38"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s="1"/>
  <c r="H22" i="35"/>
  <c r="AB22" i="35" s="1"/>
  <c r="H23" i="35"/>
  <c r="AB23" i="35" s="1"/>
  <c r="F23" i="35"/>
  <c r="AA23" i="35"/>
  <c r="W12" i="36"/>
  <c r="AC12" i="36"/>
  <c r="U31" i="36"/>
  <c r="S8" i="37"/>
  <c r="AA8" i="37"/>
  <c r="F14" i="39"/>
  <c r="AA14" i="39" s="1"/>
  <c r="H14" i="39"/>
  <c r="AB14" i="39" s="1"/>
  <c r="J14" i="39"/>
  <c r="AC14" i="39" s="1"/>
  <c r="F16" i="39"/>
  <c r="AA16" i="39" s="1"/>
  <c r="H16" i="39"/>
  <c r="U16" i="39" s="1"/>
  <c r="J16" i="39"/>
  <c r="AC16" i="39" s="1"/>
  <c r="F23" i="39"/>
  <c r="AA23" i="39" s="1"/>
  <c r="E97" i="39"/>
  <c r="F97" i="39" s="1"/>
  <c r="G97" i="39" s="1"/>
  <c r="F27" i="39"/>
  <c r="AA27" i="39"/>
  <c r="H27" i="39"/>
  <c r="AB27" i="39"/>
  <c r="J27" i="39"/>
  <c r="AC27" i="39"/>
  <c r="F15" i="40"/>
  <c r="AA15" i="40" s="1"/>
  <c r="J15" i="40"/>
  <c r="AC15" i="40" s="1"/>
  <c r="H15" i="40"/>
  <c r="AB15" i="40"/>
  <c r="E92" i="40"/>
  <c r="F92" i="40" s="1"/>
  <c r="G92" i="40" s="1"/>
  <c r="H23" i="40"/>
  <c r="U23" i="40" s="1"/>
  <c r="H41" i="40"/>
  <c r="AB41" i="40" s="1"/>
  <c r="F41" i="40"/>
  <c r="AA41" i="40" s="1"/>
  <c r="J41" i="40"/>
  <c r="H36" i="33"/>
  <c r="AB36" i="33" s="1"/>
  <c r="H37" i="34"/>
  <c r="AB37" i="34" s="1"/>
  <c r="F15" i="39"/>
  <c r="AA15" i="39"/>
  <c r="H15" i="39"/>
  <c r="U15" i="39"/>
  <c r="J15" i="39"/>
  <c r="AC15" i="39"/>
  <c r="H25" i="39"/>
  <c r="U25" i="39"/>
  <c r="J25" i="39"/>
  <c r="AC25" i="39" s="1"/>
  <c r="F25" i="39"/>
  <c r="AA25" i="39"/>
  <c r="F45" i="39"/>
  <c r="AA45" i="39" s="1"/>
  <c r="H45" i="39"/>
  <c r="U45" i="39"/>
  <c r="J45" i="39"/>
  <c r="AC45" i="39" s="1"/>
  <c r="F47" i="39"/>
  <c r="AA47" i="39"/>
  <c r="H47" i="39"/>
  <c r="AB47" i="39" s="1"/>
  <c r="J47" i="39"/>
  <c r="W47" i="39"/>
  <c r="F41" i="39"/>
  <c r="AA41" i="39" s="1"/>
  <c r="H41" i="39"/>
  <c r="AB41" i="39"/>
  <c r="J41" i="39"/>
  <c r="AC41" i="39" s="1"/>
  <c r="E94" i="40"/>
  <c r="J25" i="40"/>
  <c r="AC25" i="40" s="1"/>
  <c r="J32" i="40"/>
  <c r="AC32" i="40"/>
  <c r="H32" i="40"/>
  <c r="U32" i="40" s="1"/>
  <c r="H33" i="40"/>
  <c r="AB33" i="40" s="1"/>
  <c r="F33" i="40"/>
  <c r="AA33" i="40" s="1"/>
  <c r="J33" i="40"/>
  <c r="AC33" i="40" s="1"/>
  <c r="H35" i="40"/>
  <c r="AB35" i="40" s="1"/>
  <c r="F35" i="40"/>
  <c r="AA35" i="40" s="1"/>
  <c r="J35" i="40"/>
  <c r="AC35" i="40" s="1"/>
  <c r="J38" i="39"/>
  <c r="W38" i="39" s="1"/>
  <c r="H38" i="39"/>
  <c r="U38" i="39"/>
  <c r="J16" i="40"/>
  <c r="W16" i="40" s="1"/>
  <c r="J14" i="40"/>
  <c r="W14" i="40" s="1"/>
  <c r="H42" i="40"/>
  <c r="H40" i="40"/>
  <c r="U40" i="40" s="1"/>
  <c r="H34" i="40"/>
  <c r="U34" i="40" s="1"/>
  <c r="AZ391" i="3"/>
  <c r="AZ399" i="3"/>
  <c r="AZ403" i="3"/>
  <c r="AZ407" i="3"/>
  <c r="AZ415" i="3"/>
  <c r="AZ423" i="3"/>
  <c r="AZ431" i="3"/>
  <c r="AZ439" i="3"/>
  <c r="AZ454" i="3"/>
  <c r="B41" i="1"/>
  <c r="F34" i="44"/>
  <c r="J42" i="40"/>
  <c r="AC42" i="40" s="1"/>
  <c r="J40" i="40"/>
  <c r="AC40" i="40"/>
  <c r="J34" i="40"/>
  <c r="AC34" i="40" s="1"/>
  <c r="H16" i="40"/>
  <c r="AB16" i="40" s="1"/>
  <c r="H14" i="40"/>
  <c r="U14" i="40" s="1"/>
  <c r="F32" i="40"/>
  <c r="AA32" i="40" s="1"/>
  <c r="AZ401" i="3"/>
  <c r="AZ428" i="3"/>
  <c r="AZ433" i="3"/>
  <c r="AZ436" i="3"/>
  <c r="AZ441" i="3"/>
  <c r="AZ444" i="3"/>
  <c r="AZ449" i="3"/>
  <c r="AZ452" i="3"/>
  <c r="M1" i="46"/>
  <c r="M6" i="46"/>
  <c r="M10" i="46"/>
  <c r="N2" i="46"/>
  <c r="N5" i="46"/>
  <c r="F58" i="46"/>
  <c r="H61" i="46"/>
  <c r="N7" i="46"/>
  <c r="AZ456" i="3"/>
  <c r="AZ461" i="3"/>
  <c r="AZ466"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M7" i="46"/>
  <c r="M11" i="46"/>
  <c r="N3" i="46"/>
  <c r="N6" i="46"/>
  <c r="N10" i="46"/>
  <c r="AZ164" i="3"/>
  <c r="AZ167" i="3"/>
  <c r="AZ177" i="3"/>
  <c r="AZ180" i="3"/>
  <c r="AZ24" i="3"/>
  <c r="AZ40" i="3"/>
  <c r="AZ48" i="3"/>
  <c r="AZ56" i="3"/>
  <c r="AZ71" i="3"/>
  <c r="AZ91" i="3"/>
  <c r="AZ99" i="3"/>
  <c r="AZ107" i="3"/>
  <c r="AZ112" i="3"/>
  <c r="J13" i="40"/>
  <c r="W13" i="40" s="1"/>
  <c r="W40" i="40"/>
  <c r="F27" i="43"/>
  <c r="F71" i="9"/>
  <c r="W35" i="40"/>
  <c r="S33" i="40"/>
  <c r="AB32" i="40"/>
  <c r="AC47" i="39"/>
  <c r="S47" i="39"/>
  <c r="AB25" i="39"/>
  <c r="U37" i="34"/>
  <c r="AC41" i="40"/>
  <c r="W41" i="40"/>
  <c r="U41" i="40"/>
  <c r="J23" i="40"/>
  <c r="AC23" i="40" s="1"/>
  <c r="F23" i="40"/>
  <c r="S23" i="40" s="1"/>
  <c r="W27" i="39"/>
  <c r="S23" i="39"/>
  <c r="AB16" i="39"/>
  <c r="W14" i="39"/>
  <c r="U23" i="35"/>
  <c r="H20" i="35"/>
  <c r="F20" i="35"/>
  <c r="S20" i="35"/>
  <c r="H15" i="34"/>
  <c r="AB15" i="34" s="1"/>
  <c r="F78" i="34"/>
  <c r="G78" i="34"/>
  <c r="J15" i="34"/>
  <c r="AC15" i="34" s="1"/>
  <c r="H41" i="33"/>
  <c r="U41" i="33"/>
  <c r="F121" i="33"/>
  <c r="G121" i="33" s="1"/>
  <c r="H121" i="33" s="1"/>
  <c r="I121" i="33" s="1"/>
  <c r="J121" i="33" s="1"/>
  <c r="K121" i="33" s="1"/>
  <c r="L121" i="33" s="1"/>
  <c r="M121" i="33" s="1"/>
  <c r="F30" i="40"/>
  <c r="AA30" i="40" s="1"/>
  <c r="AB38" i="34"/>
  <c r="AZ497" i="3"/>
  <c r="AZ515" i="3"/>
  <c r="AZ529" i="3"/>
  <c r="AZ547" i="3"/>
  <c r="AZ549" i="3"/>
  <c r="AB37" i="39"/>
  <c r="AA29" i="35"/>
  <c r="U39" i="39"/>
  <c r="J29" i="39"/>
  <c r="AC29" i="39" s="1"/>
  <c r="AB21" i="39"/>
  <c r="AB17" i="39"/>
  <c r="AB33" i="36"/>
  <c r="AA11" i="36"/>
  <c r="AA14" i="35"/>
  <c r="S14" i="35"/>
  <c r="G99" i="37"/>
  <c r="F33" i="37"/>
  <c r="S33" i="37" s="1"/>
  <c r="U46" i="34"/>
  <c r="AC30" i="34"/>
  <c r="AA14" i="34"/>
  <c r="W12" i="34"/>
  <c r="U29" i="33"/>
  <c r="AC13" i="33"/>
  <c r="U17" i="34"/>
  <c r="AA11" i="34"/>
  <c r="W32" i="33"/>
  <c r="H15" i="33"/>
  <c r="U15" i="33" s="1"/>
  <c r="AA11" i="33"/>
  <c r="AA40" i="21"/>
  <c r="U17" i="21"/>
  <c r="S13" i="39"/>
  <c r="AA13" i="39"/>
  <c r="AB42" i="40"/>
  <c r="U42" i="40"/>
  <c r="W32" i="40"/>
  <c r="H25" i="40"/>
  <c r="AB25" i="40" s="1"/>
  <c r="F94" i="40"/>
  <c r="G94" i="40" s="1"/>
  <c r="U47" i="39"/>
  <c r="W15" i="39"/>
  <c r="J37" i="34"/>
  <c r="AC37" i="34" s="1"/>
  <c r="J36" i="33"/>
  <c r="W36" i="33" s="1"/>
  <c r="AB23" i="40"/>
  <c r="U27" i="39"/>
  <c r="H23" i="39"/>
  <c r="AB23" i="39" s="1"/>
  <c r="J23" i="39"/>
  <c r="AC23" i="39"/>
  <c r="S15" i="34"/>
  <c r="AA15" i="34"/>
  <c r="AA41" i="33"/>
  <c r="AA34" i="33"/>
  <c r="F106" i="33"/>
  <c r="G106" i="33" s="1"/>
  <c r="H106" i="33" s="1"/>
  <c r="I106" i="33" s="1"/>
  <c r="J106" i="33" s="1"/>
  <c r="K106" i="33" s="1"/>
  <c r="L106" i="33" s="1"/>
  <c r="M106" i="33" s="1"/>
  <c r="J34" i="33"/>
  <c r="AC34" i="33" s="1"/>
  <c r="U30" i="40"/>
  <c r="AA37" i="39"/>
  <c r="W29" i="35"/>
  <c r="AA39" i="39"/>
  <c r="S39" i="39"/>
  <c r="U34" i="39"/>
  <c r="AB29" i="39"/>
  <c r="AB44" i="39"/>
  <c r="AC33" i="39"/>
  <c r="W33" i="39"/>
  <c r="AA33" i="39"/>
  <c r="S33" i="39"/>
  <c r="W14" i="35"/>
  <c r="F90" i="34"/>
  <c r="G90" i="34" s="1"/>
  <c r="H90" i="34" s="1"/>
  <c r="I90" i="34" s="1"/>
  <c r="J90" i="34" s="1"/>
  <c r="K90" i="34" s="1"/>
  <c r="L90" i="34" s="1"/>
  <c r="M90" i="34" s="1"/>
  <c r="F27" i="34"/>
  <c r="S27" i="34" s="1"/>
  <c r="AC43" i="39"/>
  <c r="W43" i="39"/>
  <c r="AA43" i="39"/>
  <c r="S43" i="39"/>
  <c r="AA19" i="39"/>
  <c r="G96" i="37"/>
  <c r="H96" i="37"/>
  <c r="I96" i="37" s="1"/>
  <c r="J96" i="37" s="1"/>
  <c r="K96" i="37" s="1"/>
  <c r="L96" i="37"/>
  <c r="M96" i="37" s="1"/>
  <c r="F32" i="37"/>
  <c r="S32" i="37"/>
  <c r="U11" i="35"/>
  <c r="AB11" i="35"/>
  <c r="U14" i="34"/>
  <c r="AC14" i="34"/>
  <c r="F17" i="34"/>
  <c r="AA17" i="34" s="1"/>
  <c r="J17" i="34"/>
  <c r="AC17" i="34"/>
  <c r="H11" i="34"/>
  <c r="AB11" i="34" s="1"/>
  <c r="J35" i="33"/>
  <c r="W35" i="33"/>
  <c r="S32" i="33"/>
  <c r="H11" i="33"/>
  <c r="U11" i="33"/>
  <c r="H10" i="33"/>
  <c r="U10" i="33" s="1"/>
  <c r="I66" i="33"/>
  <c r="J10" i="33"/>
  <c r="U40" i="21"/>
  <c r="U11" i="37"/>
  <c r="U13" i="39"/>
  <c r="AC16" i="35"/>
  <c r="AC13" i="40"/>
  <c r="J11" i="34"/>
  <c r="W11" i="34"/>
  <c r="S17" i="34"/>
  <c r="F25" i="40"/>
  <c r="AA25" i="40"/>
  <c r="J11" i="33"/>
  <c r="W11" i="33" s="1"/>
  <c r="H33" i="37"/>
  <c r="AB33" i="37"/>
  <c r="W15" i="34"/>
  <c r="U20" i="35"/>
  <c r="AB20" i="35"/>
  <c r="W23" i="40"/>
  <c r="AP11" i="1"/>
  <c r="B11" i="1"/>
  <c r="E11" i="1"/>
  <c r="K11" i="1"/>
  <c r="M11" i="1" s="1"/>
  <c r="O11" i="1" s="1"/>
  <c r="B9" i="1"/>
  <c r="E9" i="1" s="1"/>
  <c r="K9" i="1"/>
  <c r="M9" i="1"/>
  <c r="B7" i="1"/>
  <c r="E7" i="1" s="1"/>
  <c r="K7" i="1"/>
  <c r="M7" i="1"/>
  <c r="C20" i="43"/>
  <c r="F6" i="1"/>
  <c r="AP6" i="1" s="1"/>
  <c r="G11" i="1"/>
  <c r="M22" i="44"/>
  <c r="F29" i="12"/>
  <c r="D86" i="9"/>
  <c r="F31" i="43"/>
  <c r="AC25" i="36"/>
  <c r="S23" i="36"/>
  <c r="S8" i="36"/>
  <c r="AA26" i="36"/>
  <c r="AA28" i="36"/>
  <c r="U25" i="36"/>
  <c r="H20" i="36"/>
  <c r="U20" i="36" s="1"/>
  <c r="F68" i="36"/>
  <c r="G68" i="36"/>
  <c r="J20" i="36"/>
  <c r="AC20" i="36" s="1"/>
  <c r="F20" i="36"/>
  <c r="S20" i="36"/>
  <c r="F62" i="36"/>
  <c r="G62" i="36" s="1"/>
  <c r="J14" i="36"/>
  <c r="H14" i="36"/>
  <c r="U14" i="36" s="1"/>
  <c r="F14" i="36"/>
  <c r="AA14" i="36" s="1"/>
  <c r="U27" i="36"/>
  <c r="U32" i="36"/>
  <c r="AB12" i="36"/>
  <c r="U9" i="36"/>
  <c r="S33" i="36"/>
  <c r="AA27" i="36"/>
  <c r="S16" i="36"/>
  <c r="S29" i="36"/>
  <c r="AC33" i="35"/>
  <c r="U22" i="35"/>
  <c r="AA13" i="35"/>
  <c r="AC9" i="35"/>
  <c r="S8" i="35"/>
  <c r="U33" i="35"/>
  <c r="AA20" i="35"/>
  <c r="W20" i="35"/>
  <c r="S23" i="35"/>
  <c r="S16" i="35"/>
  <c r="AB14" i="35"/>
  <c r="AC10" i="35"/>
  <c r="W13" i="35"/>
  <c r="AC18" i="35"/>
  <c r="W18" i="35"/>
  <c r="U18" i="35"/>
  <c r="AB18" i="35"/>
  <c r="S30" i="35"/>
  <c r="AA35" i="35"/>
  <c r="AB30" i="35"/>
  <c r="S27" i="35"/>
  <c r="S28" i="35"/>
  <c r="J26" i="35"/>
  <c r="F26" i="35"/>
  <c r="AA26" i="35" s="1"/>
  <c r="H26" i="35"/>
  <c r="AB9" i="37"/>
  <c r="W12" i="37"/>
  <c r="AA9" i="37"/>
  <c r="S17" i="37"/>
  <c r="W28" i="37"/>
  <c r="AB37" i="37"/>
  <c r="AA31" i="37"/>
  <c r="U32" i="37"/>
  <c r="AA32" i="37"/>
  <c r="J33" i="37"/>
  <c r="W33" i="37" s="1"/>
  <c r="H99" i="37"/>
  <c r="I99" i="37"/>
  <c r="J99" i="37" s="1"/>
  <c r="K99" i="37" s="1"/>
  <c r="L99" i="37" s="1"/>
  <c r="M99" i="37"/>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C32" i="34"/>
  <c r="AA33" i="34"/>
  <c r="U44" i="34"/>
  <c r="U34" i="34"/>
  <c r="U28" i="34"/>
  <c r="AA27" i="34"/>
  <c r="J25" i="34"/>
  <c r="H25" i="34"/>
  <c r="F25" i="34"/>
  <c r="J23" i="34"/>
  <c r="AC23" i="34" s="1"/>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s="1"/>
  <c r="J25" i="33"/>
  <c r="W25" i="33"/>
  <c r="F87" i="33"/>
  <c r="G87" i="33" s="1"/>
  <c r="H87" i="33" s="1"/>
  <c r="I87" i="33" s="1"/>
  <c r="J87" i="33" s="1"/>
  <c r="K87" i="33" s="1"/>
  <c r="L87" i="33" s="1"/>
  <c r="M87" i="33" s="1"/>
  <c r="F25" i="33"/>
  <c r="F85" i="33"/>
  <c r="G85" i="33"/>
  <c r="J23" i="33"/>
  <c r="W23" i="33" s="1"/>
  <c r="F23" i="33"/>
  <c r="H23" i="33"/>
  <c r="U19" i="33"/>
  <c r="F79" i="33"/>
  <c r="G79" i="33" s="1"/>
  <c r="F17" i="33"/>
  <c r="H17" i="33"/>
  <c r="J17" i="33"/>
  <c r="W17" i="33" s="1"/>
  <c r="S10" i="33"/>
  <c r="S14"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s="1"/>
  <c r="F23" i="21"/>
  <c r="H23" i="21"/>
  <c r="AA17" i="21"/>
  <c r="W17" i="21"/>
  <c r="F15" i="21"/>
  <c r="S15" i="2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H39" i="40"/>
  <c r="J39" i="40"/>
  <c r="AC39" i="40" s="1"/>
  <c r="F29" i="40"/>
  <c r="H29" i="40"/>
  <c r="J29" i="40"/>
  <c r="F98" i="40"/>
  <c r="G98" i="40" s="1"/>
  <c r="H98" i="40" s="1"/>
  <c r="I98" i="40" s="1"/>
  <c r="J98" i="40" s="1"/>
  <c r="K98" i="40" s="1"/>
  <c r="L98" i="40" s="1"/>
  <c r="M98" i="40" s="1"/>
  <c r="S30" i="40"/>
  <c r="S25" i="40"/>
  <c r="F88" i="40"/>
  <c r="G88" i="40"/>
  <c r="F19" i="40"/>
  <c r="H19" i="40"/>
  <c r="J19" i="40"/>
  <c r="F17" i="40"/>
  <c r="AA17" i="40" s="1"/>
  <c r="H17" i="40"/>
  <c r="AB17" i="40" s="1"/>
  <c r="W21" i="40"/>
  <c r="AB40" i="40"/>
  <c r="U10" i="40"/>
  <c r="U27" i="40"/>
  <c r="AB27" i="40"/>
  <c r="AC44" i="39"/>
  <c r="W13" i="39"/>
  <c r="S11" i="39"/>
  <c r="AB45" i="39"/>
  <c r="S27" i="39"/>
  <c r="AA21" i="39"/>
  <c r="AC19" i="39"/>
  <c r="W29" i="39"/>
  <c r="S29" i="39"/>
  <c r="AC21" i="39"/>
  <c r="AC17" i="39"/>
  <c r="S14" i="39"/>
  <c r="AB15" i="39"/>
  <c r="U11" i="39"/>
  <c r="U41" i="39"/>
  <c r="U23" i="39"/>
  <c r="AB38" i="39"/>
  <c r="U31" i="39"/>
  <c r="AB31" i="39"/>
  <c r="S25" i="39"/>
  <c r="S38" i="39"/>
  <c r="S22" i="31"/>
  <c r="B22" i="63"/>
  <c r="M20" i="15"/>
  <c r="D96" i="9"/>
  <c r="M18" i="15"/>
  <c r="A18" i="64"/>
  <c r="B74" i="63"/>
  <c r="C53" i="10"/>
  <c r="A25" i="64" s="1"/>
  <c r="A18" i="51"/>
  <c r="B14" i="63"/>
  <c r="BA16" i="3"/>
  <c r="BA17" i="3"/>
  <c r="AZ17" i="3" s="1"/>
  <c r="F3" i="35"/>
  <c r="K1" i="43"/>
  <c r="K1" i="12"/>
  <c r="G1" i="44"/>
  <c r="I4" i="6"/>
  <c r="G3" i="46"/>
  <c r="AZ15" i="3"/>
  <c r="BK5" i="3"/>
  <c r="BO5" i="3"/>
  <c r="BP5" i="3"/>
  <c r="BN5" i="3"/>
  <c r="BL18" i="3"/>
  <c r="AZ18" i="3"/>
  <c r="BC5" i="3"/>
  <c r="E8" i="6"/>
  <c r="BD5" i="3"/>
  <c r="BR5" i="3"/>
  <c r="G28" i="6"/>
  <c r="BS5" i="3"/>
  <c r="BQ5" i="3"/>
  <c r="BL16" i="3"/>
  <c r="BM5" i="3"/>
  <c r="BA13" i="3"/>
  <c r="G28" i="12"/>
  <c r="G22" i="43"/>
  <c r="G26" i="12"/>
  <c r="D24" i="44"/>
  <c r="D26" i="44"/>
  <c r="G27" i="12"/>
  <c r="G23" i="43"/>
  <c r="G21" i="43"/>
  <c r="N8" i="46"/>
  <c r="N4" i="46"/>
  <c r="N1" i="46"/>
  <c r="F69" i="46"/>
  <c r="F47" i="46"/>
  <c r="M9" i="46"/>
  <c r="M2" i="46"/>
  <c r="N9" i="46"/>
  <c r="M4" i="46"/>
  <c r="M12" i="46"/>
  <c r="M8" i="46"/>
  <c r="M3" i="46"/>
  <c r="M5" i="46"/>
  <c r="C6" i="46"/>
  <c r="H6" i="48"/>
  <c r="H15" i="48"/>
  <c r="H5" i="48"/>
  <c r="H14" i="48"/>
  <c r="F36" i="46"/>
  <c r="K17" i="46"/>
  <c r="F39" i="46"/>
  <c r="H13" i="48"/>
  <c r="H11" i="48"/>
  <c r="D17" i="46"/>
  <c r="D71" i="46"/>
  <c r="D84" i="46"/>
  <c r="D69" i="46"/>
  <c r="E69" i="46" s="1"/>
  <c r="B67" i="46" s="1"/>
  <c r="E47" i="46"/>
  <c r="E58" i="46"/>
  <c r="B56" i="46" s="1"/>
  <c r="A4" i="64"/>
  <c r="A4" i="51"/>
  <c r="B6" i="63" s="1"/>
  <c r="C51" i="10"/>
  <c r="I100" i="46"/>
  <c r="N100" i="46"/>
  <c r="H100" i="46"/>
  <c r="F108" i="46"/>
  <c r="H80" i="46"/>
  <c r="B45" i="46"/>
  <c r="E100" i="46"/>
  <c r="G100" i="46"/>
  <c r="H84" i="46"/>
  <c r="C100" i="46"/>
  <c r="J100" i="46"/>
  <c r="M100" i="46"/>
  <c r="AA12" i="36"/>
  <c r="U12" i="35"/>
  <c r="AB12" i="35"/>
  <c r="W11" i="35"/>
  <c r="AA11" i="35"/>
  <c r="S14" i="37"/>
  <c r="U13" i="37"/>
  <c r="S13" i="21"/>
  <c r="C24" i="9"/>
  <c r="C25" i="9"/>
  <c r="G9" i="1"/>
  <c r="G8" i="1"/>
  <c r="L5" i="54"/>
  <c r="B39" i="63"/>
  <c r="K5" i="54"/>
  <c r="B38" i="63" s="1"/>
  <c r="T41" i="4"/>
  <c r="A17" i="64"/>
  <c r="B46" i="50"/>
  <c r="B4" i="63" s="1"/>
  <c r="C46" i="36"/>
  <c r="C48" i="35"/>
  <c r="D48" i="35"/>
  <c r="E48" i="35" s="1"/>
  <c r="F48" i="35" s="1"/>
  <c r="G48" i="35" s="1"/>
  <c r="C52" i="37"/>
  <c r="D52" i="37" s="1"/>
  <c r="E52" i="37" s="1"/>
  <c r="F52" i="37" s="1"/>
  <c r="G52" i="37" s="1"/>
  <c r="H52" i="37" s="1"/>
  <c r="I52" i="37" s="1"/>
  <c r="J52" i="37" s="1"/>
  <c r="K52" i="37" s="1"/>
  <c r="O19" i="46"/>
  <c r="K17" i="4"/>
  <c r="A22" i="51"/>
  <c r="B16" i="63"/>
  <c r="H86" i="46"/>
  <c r="H82" i="46"/>
  <c r="H10" i="48"/>
  <c r="H87" i="46"/>
  <c r="H85" i="46"/>
  <c r="H83" i="46"/>
  <c r="K10" i="1"/>
  <c r="M10" i="1"/>
  <c r="S11" i="1"/>
  <c r="R11" i="1"/>
  <c r="S13" i="1"/>
  <c r="R13" i="1"/>
  <c r="B6" i="1"/>
  <c r="E6" i="1" s="1"/>
  <c r="B10" i="1"/>
  <c r="E10" i="1" s="1"/>
  <c r="S10" i="1"/>
  <c r="B8" i="1"/>
  <c r="E8" i="1" s="1"/>
  <c r="B12" i="1"/>
  <c r="E12" i="1"/>
  <c r="S12" i="1"/>
  <c r="K6" i="1"/>
  <c r="M6" i="1" s="1"/>
  <c r="G1" i="15"/>
  <c r="F66" i="36"/>
  <c r="G66" i="36" s="1"/>
  <c r="H18" i="36"/>
  <c r="U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W30" i="40"/>
  <c r="S34"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30" i="6" s="1"/>
  <c r="F28" i="6"/>
  <c r="S14" i="36"/>
  <c r="AB20" i="36"/>
  <c r="AA20" i="36"/>
  <c r="AC14" i="36"/>
  <c r="W14" i="36"/>
  <c r="AB14" i="36"/>
  <c r="AB18" i="36"/>
  <c r="S26" i="35"/>
  <c r="U26" i="35"/>
  <c r="AB26" i="35"/>
  <c r="W26" i="35"/>
  <c r="AC26" i="35"/>
  <c r="S19" i="37"/>
  <c r="W19" i="37"/>
  <c r="AB19" i="37"/>
  <c r="U19" i="37"/>
  <c r="AC17" i="37"/>
  <c r="W17" i="37"/>
  <c r="U25" i="34"/>
  <c r="AB25" i="34"/>
  <c r="AA25" i="34"/>
  <c r="S25" i="34"/>
  <c r="W25" i="34"/>
  <c r="AC25" i="34"/>
  <c r="U23" i="34"/>
  <c r="AB23" i="34"/>
  <c r="AA23" i="34"/>
  <c r="S23" i="34"/>
  <c r="W23" i="34"/>
  <c r="AA25" i="33"/>
  <c r="S25" i="33"/>
  <c r="U23" i="33"/>
  <c r="AB23" i="33"/>
  <c r="AC23" i="33"/>
  <c r="S23" i="33"/>
  <c r="AA23" i="33"/>
  <c r="AC17" i="33"/>
  <c r="AA17" i="33"/>
  <c r="S17" i="33"/>
  <c r="U17" i="33"/>
  <c r="AB17" i="33"/>
  <c r="U23" i="21"/>
  <c r="AB23" i="21"/>
  <c r="AA23" i="21"/>
  <c r="S23" i="21"/>
  <c r="U15" i="21"/>
  <c r="AB15" i="21"/>
  <c r="W15" i="21"/>
  <c r="AC15" i="21"/>
  <c r="AB39" i="40"/>
  <c r="U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c r="A17" i="51"/>
  <c r="B13" i="63"/>
  <c r="E58" i="39"/>
  <c r="E53" i="40"/>
  <c r="F27" i="6"/>
  <c r="E5" i="6"/>
  <c r="D12" i="11" s="1"/>
  <c r="C12" i="11" s="1"/>
  <c r="AT6" i="3"/>
  <c r="G29" i="6"/>
  <c r="E29" i="6" s="1"/>
  <c r="K15" i="1" s="1"/>
  <c r="AZ16" i="3"/>
  <c r="A9" i="64"/>
  <c r="A9" i="51"/>
  <c r="B9" i="63" s="1"/>
  <c r="A3" i="55"/>
  <c r="B56" i="63"/>
  <c r="E4" i="4"/>
  <c r="B21" i="55" s="1"/>
  <c r="B72" i="63" s="1"/>
  <c r="C4" i="4"/>
  <c r="J18" i="36"/>
  <c r="W18" i="36" s="1"/>
  <c r="AE8" i="1"/>
  <c r="AE7" i="1"/>
  <c r="AC18" i="36"/>
  <c r="AG6" i="1"/>
  <c r="L20" i="6"/>
  <c r="B20" i="55"/>
  <c r="B70" i="63" s="1"/>
  <c r="S7" i="1"/>
  <c r="S8" i="1"/>
  <c r="S9" i="1"/>
  <c r="R9" i="1"/>
  <c r="R7" i="1"/>
  <c r="R8" i="1"/>
  <c r="C45" i="9"/>
  <c r="H14" i="66" s="1"/>
  <c r="B7" i="66" s="1"/>
  <c r="C44" i="9"/>
  <c r="K29" i="9"/>
  <c r="K30" i="9"/>
  <c r="N76" i="9"/>
  <c r="C46" i="9"/>
  <c r="K33" i="9" s="1"/>
  <c r="I14" i="66"/>
  <c r="B8" i="66" s="1"/>
  <c r="C67" i="40"/>
  <c r="D65" i="40"/>
  <c r="D67" i="40" s="1"/>
  <c r="H58" i="46"/>
  <c r="J17" i="46"/>
  <c r="C17" i="46"/>
  <c r="F34" i="46"/>
  <c r="F38" i="46"/>
  <c r="F37" i="46"/>
  <c r="H113" i="46"/>
  <c r="H49" i="46"/>
  <c r="H53" i="46"/>
  <c r="F16" i="59"/>
  <c r="F15" i="59"/>
  <c r="F14" i="59" s="1"/>
  <c r="F13" i="59" s="1"/>
  <c r="H1" i="65"/>
  <c r="H51" i="46"/>
  <c r="X7" i="46"/>
  <c r="E17" i="46"/>
  <c r="N17" i="46"/>
  <c r="O17" i="46"/>
  <c r="M17" i="46"/>
  <c r="L17" i="46"/>
  <c r="E28" i="6"/>
  <c r="P13" i="1"/>
  <c r="AP7" i="1"/>
  <c r="G13" i="1"/>
  <c r="D46" i="36"/>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K14" i="1"/>
  <c r="M14" i="1"/>
  <c r="E46" i="36"/>
  <c r="F46" i="36" s="1"/>
  <c r="C7" i="46"/>
  <c r="C31" i="43"/>
  <c r="F31" i="6"/>
  <c r="Y11" i="46"/>
  <c r="Y13" i="46" s="1"/>
  <c r="G22" i="46"/>
  <c r="F101" i="46"/>
  <c r="M101" i="46"/>
  <c r="M107" i="46" s="1"/>
  <c r="AC11" i="46"/>
  <c r="AC13" i="46"/>
  <c r="AJ11" i="46"/>
  <c r="AJ13" i="46" s="1"/>
  <c r="C101" i="46"/>
  <c r="J101" i="46"/>
  <c r="N104" i="45"/>
  <c r="F22" i="46"/>
  <c r="Z7" i="46"/>
  <c r="E22" i="46"/>
  <c r="AA11" i="46"/>
  <c r="AA13" i="46" s="1"/>
  <c r="AF11" i="46"/>
  <c r="AF13" i="46"/>
  <c r="C102" i="46"/>
  <c r="D101" i="46"/>
  <c r="D102" i="46" s="1"/>
  <c r="E101" i="46"/>
  <c r="F102" i="46"/>
  <c r="G101" i="46"/>
  <c r="G102" i="46"/>
  <c r="H101" i="46"/>
  <c r="H102" i="46"/>
  <c r="I101" i="46"/>
  <c r="I102" i="46"/>
  <c r="J102" i="46"/>
  <c r="K101" i="46"/>
  <c r="K102" i="46" s="1"/>
  <c r="L101" i="46"/>
  <c r="L102" i="46"/>
  <c r="N101" i="46"/>
  <c r="N102" i="46"/>
  <c r="C103" i="46"/>
  <c r="F103" i="46"/>
  <c r="G103" i="46"/>
  <c r="H103" i="46"/>
  <c r="I103" i="46"/>
  <c r="J103" i="46"/>
  <c r="L103" i="46"/>
  <c r="N103" i="46"/>
  <c r="C104" i="46"/>
  <c r="D104" i="46"/>
  <c r="F104" i="46"/>
  <c r="G104" i="46"/>
  <c r="H104" i="46"/>
  <c r="I104" i="46"/>
  <c r="J104" i="46"/>
  <c r="L104" i="46"/>
  <c r="N104" i="46"/>
  <c r="C105" i="46"/>
  <c r="F105" i="46"/>
  <c r="G105" i="46"/>
  <c r="H105" i="46"/>
  <c r="I105" i="46"/>
  <c r="J105" i="46"/>
  <c r="L105" i="46"/>
  <c r="N105" i="46"/>
  <c r="C106" i="46"/>
  <c r="D106" i="46"/>
  <c r="F106" i="46"/>
  <c r="G106" i="46"/>
  <c r="H106" i="46"/>
  <c r="I106" i="46"/>
  <c r="J106" i="46"/>
  <c r="L106" i="46"/>
  <c r="N106" i="46"/>
  <c r="C107" i="46"/>
  <c r="F107" i="46"/>
  <c r="G107" i="46"/>
  <c r="H107" i="46"/>
  <c r="I107" i="46"/>
  <c r="J107" i="46"/>
  <c r="L107" i="46"/>
  <c r="N107" i="46"/>
  <c r="H22" i="46"/>
  <c r="J22" i="46"/>
  <c r="AD11" i="46"/>
  <c r="AD13" i="46"/>
  <c r="B113" i="46"/>
  <c r="AG11" i="46"/>
  <c r="AG13" i="46" s="1"/>
  <c r="Z11" i="46"/>
  <c r="Z13" i="46" s="1"/>
  <c r="AH11" i="46"/>
  <c r="AH13" i="46"/>
  <c r="AI11" i="46"/>
  <c r="AE11" i="46"/>
  <c r="AE13" i="46" s="1"/>
  <c r="AB11" i="46"/>
  <c r="BL13" i="3"/>
  <c r="AZ13" i="3" s="1"/>
  <c r="L19" i="6"/>
  <c r="L27" i="6" s="1"/>
  <c r="G30" i="6"/>
  <c r="G31" i="6"/>
  <c r="C15" i="43"/>
  <c r="H12" i="48"/>
  <c r="G6" i="1"/>
  <c r="I20" i="46"/>
  <c r="L52" i="37"/>
  <c r="D58" i="33"/>
  <c r="D58" i="21"/>
  <c r="D59" i="34"/>
  <c r="A25" i="51"/>
  <c r="B18" i="63"/>
  <c r="C29" i="12"/>
  <c r="C95" i="9"/>
  <c r="C92" i="9" s="1"/>
  <c r="C27" i="43"/>
  <c r="D22" i="46"/>
  <c r="H71" i="46"/>
  <c r="H75" i="46"/>
  <c r="H72" i="46"/>
  <c r="H77" i="46"/>
  <c r="H70" i="46"/>
  <c r="H73" i="46"/>
  <c r="H74" i="46"/>
  <c r="H69" i="46"/>
  <c r="H76" i="46"/>
  <c r="F28" i="15"/>
  <c r="C28" i="15"/>
  <c r="F30" i="44"/>
  <c r="C30" i="44" s="1"/>
  <c r="M20" i="44"/>
  <c r="F70" i="9"/>
  <c r="F32" i="15"/>
  <c r="F59" i="15" s="1"/>
  <c r="F72" i="9"/>
  <c r="F66" i="9"/>
  <c r="P72" i="9" s="1"/>
  <c r="O9" i="1"/>
  <c r="P9" i="1"/>
  <c r="O14" i="1"/>
  <c r="J109" i="46"/>
  <c r="D21" i="12"/>
  <c r="C21" i="12" s="1"/>
  <c r="I109" i="46"/>
  <c r="O8" i="1"/>
  <c r="P8" i="1"/>
  <c r="O6" i="1"/>
  <c r="P6" i="1" s="1"/>
  <c r="M109" i="46"/>
  <c r="K77" i="9"/>
  <c r="K79" i="9"/>
  <c r="K81" i="9" s="1"/>
  <c r="F31" i="15"/>
  <c r="F33" i="44"/>
  <c r="Y3" i="59"/>
  <c r="Z3" i="59"/>
  <c r="P22" i="46"/>
  <c r="P24" i="46"/>
  <c r="B68" i="40"/>
  <c r="P23" i="46"/>
  <c r="P25" i="46"/>
  <c r="B73" i="39" s="1"/>
  <c r="P21" i="46"/>
  <c r="I1" i="65"/>
  <c r="F58" i="15"/>
  <c r="M17" i="15"/>
  <c r="E109" i="46"/>
  <c r="I116" i="46"/>
  <c r="J116" i="46"/>
  <c r="K116" i="46" s="1"/>
  <c r="L116" i="46"/>
  <c r="M116" i="46" s="1"/>
  <c r="I118" i="46"/>
  <c r="J118" i="46" s="1"/>
  <c r="K118" i="46"/>
  <c r="L118" i="46" s="1"/>
  <c r="M118" i="46"/>
  <c r="D116" i="46"/>
  <c r="E116" i="46"/>
  <c r="F116" i="46" s="1"/>
  <c r="G116" i="46"/>
  <c r="H116" i="46" s="1"/>
  <c r="D117" i="46"/>
  <c r="E117" i="46" s="1"/>
  <c r="F117" i="46"/>
  <c r="G117" i="46" s="1"/>
  <c r="H117" i="46" s="1"/>
  <c r="D115" i="46"/>
  <c r="E115" i="46"/>
  <c r="F115" i="46" s="1"/>
  <c r="G115" i="46"/>
  <c r="H115" i="46" s="1"/>
  <c r="G118" i="46"/>
  <c r="H118" i="46" s="1"/>
  <c r="B118" i="46"/>
  <c r="C118" i="46" s="1"/>
  <c r="B115" i="46"/>
  <c r="I115" i="46"/>
  <c r="J115" i="46"/>
  <c r="K115" i="46" s="1"/>
  <c r="L115" i="46"/>
  <c r="M115" i="46" s="1"/>
  <c r="B116" i="46"/>
  <c r="C116" i="46" s="1"/>
  <c r="I117" i="46"/>
  <c r="J117" i="46" s="1"/>
  <c r="K117" i="46" s="1"/>
  <c r="L117" i="46" s="1"/>
  <c r="M117" i="46" s="1"/>
  <c r="D118" i="46"/>
  <c r="E118" i="46"/>
  <c r="F118" i="46" s="1"/>
  <c r="B117" i="46"/>
  <c r="C117" i="46" s="1"/>
  <c r="K109" i="46"/>
  <c r="L109" i="46"/>
  <c r="G109" i="46"/>
  <c r="N109" i="46"/>
  <c r="D109" i="46"/>
  <c r="H109" i="46"/>
  <c r="C109" i="46"/>
  <c r="F109" i="46"/>
  <c r="E59" i="34"/>
  <c r="E58" i="21"/>
  <c r="F58" i="21" s="1"/>
  <c r="G58" i="21" s="1"/>
  <c r="H58" i="21" s="1"/>
  <c r="E58" i="33"/>
  <c r="M19" i="44"/>
  <c r="C115" i="46"/>
  <c r="F59" i="34"/>
  <c r="G59" i="34" s="1"/>
  <c r="F58" i="33"/>
  <c r="G58" i="33"/>
  <c r="H58" i="33" s="1"/>
  <c r="C15" i="12"/>
  <c r="D77" i="9"/>
  <c r="N75" i="9" s="1"/>
  <c r="D66" i="9"/>
  <c r="N72" i="9" s="1"/>
  <c r="C21" i="46"/>
  <c r="L49" i="44"/>
  <c r="J36" i="15"/>
  <c r="F41" i="15"/>
  <c r="B14" i="67"/>
  <c r="F16" i="15"/>
  <c r="M24" i="44"/>
  <c r="F11" i="67"/>
  <c r="F8" i="44"/>
  <c r="F40" i="15"/>
  <c r="F40" i="44"/>
  <c r="M28" i="15"/>
  <c r="F10" i="44"/>
  <c r="I6" i="65"/>
  <c r="M21" i="15"/>
  <c r="M23" i="15"/>
  <c r="M30" i="44"/>
  <c r="B12" i="67"/>
  <c r="M26" i="44"/>
  <c r="M8" i="15"/>
  <c r="F28" i="44"/>
  <c r="F12" i="67"/>
  <c r="F38" i="15"/>
  <c r="F7" i="67"/>
  <c r="F43" i="44"/>
  <c r="M25" i="44"/>
  <c r="M10" i="44"/>
  <c r="F7" i="15"/>
  <c r="J3" i="65"/>
  <c r="I3" i="65"/>
  <c r="B11" i="67"/>
  <c r="F6" i="15"/>
  <c r="F8" i="67"/>
  <c r="F9" i="67"/>
  <c r="M9" i="15"/>
  <c r="E7" i="67"/>
  <c r="F8" i="15"/>
  <c r="M31" i="44"/>
  <c r="M22" i="15"/>
  <c r="N4" i="65"/>
  <c r="N6" i="65"/>
  <c r="M29" i="44"/>
  <c r="E12" i="67"/>
  <c r="M27" i="15"/>
  <c r="F45" i="44"/>
  <c r="F43" i="15"/>
  <c r="F39" i="44"/>
  <c r="J5" i="65"/>
  <c r="F37" i="44"/>
  <c r="N3" i="65"/>
  <c r="M23" i="44"/>
  <c r="J7" i="65"/>
  <c r="F18" i="44"/>
  <c r="F11" i="44"/>
  <c r="F26" i="15"/>
  <c r="E8" i="67"/>
  <c r="J4" i="65"/>
  <c r="M6" i="15"/>
  <c r="I7" i="65"/>
  <c r="E13" i="67"/>
  <c r="J17" i="44"/>
  <c r="C19" i="44"/>
  <c r="J15" i="15"/>
  <c r="B8" i="67"/>
  <c r="E9" i="67"/>
  <c r="F42" i="15"/>
  <c r="M24" i="15"/>
  <c r="F14" i="67"/>
  <c r="L47" i="15"/>
  <c r="M29" i="15"/>
  <c r="L48" i="15"/>
  <c r="I5" i="65"/>
  <c r="B13" i="67"/>
  <c r="F13" i="15"/>
  <c r="F35" i="15"/>
  <c r="B7" i="67"/>
  <c r="F9" i="15"/>
  <c r="E11" i="67"/>
  <c r="F9" i="44"/>
  <c r="B10" i="67"/>
  <c r="M11" i="44"/>
  <c r="M8" i="44"/>
  <c r="J6" i="65"/>
  <c r="F37" i="15"/>
  <c r="B9" i="67"/>
  <c r="N5" i="65"/>
  <c r="M28" i="44"/>
  <c r="F46" i="44"/>
  <c r="F15" i="44"/>
  <c r="F13" i="67"/>
  <c r="F38" i="44"/>
  <c r="L48" i="44"/>
  <c r="E14" i="67"/>
  <c r="I4" i="65"/>
  <c r="E10" i="67"/>
  <c r="N7" i="65"/>
  <c r="M26" i="15"/>
  <c r="F36" i="15"/>
  <c r="F10" i="67"/>
  <c r="E7" i="52" l="1"/>
  <c r="W17" i="40"/>
  <c r="AC17" i="40"/>
  <c r="G86" i="40"/>
  <c r="U17" i="40"/>
  <c r="S17" i="40"/>
  <c r="D70" i="39"/>
  <c r="C72" i="39"/>
  <c r="B5" i="52"/>
  <c r="E12" i="52"/>
  <c r="I58" i="21"/>
  <c r="J58" i="21" s="1"/>
  <c r="K58" i="21" s="1"/>
  <c r="L58" i="21" s="1"/>
  <c r="M58" i="21" s="1"/>
  <c r="N58" i="21" s="1"/>
  <c r="O58" i="21" s="1"/>
  <c r="F7" i="21"/>
  <c r="I58" i="33"/>
  <c r="J58" i="33" s="1"/>
  <c r="K58" i="33" s="1"/>
  <c r="L58" i="33" s="1"/>
  <c r="M58" i="33" s="1"/>
  <c r="N58" i="33" s="1"/>
  <c r="O58" i="33" s="1"/>
  <c r="J7" i="33"/>
  <c r="H7" i="33"/>
  <c r="F12" i="59"/>
  <c r="F11" i="59" s="1"/>
  <c r="F10" i="59" s="1"/>
  <c r="F9" i="59" s="1"/>
  <c r="V13" i="59"/>
  <c r="H59" i="34"/>
  <c r="I59" i="34" s="1"/>
  <c r="J59" i="34" s="1"/>
  <c r="K59" i="34" s="1"/>
  <c r="L59" i="34" s="1"/>
  <c r="M59" i="34" s="1"/>
  <c r="N59" i="34" s="1"/>
  <c r="O59" i="34" s="1"/>
  <c r="G46" i="36"/>
  <c r="D113" i="46"/>
  <c r="M52" i="37"/>
  <c r="E103" i="46"/>
  <c r="E104" i="46"/>
  <c r="E105" i="46"/>
  <c r="E106" i="46"/>
  <c r="E107" i="46"/>
  <c r="P14" i="1"/>
  <c r="K107" i="46"/>
  <c r="K105" i="46"/>
  <c r="K103" i="46"/>
  <c r="G14" i="66"/>
  <c r="B6" i="66" s="1"/>
  <c r="O39" i="9"/>
  <c r="R6" i="54" s="1"/>
  <c r="B50" i="63" s="1"/>
  <c r="M103" i="46"/>
  <c r="M104" i="46"/>
  <c r="M105" i="46"/>
  <c r="M106" i="46"/>
  <c r="AB13" i="46"/>
  <c r="D107" i="46"/>
  <c r="K106" i="46"/>
  <c r="D105" i="46"/>
  <c r="K104" i="46"/>
  <c r="D103" i="46"/>
  <c r="M102" i="46"/>
  <c r="E102" i="46"/>
  <c r="S3" i="46" s="1"/>
  <c r="E30" i="6"/>
  <c r="K34" i="9"/>
  <c r="N69" i="9"/>
  <c r="H48" i="35"/>
  <c r="E65" i="40"/>
  <c r="O41" i="9"/>
  <c r="R8" i="54" s="1"/>
  <c r="B54" i="63" s="1"/>
  <c r="O40" i="9"/>
  <c r="W39" i="40"/>
  <c r="P11" i="1"/>
  <c r="AC23" i="21"/>
  <c r="U27" i="33"/>
  <c r="AB27" i="33"/>
  <c r="O10" i="1"/>
  <c r="P10" i="1"/>
  <c r="O7" i="1"/>
  <c r="P7" i="1" s="1"/>
  <c r="AC10" i="33"/>
  <c r="W10" i="33"/>
  <c r="AZ520" i="3"/>
  <c r="W20" i="36"/>
  <c r="AB13" i="33"/>
  <c r="U32" i="34"/>
  <c r="AB46" i="39"/>
  <c r="S16" i="39"/>
  <c r="AB34" i="40"/>
  <c r="W15" i="40"/>
  <c r="BG5" i="3"/>
  <c r="U27" i="35"/>
  <c r="AB27" i="35"/>
  <c r="H24" i="36"/>
  <c r="J24" i="36"/>
  <c r="AC38" i="39"/>
  <c r="AA23" i="40"/>
  <c r="U25" i="33"/>
  <c r="AC11" i="33"/>
  <c r="W34" i="33"/>
  <c r="AA30" i="34"/>
  <c r="AA33" i="37"/>
  <c r="AC36" i="33"/>
  <c r="AC15" i="33"/>
  <c r="U12" i="34"/>
  <c r="S46" i="34"/>
  <c r="U11" i="36"/>
  <c r="W39" i="39"/>
  <c r="S41" i="40"/>
  <c r="AC16" i="40"/>
  <c r="U19" i="39"/>
  <c r="AA36" i="37"/>
  <c r="AA10" i="35"/>
  <c r="S45" i="21"/>
  <c r="W31" i="34"/>
  <c r="AB13" i="21"/>
  <c r="W46" i="33"/>
  <c r="AC35" i="35"/>
  <c r="S27" i="33"/>
  <c r="AB9" i="21"/>
  <c r="G571" i="3"/>
  <c r="BI5" i="3"/>
  <c r="AA8" i="21"/>
  <c r="H12" i="21"/>
  <c r="F12" i="21"/>
  <c r="AC24" i="35"/>
  <c r="W24" i="35"/>
  <c r="H36" i="35"/>
  <c r="J36" i="35"/>
  <c r="AB15" i="33"/>
  <c r="S17" i="39"/>
  <c r="AC41" i="34"/>
  <c r="AB40" i="37"/>
  <c r="BA570" i="3"/>
  <c r="AZ570" i="3" s="1"/>
  <c r="H9" i="35"/>
  <c r="G504" i="3"/>
  <c r="G532" i="3"/>
  <c r="AZ406" i="3"/>
  <c r="AZ409" i="3"/>
  <c r="AZ416" i="3"/>
  <c r="AZ389" i="3"/>
  <c r="AZ393" i="3"/>
  <c r="AZ395" i="3"/>
  <c r="AZ404" i="3"/>
  <c r="AZ412" i="3"/>
  <c r="AZ435" i="3"/>
  <c r="AZ437" i="3"/>
  <c r="AZ445" i="3"/>
  <c r="AZ447" i="3"/>
  <c r="AZ460" i="3"/>
  <c r="J38" i="40"/>
  <c r="AC38" i="40" s="1"/>
  <c r="G509" i="3"/>
  <c r="AZ392" i="3"/>
  <c r="AZ400" i="3"/>
  <c r="AZ413" i="3"/>
  <c r="AZ429" i="3"/>
  <c r="AZ453" i="3"/>
  <c r="G457" i="3"/>
  <c r="BL463" i="3"/>
  <c r="AZ463" i="3" s="1"/>
  <c r="BA469" i="3"/>
  <c r="AZ469" i="3" s="1"/>
  <c r="G473" i="3"/>
  <c r="G478" i="3"/>
  <c r="G305" i="3"/>
  <c r="G309" i="3"/>
  <c r="BA313" i="3"/>
  <c r="AZ313" i="3" s="1"/>
  <c r="G317" i="3"/>
  <c r="G320" i="3"/>
  <c r="AZ386" i="3"/>
  <c r="AZ222" i="3"/>
  <c r="AZ287" i="3"/>
  <c r="AZ116" i="3"/>
  <c r="AZ120" i="3"/>
  <c r="AZ128" i="3"/>
  <c r="AZ117" i="3"/>
  <c r="AZ129" i="3"/>
  <c r="C18" i="9"/>
  <c r="G465" i="3"/>
  <c r="BL471" i="3"/>
  <c r="AZ471" i="3" s="1"/>
  <c r="G307" i="3"/>
  <c r="BA311" i="3"/>
  <c r="AZ311" i="3" s="1"/>
  <c r="BA319" i="3"/>
  <c r="AZ319" i="3" s="1"/>
  <c r="AZ384" i="3"/>
  <c r="AZ206" i="3"/>
  <c r="AZ218" i="3"/>
  <c r="BL458" i="3"/>
  <c r="AZ458" i="3" s="1"/>
  <c r="G470" i="3"/>
  <c r="BL474" i="3"/>
  <c r="AZ474" i="3" s="1"/>
  <c r="AZ480" i="3"/>
  <c r="AZ182" i="3"/>
  <c r="AZ25" i="3"/>
  <c r="AZ28" i="3"/>
  <c r="AZ34" i="3"/>
  <c r="AZ41" i="3"/>
  <c r="BA42" i="3"/>
  <c r="AZ42" i="3" s="1"/>
  <c r="AZ69" i="3"/>
  <c r="AZ155" i="3"/>
  <c r="BA158" i="3"/>
  <c r="AZ158" i="3" s="1"/>
  <c r="BA168" i="3"/>
  <c r="AZ168" i="3" s="1"/>
  <c r="BA171" i="3"/>
  <c r="AZ171" i="3" s="1"/>
  <c r="BA183" i="3"/>
  <c r="AZ183" i="3" s="1"/>
  <c r="BA197" i="3"/>
  <c r="AZ197" i="3" s="1"/>
  <c r="BA21" i="3"/>
  <c r="BA22" i="3"/>
  <c r="AZ22" i="3" s="1"/>
  <c r="AZ26" i="3"/>
  <c r="AZ29" i="3"/>
  <c r="BA35" i="3"/>
  <c r="AZ35" i="3" s="1"/>
  <c r="BA36" i="3"/>
  <c r="AZ36" i="3" s="1"/>
  <c r="AZ37" i="3"/>
  <c r="BA39" i="3"/>
  <c r="AZ39" i="3" s="1"/>
  <c r="BL44" i="3"/>
  <c r="BL50" i="3"/>
  <c r="BL149" i="3"/>
  <c r="AZ149" i="3" s="1"/>
  <c r="BA154" i="3"/>
  <c r="AZ154" i="3" s="1"/>
  <c r="BA156" i="3"/>
  <c r="AZ156" i="3" s="1"/>
  <c r="BL159" i="3"/>
  <c r="AZ159" i="3" s="1"/>
  <c r="G160" i="3"/>
  <c r="BL161" i="3"/>
  <c r="AZ161" i="3" s="1"/>
  <c r="G162" i="3"/>
  <c r="BA166" i="3"/>
  <c r="AZ166" i="3" s="1"/>
  <c r="BL176" i="3"/>
  <c r="AZ176" i="3" s="1"/>
  <c r="G179" i="3"/>
  <c r="BA186" i="3"/>
  <c r="AZ186" i="3" s="1"/>
  <c r="BA191" i="3"/>
  <c r="AZ191" i="3" s="1"/>
  <c r="BL198" i="3"/>
  <c r="AZ198" i="3" s="1"/>
  <c r="BL200" i="3"/>
  <c r="AZ200" i="3" s="1"/>
  <c r="BA202" i="3"/>
  <c r="AZ202" i="3" s="1"/>
  <c r="AZ204" i="3"/>
  <c r="BL30" i="3"/>
  <c r="G31" i="3"/>
  <c r="BL32" i="3"/>
  <c r="AZ32" i="3" s="1"/>
  <c r="G33" i="3"/>
  <c r="AZ38" i="3"/>
  <c r="G42" i="3"/>
  <c r="BL43" i="3"/>
  <c r="AZ43" i="3" s="1"/>
  <c r="G48" i="3"/>
  <c r="BL49" i="3"/>
  <c r="AZ49" i="3" s="1"/>
  <c r="AZ53" i="3"/>
  <c r="AZ61" i="3"/>
  <c r="G152" i="3"/>
  <c r="BL152" i="3"/>
  <c r="AZ152" i="3" s="1"/>
  <c r="G164" i="3"/>
  <c r="AZ44" i="3"/>
  <c r="AZ50" i="3"/>
  <c r="G53" i="3"/>
  <c r="BL58" i="3"/>
  <c r="BA62" i="3"/>
  <c r="AZ62" i="3" s="1"/>
  <c r="BA64" i="3"/>
  <c r="AZ64" i="3" s="1"/>
  <c r="BL67" i="3"/>
  <c r="BA70" i="3"/>
  <c r="AZ70" i="3" s="1"/>
  <c r="BL72" i="3"/>
  <c r="AZ72" i="3" s="1"/>
  <c r="G74" i="3"/>
  <c r="BA76" i="3"/>
  <c r="AZ76" i="3" s="1"/>
  <c r="AZ81" i="3"/>
  <c r="BA82" i="3"/>
  <c r="AZ82" i="3" s="1"/>
  <c r="BA84" i="3"/>
  <c r="AZ84" i="3" s="1"/>
  <c r="AZ101" i="3"/>
  <c r="AZ104" i="3"/>
  <c r="C37" i="59"/>
  <c r="D36" i="59"/>
  <c r="BA52" i="3"/>
  <c r="AZ52" i="3" s="1"/>
  <c r="G56" i="3"/>
  <c r="BA58" i="3"/>
  <c r="AZ58" i="3" s="1"/>
  <c r="BL60" i="3"/>
  <c r="AZ60" i="3" s="1"/>
  <c r="G62" i="3"/>
  <c r="BA65" i="3"/>
  <c r="AZ65" i="3" s="1"/>
  <c r="BA67" i="3"/>
  <c r="AZ67" i="3" s="1"/>
  <c r="BL73" i="3"/>
  <c r="BA77" i="3"/>
  <c r="AZ77" i="3" s="1"/>
  <c r="I21" i="57"/>
  <c r="D1" i="57"/>
  <c r="E10" i="57" s="1"/>
  <c r="S21" i="59"/>
  <c r="B20" i="59"/>
  <c r="B19" i="59" s="1"/>
  <c r="BL51" i="3"/>
  <c r="AZ51" i="3" s="1"/>
  <c r="BL55" i="3"/>
  <c r="AZ55" i="3" s="1"/>
  <c r="BL61" i="3"/>
  <c r="BL63" i="3"/>
  <c r="AZ63" i="3" s="1"/>
  <c r="G65" i="3"/>
  <c r="BA68" i="3"/>
  <c r="AZ68" i="3" s="1"/>
  <c r="G71" i="3"/>
  <c r="BA73" i="3"/>
  <c r="AZ73" i="3" s="1"/>
  <c r="BL75" i="3"/>
  <c r="AZ75" i="3" s="1"/>
  <c r="G77" i="3"/>
  <c r="BA79" i="3"/>
  <c r="AZ79" i="3" s="1"/>
  <c r="BL81" i="3"/>
  <c r="G85" i="3"/>
  <c r="BL86" i="3"/>
  <c r="AZ86" i="3" s="1"/>
  <c r="AZ89" i="3"/>
  <c r="AZ93" i="3"/>
  <c r="AZ109" i="3"/>
  <c r="M19" i="46"/>
  <c r="V33" i="59"/>
  <c r="K12" i="1"/>
  <c r="T49" i="59"/>
  <c r="T25" i="59"/>
  <c r="D80" i="59"/>
  <c r="E72" i="59"/>
  <c r="E71" i="59" s="1"/>
  <c r="C68" i="59"/>
  <c r="C27" i="59"/>
  <c r="E27" i="59"/>
  <c r="E28" i="59" s="1"/>
  <c r="E29" i="59" s="1"/>
  <c r="U29" i="59" s="1"/>
  <c r="Y30" i="59"/>
  <c r="Z30" i="59" s="1"/>
  <c r="C31" i="59"/>
  <c r="AA30" i="59"/>
  <c r="S65" i="59"/>
  <c r="V65" i="59"/>
  <c r="F64" i="59"/>
  <c r="F63" i="59" s="1"/>
  <c r="T69" i="59"/>
  <c r="AA11" i="59"/>
  <c r="D22" i="15"/>
  <c r="S27" i="40"/>
  <c r="B85" i="46"/>
  <c r="AA21" i="34"/>
  <c r="X22" i="59"/>
  <c r="B23" i="59"/>
  <c r="B24" i="59" s="1"/>
  <c r="B25" i="59" s="1"/>
  <c r="S25" i="59" s="1"/>
  <c r="AA21" i="59"/>
  <c r="E21" i="59"/>
  <c r="AI12" i="46"/>
  <c r="AI13" i="46" s="1"/>
  <c r="AI10" i="46"/>
  <c r="B16" i="59"/>
  <c r="B15" i="59" s="1"/>
  <c r="B14" i="59" s="1"/>
  <c r="B13" i="59" s="1"/>
  <c r="S17" i="59"/>
  <c r="AA20" i="59"/>
  <c r="AB19" i="59"/>
  <c r="AB3" i="59"/>
  <c r="AA18" i="59"/>
  <c r="Y17" i="59"/>
  <c r="Z17" i="59" s="1"/>
  <c r="C17" i="59"/>
  <c r="Y6" i="59"/>
  <c r="Z6" i="59" s="1"/>
  <c r="AA16" i="59"/>
  <c r="Y15" i="59"/>
  <c r="Z15" i="59" s="1"/>
  <c r="AB15" i="59"/>
  <c r="D83" i="46"/>
  <c r="AA3" i="59"/>
  <c r="F27" i="59"/>
  <c r="F28" i="59" s="1"/>
  <c r="F29" i="59" s="1"/>
  <c r="V29" i="59" s="1"/>
  <c r="AB26" i="59"/>
  <c r="T65" i="59"/>
  <c r="D65" i="59"/>
  <c r="AB21" i="59"/>
  <c r="AA19" i="59"/>
  <c r="AB18" i="59"/>
  <c r="AB14" i="59"/>
  <c r="D76" i="59"/>
  <c r="X3" i="59"/>
  <c r="Y22" i="59"/>
  <c r="Z22" i="59" s="1"/>
  <c r="E32" i="59"/>
  <c r="E33" i="59" s="1"/>
  <c r="U33" i="59" s="1"/>
  <c r="X21" i="59"/>
  <c r="X18" i="59"/>
  <c r="X10" i="59"/>
  <c r="F19" i="59"/>
  <c r="X14" i="59"/>
  <c r="AB20" i="59"/>
  <c r="Y19" i="59"/>
  <c r="Z19" i="59" s="1"/>
  <c r="Y18" i="59"/>
  <c r="Z18" i="59" s="1"/>
  <c r="X17" i="59"/>
  <c r="Y16" i="59"/>
  <c r="Z16" i="59" s="1"/>
  <c r="AA14" i="59"/>
  <c r="AA13" i="59"/>
  <c r="Y11" i="59"/>
  <c r="Z11" i="59" s="1"/>
  <c r="AB11" i="59"/>
  <c r="AB9" i="59"/>
  <c r="AA10" i="59"/>
  <c r="AA8" i="59"/>
  <c r="AB6" i="59"/>
  <c r="AB5" i="59"/>
  <c r="AB13" i="59"/>
  <c r="X12" i="59"/>
  <c r="AA12" i="59"/>
  <c r="X9" i="59"/>
  <c r="AB8" i="59"/>
  <c r="AB10" i="59"/>
  <c r="X6" i="59"/>
  <c r="X5" i="59"/>
  <c r="Y20" i="59"/>
  <c r="Z20" i="59" s="1"/>
  <c r="AA17" i="59"/>
  <c r="E17" i="59"/>
  <c r="AB16" i="59"/>
  <c r="Y14" i="59"/>
  <c r="Z14" i="59" s="1"/>
  <c r="X13" i="59"/>
  <c r="X11" i="59"/>
  <c r="Y9" i="59"/>
  <c r="Z9" i="59" s="1"/>
  <c r="X8" i="59"/>
  <c r="AB7" i="59"/>
  <c r="Y5" i="59"/>
  <c r="Z5" i="59" s="1"/>
  <c r="AA22" i="59"/>
  <c r="Y23" i="59"/>
  <c r="Z23" i="59" s="1"/>
  <c r="Y24" i="59"/>
  <c r="Z24" i="59" s="1"/>
  <c r="Y25" i="59"/>
  <c r="Z25" i="59" s="1"/>
  <c r="AA28" i="59"/>
  <c r="AA29" i="59"/>
  <c r="Y21" i="59"/>
  <c r="Z21" i="59" s="1"/>
  <c r="C21" i="59"/>
  <c r="X19" i="59"/>
  <c r="X20" i="59"/>
  <c r="AB17" i="59"/>
  <c r="X16" i="59"/>
  <c r="X15" i="59"/>
  <c r="Y13" i="59"/>
  <c r="Z13" i="59" s="1"/>
  <c r="Y12" i="59"/>
  <c r="Z12" i="59" s="1"/>
  <c r="AB12" i="59"/>
  <c r="AA9" i="59"/>
  <c r="Y10" i="59"/>
  <c r="Z10" i="59" s="1"/>
  <c r="Y8" i="59"/>
  <c r="Z8" i="59" s="1"/>
  <c r="X7" i="59"/>
  <c r="AA15" i="59"/>
  <c r="AA5" i="59"/>
  <c r="AA7" i="59"/>
  <c r="Y7" i="59"/>
  <c r="Z7" i="59" s="1"/>
  <c r="AA6" i="59"/>
  <c r="D18" i="9"/>
  <c r="M44" i="9" s="1"/>
  <c r="M43" i="9"/>
  <c r="S38" i="40"/>
  <c r="W34" i="40"/>
  <c r="B14" i="52"/>
  <c r="B8" i="52"/>
  <c r="E14" i="52"/>
  <c r="U16" i="40"/>
  <c r="AC14" i="40"/>
  <c r="AB14" i="40"/>
  <c r="B12" i="52"/>
  <c r="B10" i="52"/>
  <c r="E4" i="52"/>
  <c r="E11" i="52"/>
  <c r="B4" i="52"/>
  <c r="E80" i="46"/>
  <c r="B78" i="46" s="1"/>
  <c r="C24" i="46" s="1"/>
  <c r="E5" i="52"/>
  <c r="E8" i="52"/>
  <c r="B11" i="52"/>
  <c r="B6" i="52"/>
  <c r="E10" i="52"/>
  <c r="E13" i="52"/>
  <c r="B9" i="52"/>
  <c r="E9" i="52"/>
  <c r="E6" i="52"/>
  <c r="B7" i="52"/>
  <c r="G17" i="46"/>
  <c r="J20" i="15"/>
  <c r="E3" i="67"/>
  <c r="J22" i="44"/>
  <c r="C34" i="15"/>
  <c r="F62" i="15"/>
  <c r="C61" i="15" s="1"/>
  <c r="B2" i="67"/>
  <c r="E4" i="67"/>
  <c r="C36" i="44"/>
  <c r="F63" i="15"/>
  <c r="F64" i="15"/>
  <c r="M9" i="44"/>
  <c r="J8" i="44" s="1"/>
  <c r="C8" i="44"/>
  <c r="J54" i="44"/>
  <c r="J58" i="44"/>
  <c r="J56" i="44" s="1"/>
  <c r="J59" i="44" s="1"/>
  <c r="Q52" i="44" s="1"/>
  <c r="J60" i="44"/>
  <c r="I55" i="44"/>
  <c r="L57" i="44"/>
  <c r="J61" i="44"/>
  <c r="Q50" i="44" s="1"/>
  <c r="C27" i="15"/>
  <c r="F65" i="15"/>
  <c r="F50" i="15"/>
  <c r="J53" i="15"/>
  <c r="L56" i="15"/>
  <c r="J57" i="15"/>
  <c r="J55" i="15" s="1"/>
  <c r="J58" i="15" s="1"/>
  <c r="Q51" i="15" s="1"/>
  <c r="I54" i="15"/>
  <c r="Q73" i="44"/>
  <c r="Q72" i="15"/>
  <c r="F49" i="15"/>
  <c r="M7" i="15"/>
  <c r="J6" i="15" s="1"/>
  <c r="L59" i="15"/>
  <c r="L58" i="15"/>
  <c r="F68" i="15"/>
  <c r="C29" i="44"/>
  <c r="F67" i="15"/>
  <c r="C4" i="65"/>
  <c r="B39" i="1" s="1"/>
  <c r="J1" i="65"/>
  <c r="E20" i="46"/>
  <c r="L60" i="44"/>
  <c r="L59" i="44"/>
  <c r="C6" i="15"/>
  <c r="F70" i="15"/>
  <c r="C18" i="44"/>
  <c r="C17" i="15"/>
  <c r="E2" i="65"/>
  <c r="C16" i="15"/>
  <c r="E3" i="65"/>
  <c r="W38" i="40" l="1"/>
  <c r="H7" i="21"/>
  <c r="J7" i="21"/>
  <c r="E70" i="39"/>
  <c r="D72" i="39"/>
  <c r="E20" i="59"/>
  <c r="E19" i="59" s="1"/>
  <c r="U21" i="59"/>
  <c r="G5" i="3"/>
  <c r="B3" i="3" s="1"/>
  <c r="E74" i="3" s="1"/>
  <c r="AZ21" i="3"/>
  <c r="BA5" i="3"/>
  <c r="E27" i="6" s="1"/>
  <c r="U36" i="35"/>
  <c r="AB36" i="35"/>
  <c r="AB12" i="21"/>
  <c r="U12" i="21"/>
  <c r="M84" i="9"/>
  <c r="N84" i="9" s="1"/>
  <c r="M87" i="9"/>
  <c r="N87" i="9" s="1"/>
  <c r="M83" i="9"/>
  <c r="N83" i="9" s="1"/>
  <c r="N89" i="9" s="1"/>
  <c r="O89" i="9" s="1"/>
  <c r="M86" i="9"/>
  <c r="N86" i="9" s="1"/>
  <c r="M88" i="9"/>
  <c r="N88" i="9" s="1"/>
  <c r="M85" i="9"/>
  <c r="N85" i="9" s="1"/>
  <c r="N52" i="37"/>
  <c r="F7" i="33"/>
  <c r="B12" i="59"/>
  <c r="B11" i="59" s="1"/>
  <c r="B10" i="59" s="1"/>
  <c r="B9" i="59" s="1"/>
  <c r="S13" i="59"/>
  <c r="C28" i="59"/>
  <c r="D27" i="59"/>
  <c r="D37" i="59"/>
  <c r="T37" i="59"/>
  <c r="BL5" i="3"/>
  <c r="AZ30" i="3"/>
  <c r="E307" i="3"/>
  <c r="E320" i="3"/>
  <c r="AB9" i="35"/>
  <c r="U9" i="35"/>
  <c r="W24" i="36"/>
  <c r="AC24" i="36"/>
  <c r="E15" i="6"/>
  <c r="E12" i="6"/>
  <c r="E10" i="6"/>
  <c r="E11" i="6"/>
  <c r="E14" i="6"/>
  <c r="E13" i="6"/>
  <c r="E67" i="40"/>
  <c r="F65" i="40"/>
  <c r="S5" i="46"/>
  <c r="S6" i="46"/>
  <c r="C23" i="46"/>
  <c r="S7" i="46"/>
  <c r="S2" i="46"/>
  <c r="S4" i="46"/>
  <c r="J7" i="34"/>
  <c r="V9" i="59"/>
  <c r="F8" i="59"/>
  <c r="F7" i="59" s="1"/>
  <c r="F6" i="59" s="1"/>
  <c r="F5" i="59" s="1"/>
  <c r="AC7" i="33"/>
  <c r="V48" i="33" s="1"/>
  <c r="I48" i="33" s="1"/>
  <c r="W7" i="33"/>
  <c r="U7" i="21"/>
  <c r="AB7" i="21"/>
  <c r="T48" i="21" s="1"/>
  <c r="G48" i="21" s="1"/>
  <c r="C16" i="46"/>
  <c r="D5" i="46" s="1"/>
  <c r="E13" i="11"/>
  <c r="D21" i="59"/>
  <c r="C20" i="59"/>
  <c r="T21" i="59"/>
  <c r="E16" i="59"/>
  <c r="E15" i="59" s="1"/>
  <c r="E14" i="59" s="1"/>
  <c r="E13" i="59" s="1"/>
  <c r="U17" i="59"/>
  <c r="C19" i="46"/>
  <c r="D17" i="59"/>
  <c r="C16" i="59"/>
  <c r="T17" i="59"/>
  <c r="C32" i="59"/>
  <c r="D31" i="59"/>
  <c r="D68" i="59"/>
  <c r="C67" i="59"/>
  <c r="D67" i="59" s="1"/>
  <c r="E85" i="3"/>
  <c r="E65" i="3"/>
  <c r="E56" i="3"/>
  <c r="E152" i="3"/>
  <c r="E48" i="3"/>
  <c r="E33" i="3"/>
  <c r="E470" i="3"/>
  <c r="E317" i="3"/>
  <c r="E478" i="3"/>
  <c r="E457" i="3"/>
  <c r="AB24" i="36"/>
  <c r="U24" i="36"/>
  <c r="H46" i="36"/>
  <c r="F7" i="34"/>
  <c r="AC7" i="21"/>
  <c r="V48" i="21" s="1"/>
  <c r="I48" i="21" s="1"/>
  <c r="W7" i="21"/>
  <c r="M12" i="1"/>
  <c r="Q16" i="1"/>
  <c r="K16" i="1"/>
  <c r="G16" i="1"/>
  <c r="AP16" i="1"/>
  <c r="F22" i="11" s="1"/>
  <c r="H16" i="1"/>
  <c r="E62" i="3"/>
  <c r="E53" i="3"/>
  <c r="E162" i="3"/>
  <c r="E465" i="3"/>
  <c r="E473" i="3"/>
  <c r="E532" i="3"/>
  <c r="AC36" i="35"/>
  <c r="W36" i="35"/>
  <c r="AA12" i="21"/>
  <c r="S12" i="21"/>
  <c r="E571" i="3"/>
  <c r="R7" i="54"/>
  <c r="B52" i="63" s="1"/>
  <c r="K31" i="9"/>
  <c r="K32" i="9" s="1"/>
  <c r="I48" i="35"/>
  <c r="J48" i="35" s="1"/>
  <c r="K48" i="35" s="1"/>
  <c r="L48" i="35" s="1"/>
  <c r="M48" i="35" s="1"/>
  <c r="N48" i="35" s="1"/>
  <c r="O48" i="35" s="1"/>
  <c r="H7" i="35"/>
  <c r="AB7" i="33"/>
  <c r="T48" i="33" s="1"/>
  <c r="G48" i="33" s="1"/>
  <c r="U7" i="33"/>
  <c r="S7" i="21"/>
  <c r="AA7" i="21"/>
  <c r="R48" i="21" s="1"/>
  <c r="H7" i="34"/>
  <c r="B40" i="1"/>
  <c r="F26" i="44" s="1"/>
  <c r="C26" i="44" s="1"/>
  <c r="C5" i="46"/>
  <c r="C48" i="15"/>
  <c r="L47" i="44"/>
  <c r="F17" i="11"/>
  <c r="J18" i="15"/>
  <c r="Q76" i="44"/>
  <c r="Q63" i="44"/>
  <c r="J20" i="44"/>
  <c r="F13" i="44"/>
  <c r="C12" i="44" s="1"/>
  <c r="C7" i="44" s="1"/>
  <c r="F11" i="15"/>
  <c r="M13" i="44"/>
  <c r="J12" i="44" s="1"/>
  <c r="J7" i="44" s="1"/>
  <c r="M11" i="15"/>
  <c r="J10" i="15" s="1"/>
  <c r="J5" i="15" s="1"/>
  <c r="Q74" i="15"/>
  <c r="Q61" i="15"/>
  <c r="C34" i="44"/>
  <c r="B4" i="67"/>
  <c r="B3" i="67"/>
  <c r="C32" i="15"/>
  <c r="Q62" i="44"/>
  <c r="Q75" i="44"/>
  <c r="P28" i="46"/>
  <c r="G20" i="46" s="1"/>
  <c r="O28" i="46"/>
  <c r="M28" i="46"/>
  <c r="N28" i="46"/>
  <c r="Q75" i="15"/>
  <c r="Q62" i="15"/>
  <c r="Q53" i="15"/>
  <c r="F1" i="15"/>
  <c r="F1" i="44"/>
  <c r="Q54" i="44"/>
  <c r="E72" i="39" l="1"/>
  <c r="F70" i="39"/>
  <c r="F24" i="15"/>
  <c r="C24" i="15" s="1"/>
  <c r="U7" i="34"/>
  <c r="AB7" i="34"/>
  <c r="T49" i="34" s="1"/>
  <c r="G49" i="34" s="1"/>
  <c r="I52" i="21"/>
  <c r="J52" i="21" s="1"/>
  <c r="D32" i="59"/>
  <c r="C33" i="59"/>
  <c r="G52" i="21"/>
  <c r="H52" i="21" s="1"/>
  <c r="G53" i="21"/>
  <c r="H53" i="21" s="1"/>
  <c r="F7" i="35"/>
  <c r="F24" i="43"/>
  <c r="C26" i="43" s="1"/>
  <c r="D24" i="43" s="1"/>
  <c r="F33" i="12"/>
  <c r="C34" i="12" s="1"/>
  <c r="D33" i="12" s="1"/>
  <c r="S7" i="34"/>
  <c r="AA7" i="34"/>
  <c r="R49" i="34" s="1"/>
  <c r="G65" i="40"/>
  <c r="F67" i="40"/>
  <c r="E63" i="39"/>
  <c r="E58" i="40"/>
  <c r="E305" i="3"/>
  <c r="E160" i="3"/>
  <c r="E77" i="3"/>
  <c r="S9" i="59"/>
  <c r="B8" i="59"/>
  <c r="B7" i="59" s="1"/>
  <c r="B6" i="59" s="1"/>
  <c r="B5" i="59" s="1"/>
  <c r="E504" i="3"/>
  <c r="AZ5" i="3"/>
  <c r="E42" i="3"/>
  <c r="G52" i="33"/>
  <c r="H52" i="33" s="1"/>
  <c r="G53" i="33"/>
  <c r="H53" i="33" s="1"/>
  <c r="D16" i="59"/>
  <c r="C15" i="59"/>
  <c r="E12" i="59"/>
  <c r="E11" i="59" s="1"/>
  <c r="E10" i="59" s="1"/>
  <c r="E9" i="59" s="1"/>
  <c r="U13" i="59"/>
  <c r="W7" i="34"/>
  <c r="AC7" i="34"/>
  <c r="V49" i="34" s="1"/>
  <c r="I49" i="34" s="1"/>
  <c r="E16" i="6"/>
  <c r="S7" i="33"/>
  <c r="AA7" i="33"/>
  <c r="R48" i="33" s="1"/>
  <c r="E509" i="3"/>
  <c r="E179" i="3"/>
  <c r="E164" i="3"/>
  <c r="AB7" i="35"/>
  <c r="T38" i="35" s="1"/>
  <c r="G38" i="35" s="1"/>
  <c r="U7" i="35"/>
  <c r="O12" i="1"/>
  <c r="O16" i="1" s="1"/>
  <c r="M16" i="1"/>
  <c r="E48" i="21"/>
  <c r="I53" i="21" s="1"/>
  <c r="J53" i="21" s="1"/>
  <c r="R49" i="21"/>
  <c r="F12" i="39"/>
  <c r="H12" i="39"/>
  <c r="J12" i="39"/>
  <c r="I46" i="36"/>
  <c r="I52" i="33"/>
  <c r="J52" i="33" s="1"/>
  <c r="E60" i="40"/>
  <c r="E65" i="39"/>
  <c r="E64" i="39"/>
  <c r="E59" i="40"/>
  <c r="D28" i="59"/>
  <c r="C29" i="59"/>
  <c r="E309" i="3"/>
  <c r="E31" i="3"/>
  <c r="J7" i="35"/>
  <c r="D20" i="59"/>
  <c r="C19" i="59"/>
  <c r="D19" i="59" s="1"/>
  <c r="E66" i="39"/>
  <c r="E61" i="40"/>
  <c r="E67" i="39"/>
  <c r="E62" i="40"/>
  <c r="O52" i="37"/>
  <c r="J7" i="37" s="1"/>
  <c r="F7" i="37"/>
  <c r="K25" i="6"/>
  <c r="M25" i="6" s="1"/>
  <c r="I25" i="6" s="1"/>
  <c r="S25" i="6" s="1"/>
  <c r="K21" i="6"/>
  <c r="M21" i="6" s="1"/>
  <c r="I21" i="6" s="1"/>
  <c r="S21" i="6" s="1"/>
  <c r="K19" i="6"/>
  <c r="K23" i="6"/>
  <c r="M23" i="6" s="1"/>
  <c r="I23" i="6" s="1"/>
  <c r="S23" i="6" s="1"/>
  <c r="K24" i="6"/>
  <c r="M24" i="6" s="1"/>
  <c r="I24" i="6" s="1"/>
  <c r="S24" i="6" s="1"/>
  <c r="K22" i="6"/>
  <c r="M22" i="6" s="1"/>
  <c r="I22" i="6" s="1"/>
  <c r="S22" i="6" s="1"/>
  <c r="E31" i="6"/>
  <c r="K20" i="6"/>
  <c r="M20" i="6" s="1"/>
  <c r="I20" i="6" s="1"/>
  <c r="S20" i="6" s="1"/>
  <c r="K26" i="6"/>
  <c r="M26" i="6" s="1"/>
  <c r="I26" i="6" s="1"/>
  <c r="S26" i="6" s="1"/>
  <c r="E395" i="3"/>
  <c r="AN6" i="3"/>
  <c r="E59" i="3"/>
  <c r="E464" i="3"/>
  <c r="E209" i="3"/>
  <c r="E450" i="3"/>
  <c r="E492" i="3"/>
  <c r="E295" i="3"/>
  <c r="E89" i="3"/>
  <c r="E201" i="3"/>
  <c r="E170" i="3"/>
  <c r="E274" i="3"/>
  <c r="E32" i="3"/>
  <c r="E547" i="3"/>
  <c r="E447" i="3"/>
  <c r="Q6" i="3"/>
  <c r="E119" i="3"/>
  <c r="E500" i="3"/>
  <c r="E97" i="3"/>
  <c r="AE6" i="3"/>
  <c r="E289" i="3"/>
  <c r="E136" i="3"/>
  <c r="E568" i="3"/>
  <c r="E539" i="3"/>
  <c r="E332" i="3"/>
  <c r="E245" i="3"/>
  <c r="E139" i="3"/>
  <c r="E52" i="3"/>
  <c r="E445" i="3"/>
  <c r="E451" i="3"/>
  <c r="E556" i="3"/>
  <c r="U6" i="3"/>
  <c r="E291" i="3"/>
  <c r="E527" i="3"/>
  <c r="E73" i="3"/>
  <c r="E365" i="3"/>
  <c r="E126" i="3"/>
  <c r="E248" i="3"/>
  <c r="E211" i="3"/>
  <c r="E336" i="3"/>
  <c r="Y6" i="3"/>
  <c r="AR6" i="3"/>
  <c r="E466" i="3"/>
  <c r="E51" i="3"/>
  <c r="E513" i="3"/>
  <c r="E198" i="3"/>
  <c r="E345" i="3"/>
  <c r="E281" i="3"/>
  <c r="E72" i="3"/>
  <c r="E290" i="3"/>
  <c r="E440" i="3"/>
  <c r="AF6" i="3"/>
  <c r="E331" i="3"/>
  <c r="E40" i="3"/>
  <c r="E362" i="3"/>
  <c r="E559" i="3"/>
  <c r="E150" i="3"/>
  <c r="E228" i="3"/>
  <c r="E314" i="3"/>
  <c r="E324" i="3"/>
  <c r="E502" i="3"/>
  <c r="E334" i="3"/>
  <c r="E489" i="3"/>
  <c r="E325" i="3"/>
  <c r="E286" i="3"/>
  <c r="E396" i="3"/>
  <c r="E297" i="3"/>
  <c r="E411" i="3"/>
  <c r="E41" i="3"/>
  <c r="E270" i="3"/>
  <c r="E238" i="3"/>
  <c r="E202" i="3"/>
  <c r="E149" i="3"/>
  <c r="E304" i="3"/>
  <c r="E100" i="3"/>
  <c r="I3" i="6"/>
  <c r="E441" i="3"/>
  <c r="E399" i="3"/>
  <c r="E60" i="3"/>
  <c r="E28" i="3"/>
  <c r="E407" i="3"/>
  <c r="E247" i="3"/>
  <c r="E113" i="3"/>
  <c r="E37" i="3"/>
  <c r="E111" i="3"/>
  <c r="E257" i="3"/>
  <c r="E39" i="3"/>
  <c r="O6" i="3"/>
  <c r="E67" i="3"/>
  <c r="E288" i="3"/>
  <c r="E207" i="3"/>
  <c r="E486" i="3"/>
  <c r="E88" i="3"/>
  <c r="E196" i="3"/>
  <c r="E264" i="3"/>
  <c r="E220" i="3"/>
  <c r="E308" i="3"/>
  <c r="V6" i="3"/>
  <c r="E453" i="3"/>
  <c r="E96" i="3"/>
  <c r="AG6" i="3"/>
  <c r="E242" i="3"/>
  <c r="E419" i="3"/>
  <c r="E229" i="3"/>
  <c r="E87" i="3"/>
  <c r="E386" i="3"/>
  <c r="E191" i="3"/>
  <c r="E29" i="3"/>
  <c r="E188" i="3"/>
  <c r="E355" i="3"/>
  <c r="E491" i="3"/>
  <c r="E180" i="3"/>
  <c r="E558" i="3"/>
  <c r="E456" i="3"/>
  <c r="E246" i="3"/>
  <c r="E436" i="3"/>
  <c r="E177" i="3"/>
  <c r="E260" i="3"/>
  <c r="E432" i="3"/>
  <c r="E90" i="3"/>
  <c r="E153" i="3"/>
  <c r="E210" i="3"/>
  <c r="E339" i="3"/>
  <c r="E106" i="3"/>
  <c r="E14" i="3"/>
  <c r="E169" i="3"/>
  <c r="E118" i="3"/>
  <c r="E226" i="3"/>
  <c r="E378" i="3"/>
  <c r="E163" i="3"/>
  <c r="E364" i="3"/>
  <c r="E351" i="3"/>
  <c r="E342" i="3"/>
  <c r="AL6" i="3"/>
  <c r="E522" i="3"/>
  <c r="E368" i="3"/>
  <c r="E572" i="3"/>
  <c r="E510" i="3"/>
  <c r="E516" i="3"/>
  <c r="E227" i="3"/>
  <c r="E406" i="3"/>
  <c r="E488" i="3"/>
  <c r="E244" i="3"/>
  <c r="E137" i="3"/>
  <c r="E240" i="3"/>
  <c r="E301" i="3"/>
  <c r="E382" i="3"/>
  <c r="E484" i="3"/>
  <c r="E326" i="3"/>
  <c r="E356" i="3"/>
  <c r="E481" i="3"/>
  <c r="E250" i="3"/>
  <c r="E280" i="3"/>
  <c r="E408" i="3"/>
  <c r="E414" i="3"/>
  <c r="E131" i="3"/>
  <c r="E428" i="3"/>
  <c r="E460" i="3"/>
  <c r="E30" i="3"/>
  <c r="E205" i="3"/>
  <c r="E426" i="3"/>
  <c r="E80" i="3"/>
  <c r="E357" i="3"/>
  <c r="J6" i="3"/>
  <c r="E34" i="3"/>
  <c r="E383" i="3"/>
  <c r="E363" i="3"/>
  <c r="E189" i="3"/>
  <c r="E420" i="3"/>
  <c r="E401" i="3"/>
  <c r="E275" i="3"/>
  <c r="E203" i="3"/>
  <c r="E102" i="3"/>
  <c r="E429" i="3"/>
  <c r="E172" i="3"/>
  <c r="E258" i="3"/>
  <c r="E372" i="3"/>
  <c r="E417" i="3"/>
  <c r="E43" i="3"/>
  <c r="E154" i="3"/>
  <c r="E279" i="3"/>
  <c r="E370" i="3"/>
  <c r="E400" i="3"/>
  <c r="E477" i="3"/>
  <c r="E197" i="3"/>
  <c r="E134" i="3"/>
  <c r="E224" i="3"/>
  <c r="E61" i="3"/>
  <c r="E239" i="3"/>
  <c r="E66" i="3"/>
  <c r="E529" i="3"/>
  <c r="E128" i="3"/>
  <c r="E24" i="3"/>
  <c r="E379" i="3"/>
  <c r="E554" i="3"/>
  <c r="E508" i="3"/>
  <c r="E538" i="3"/>
  <c r="K6" i="3"/>
  <c r="E108" i="3"/>
  <c r="E217" i="3"/>
  <c r="E50" i="3"/>
  <c r="AJ6" i="3"/>
  <c r="E236" i="3"/>
  <c r="E546" i="3"/>
  <c r="E474" i="3"/>
  <c r="E15" i="3"/>
  <c r="E171" i="3"/>
  <c r="E251" i="3"/>
  <c r="E354" i="3"/>
  <c r="E531" i="3"/>
  <c r="E122" i="3"/>
  <c r="E495" i="3"/>
  <c r="E208" i="3"/>
  <c r="E344" i="3"/>
  <c r="E485" i="3"/>
  <c r="E335" i="3"/>
  <c r="E483" i="3"/>
  <c r="E366" i="3"/>
  <c r="E330" i="3"/>
  <c r="E340" i="3"/>
  <c r="E350" i="3"/>
  <c r="E521" i="3"/>
  <c r="E496" i="3"/>
  <c r="E130" i="3"/>
  <c r="E352" i="3"/>
  <c r="E461" i="3"/>
  <c r="E138" i="3"/>
  <c r="E328" i="3"/>
  <c r="E519" i="3"/>
  <c r="E155" i="3"/>
  <c r="E252" i="3"/>
  <c r="E346" i="3"/>
  <c r="E544" i="3"/>
  <c r="E541" i="3"/>
  <c r="E523" i="3"/>
  <c r="E557" i="3"/>
  <c r="E13" i="3"/>
  <c r="E413" i="3"/>
  <c r="M6" i="3"/>
  <c r="E241" i="3"/>
  <c r="E69" i="3"/>
  <c r="E446" i="3"/>
  <c r="E437" i="3"/>
  <c r="E46" i="3"/>
  <c r="E221" i="3"/>
  <c r="X6" i="3"/>
  <c r="AA6" i="3"/>
  <c r="AD6" i="3"/>
  <c r="E299" i="3"/>
  <c r="E327" i="3"/>
  <c r="E103" i="3"/>
  <c r="E200" i="3"/>
  <c r="E389" i="3"/>
  <c r="E230" i="3"/>
  <c r="E143" i="3"/>
  <c r="E471" i="3"/>
  <c r="E92" i="3"/>
  <c r="E161" i="3"/>
  <c r="E237" i="3"/>
  <c r="E549" i="3"/>
  <c r="E404" i="3"/>
  <c r="E223" i="3"/>
  <c r="E292" i="3"/>
  <c r="E415" i="3"/>
  <c r="E178" i="3"/>
  <c r="E168" i="3"/>
  <c r="E444" i="3"/>
  <c r="E455" i="3"/>
  <c r="E533" i="3"/>
  <c r="E560" i="3"/>
  <c r="E425" i="3"/>
  <c r="E303" i="3"/>
  <c r="E261" i="3"/>
  <c r="E166" i="3"/>
  <c r="E467" i="3"/>
  <c r="E107" i="3"/>
  <c r="E204" i="3"/>
  <c r="E214" i="3"/>
  <c r="E393" i="3"/>
  <c r="E449" i="3"/>
  <c r="E543" i="3"/>
  <c r="E480" i="3"/>
  <c r="E259" i="3"/>
  <c r="E369" i="3"/>
  <c r="E517" i="3"/>
  <c r="E416" i="3"/>
  <c r="E105" i="3"/>
  <c r="AQ6" i="3"/>
  <c r="E505" i="3"/>
  <c r="E235" i="3"/>
  <c r="E133" i="3"/>
  <c r="E302" i="3"/>
  <c r="E120" i="3"/>
  <c r="E458" i="3"/>
  <c r="E287" i="3"/>
  <c r="E555" i="3"/>
  <c r="E256" i="3"/>
  <c r="E306" i="3"/>
  <c r="E499" i="3"/>
  <c r="E319" i="3"/>
  <c r="E551" i="3"/>
  <c r="E173" i="3"/>
  <c r="E569"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20" i="3"/>
  <c r="E564" i="3"/>
  <c r="E418" i="3"/>
  <c r="E157" i="3"/>
  <c r="E44" i="3"/>
  <c r="E36" i="3"/>
  <c r="E249" i="3"/>
  <c r="E165" i="3"/>
  <c r="E374" i="3"/>
  <c r="E463" i="3"/>
  <c r="E367" i="3"/>
  <c r="E75" i="3"/>
  <c r="E141" i="3"/>
  <c r="AS6" i="3"/>
  <c r="E438" i="3"/>
  <c r="E550" i="3"/>
  <c r="E190" i="3"/>
  <c r="E79" i="3"/>
  <c r="E507" i="3"/>
  <c r="E233" i="3"/>
  <c r="E272" i="3"/>
  <c r="L6" i="3"/>
  <c r="E402" i="3"/>
  <c r="E25" i="3"/>
  <c r="E116" i="3"/>
  <c r="E255" i="3"/>
  <c r="E479" i="3"/>
  <c r="E145" i="3"/>
  <c r="E276" i="3"/>
  <c r="E243" i="3"/>
  <c r="E347" i="3"/>
  <c r="E526" i="3"/>
  <c r="E448" i="3"/>
  <c r="E58" i="3"/>
  <c r="E540" i="3"/>
  <c r="E121" i="3"/>
  <c r="E285" i="3"/>
  <c r="AI6" i="3"/>
  <c r="E123" i="3"/>
  <c r="E433" i="3"/>
  <c r="E234" i="3"/>
  <c r="E76" i="3"/>
  <c r="E300" i="3"/>
  <c r="E176" i="3"/>
  <c r="E271" i="3"/>
  <c r="E530" i="3"/>
  <c r="E525" i="3"/>
  <c r="E493" i="3"/>
  <c r="E403" i="3"/>
  <c r="E353" i="3"/>
  <c r="E81" i="3"/>
  <c r="E183" i="3"/>
  <c r="E216" i="3"/>
  <c r="E392" i="3"/>
  <c r="E45" i="3"/>
  <c r="E373" i="3"/>
  <c r="E284" i="3"/>
  <c r="E360" i="3"/>
  <c r="T6" i="3"/>
  <c r="E181" i="3"/>
  <c r="E144" i="3"/>
  <c r="E269" i="3"/>
  <c r="E219" i="3"/>
  <c r="E338" i="3"/>
  <c r="E506" i="3"/>
  <c r="E562" i="3"/>
  <c r="E518" i="3"/>
  <c r="E497"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266" i="3"/>
  <c r="E215" i="3"/>
  <c r="I6" i="3"/>
  <c r="E548" i="3"/>
  <c r="Z6" i="3"/>
  <c r="E454" i="3"/>
  <c r="E520" i="3"/>
  <c r="AK6" i="3"/>
  <c r="E192" i="3"/>
  <c r="E348" i="3"/>
  <c r="E394" i="3"/>
  <c r="E282" i="3"/>
  <c r="E375" i="3"/>
  <c r="E83" i="3"/>
  <c r="E222" i="3"/>
  <c r="E430" i="3"/>
  <c r="E552" i="3"/>
  <c r="E283" i="3"/>
  <c r="E156" i="3"/>
  <c r="E49" i="3"/>
  <c r="E193" i="3"/>
  <c r="E104" i="3"/>
  <c r="E534" i="3"/>
  <c r="E387" i="3"/>
  <c r="R6" i="3"/>
  <c r="E125" i="3"/>
  <c r="AH6" i="3"/>
  <c r="P6" i="3"/>
  <c r="E84" i="3"/>
  <c r="AP6" i="3"/>
  <c r="E431" i="3"/>
  <c r="E70" i="3"/>
  <c r="E38" i="3"/>
  <c r="E151" i="3"/>
  <c r="E313" i="3"/>
  <c r="E405" i="3"/>
  <c r="W6" i="3"/>
  <c r="E86" i="3"/>
  <c r="E135" i="3"/>
  <c r="E22" i="3"/>
  <c r="E459" i="3"/>
  <c r="E231" i="3"/>
  <c r="E186" i="3"/>
  <c r="E263" i="3"/>
  <c r="E82" i="3"/>
  <c r="E99" i="3"/>
  <c r="E101" i="3"/>
  <c r="E23" i="3"/>
  <c r="E265" i="3"/>
  <c r="AM6" i="3"/>
  <c r="E337" i="3"/>
  <c r="E158" i="3"/>
  <c r="E472" i="3"/>
  <c r="E253" i="3"/>
  <c r="E537" i="3"/>
  <c r="E54" i="3"/>
  <c r="E452" i="3"/>
  <c r="E213" i="3"/>
  <c r="E536" i="3"/>
  <c r="E397" i="3"/>
  <c r="E462" i="3"/>
  <c r="E47" i="3"/>
  <c r="E545" i="3"/>
  <c r="E184" i="3"/>
  <c r="E482" i="3"/>
  <c r="N6" i="3"/>
  <c r="E476" i="3"/>
  <c r="E114" i="3"/>
  <c r="E93" i="3"/>
  <c r="E55" i="3"/>
  <c r="E570" i="3"/>
  <c r="E409" i="3"/>
  <c r="E124" i="3"/>
  <c r="E388" i="3"/>
  <c r="E146" i="3"/>
  <c r="E434" i="3"/>
  <c r="E57" i="3"/>
  <c r="E535" i="3"/>
  <c r="E381" i="3"/>
  <c r="E427" i="3"/>
  <c r="E278" i="3"/>
  <c r="E94" i="3"/>
  <c r="E376" i="3"/>
  <c r="E294" i="3"/>
  <c r="E21" i="3"/>
  <c r="E64" i="3"/>
  <c r="E140" i="3"/>
  <c r="E343" i="3"/>
  <c r="E142" i="3"/>
  <c r="E410" i="3"/>
  <c r="E468" i="3"/>
  <c r="E109" i="3"/>
  <c r="E185" i="3"/>
  <c r="E148" i="3"/>
  <c r="E27" i="3"/>
  <c r="E412" i="3"/>
  <c r="E469" i="3"/>
  <c r="E232" i="3"/>
  <c r="E68" i="3"/>
  <c r="E147" i="3"/>
  <c r="E439" i="3"/>
  <c r="E117" i="3"/>
  <c r="E528" i="3"/>
  <c r="E349" i="3"/>
  <c r="E311" i="3"/>
  <c r="E424" i="3"/>
  <c r="E262" i="3"/>
  <c r="E561" i="3"/>
  <c r="E390" i="3"/>
  <c r="E199" i="3"/>
  <c r="E218" i="3"/>
  <c r="E174" i="3"/>
  <c r="E398" i="3"/>
  <c r="E443" i="3"/>
  <c r="E296" i="3"/>
  <c r="E423" i="3"/>
  <c r="E442" i="3"/>
  <c r="E129" i="3"/>
  <c r="E293" i="3"/>
  <c r="E194" i="3"/>
  <c r="E187" i="3"/>
  <c r="E435" i="3"/>
  <c r="E110" i="3"/>
  <c r="E98" i="3"/>
  <c r="E78" i="3"/>
  <c r="E225" i="3"/>
  <c r="E490" i="3"/>
  <c r="E63" i="3"/>
  <c r="E422" i="3"/>
  <c r="E71" i="3"/>
  <c r="F21" i="43"/>
  <c r="C23" i="43" s="1"/>
  <c r="D21" i="43" s="1"/>
  <c r="F26" i="12"/>
  <c r="C27" i="12" s="1"/>
  <c r="D26" i="12" s="1"/>
  <c r="C32" i="12" s="1"/>
  <c r="D30" i="12" s="1"/>
  <c r="J28" i="44"/>
  <c r="J31" i="44" s="1"/>
  <c r="J26" i="44"/>
  <c r="J26" i="15"/>
  <c r="J29" i="15" s="1"/>
  <c r="J24" i="15"/>
  <c r="C40" i="44"/>
  <c r="C20" i="46"/>
  <c r="E41" i="46"/>
  <c r="C41" i="46" s="1"/>
  <c r="C52" i="15"/>
  <c r="C47" i="15" s="1"/>
  <c r="C10" i="15"/>
  <c r="C5" i="15" s="1"/>
  <c r="H7" i="37" l="1"/>
  <c r="AB7" i="37" s="1"/>
  <c r="T42" i="37" s="1"/>
  <c r="G42" i="37" s="1"/>
  <c r="F72" i="39"/>
  <c r="G70" i="39"/>
  <c r="AC7" i="37"/>
  <c r="V42" i="37" s="1"/>
  <c r="I42" i="37" s="1"/>
  <c r="W7" i="37"/>
  <c r="S6" i="1"/>
  <c r="K27" i="6"/>
  <c r="M19" i="6"/>
  <c r="U7" i="37"/>
  <c r="AC7" i="35"/>
  <c r="V38" i="35" s="1"/>
  <c r="I38" i="35" s="1"/>
  <c r="G43" i="35" s="1"/>
  <c r="H43" i="35" s="1"/>
  <c r="W7" i="35"/>
  <c r="U12" i="40"/>
  <c r="AB12" i="40"/>
  <c r="C48" i="21"/>
  <c r="C49" i="21"/>
  <c r="B3" i="21" s="1"/>
  <c r="B2" i="21" s="1"/>
  <c r="E48" i="33"/>
  <c r="R49" i="33"/>
  <c r="E3" i="6"/>
  <c r="AY6" i="3"/>
  <c r="J46" i="36"/>
  <c r="AC12" i="39"/>
  <c r="W12" i="39"/>
  <c r="E53" i="21"/>
  <c r="F53" i="21" s="1"/>
  <c r="E52" i="21"/>
  <c r="F52" i="21" s="1"/>
  <c r="U9" i="59"/>
  <c r="E8" i="59"/>
  <c r="E7" i="59" s="1"/>
  <c r="E6" i="59" s="1"/>
  <c r="E5" i="59" s="1"/>
  <c r="H65" i="40"/>
  <c r="G67" i="40"/>
  <c r="T33" i="59"/>
  <c r="D33" i="59"/>
  <c r="G53" i="34"/>
  <c r="H53" i="34" s="1"/>
  <c r="G54" i="34"/>
  <c r="H54" i="34" s="1"/>
  <c r="H6" i="3"/>
  <c r="AC6" i="3"/>
  <c r="S12" i="40"/>
  <c r="AA12" i="40"/>
  <c r="AB12" i="39"/>
  <c r="U12" i="39"/>
  <c r="P12" i="1"/>
  <c r="P16" i="1" s="1"/>
  <c r="C13" i="12" s="1"/>
  <c r="G42" i="35"/>
  <c r="H42" i="35" s="1"/>
  <c r="I54" i="34"/>
  <c r="J54" i="34" s="1"/>
  <c r="I53" i="34"/>
  <c r="J53" i="34" s="1"/>
  <c r="D15" i="59"/>
  <c r="C14" i="59"/>
  <c r="R50" i="34"/>
  <c r="E49" i="34"/>
  <c r="AA7" i="35"/>
  <c r="R38" i="35" s="1"/>
  <c r="S7" i="35"/>
  <c r="AA7" i="37"/>
  <c r="R42" i="37" s="1"/>
  <c r="S7" i="37"/>
  <c r="D29" i="59"/>
  <c r="T29" i="59"/>
  <c r="AC12" i="40"/>
  <c r="W12" i="40"/>
  <c r="AA12" i="39"/>
  <c r="S12" i="39"/>
  <c r="L16" i="1"/>
  <c r="C13" i="43"/>
  <c r="N16" i="1"/>
  <c r="C29" i="43" s="1"/>
  <c r="C29" i="46"/>
  <c r="C33" i="46"/>
  <c r="C34" i="46"/>
  <c r="C35" i="46"/>
  <c r="C36" i="46"/>
  <c r="C37" i="46"/>
  <c r="T3" i="46"/>
  <c r="V3" i="46" s="1"/>
  <c r="T16" i="46"/>
  <c r="V16" i="46" s="1"/>
  <c r="T8" i="46"/>
  <c r="V8" i="46" s="1"/>
  <c r="T9" i="46"/>
  <c r="V9" i="46" s="1"/>
  <c r="T13" i="46"/>
  <c r="V13" i="46" s="1"/>
  <c r="T5" i="46"/>
  <c r="V5" i="46" s="1"/>
  <c r="T11" i="46"/>
  <c r="V11" i="46" s="1"/>
  <c r="T15" i="46"/>
  <c r="V15" i="46" s="1"/>
  <c r="T12" i="46"/>
  <c r="V12" i="46" s="1"/>
  <c r="T6" i="46"/>
  <c r="V6" i="46" s="1"/>
  <c r="T10" i="46"/>
  <c r="V10" i="46" s="1"/>
  <c r="T14" i="46"/>
  <c r="V14" i="46" s="1"/>
  <c r="T2" i="46"/>
  <c r="V2" i="46" s="1"/>
  <c r="T4" i="46"/>
  <c r="V4" i="46" s="1"/>
  <c r="T7" i="46"/>
  <c r="V7" i="46" s="1"/>
  <c r="C59" i="15"/>
  <c r="C65" i="15"/>
  <c r="C38" i="15"/>
  <c r="C38" i="46"/>
  <c r="C39" i="46"/>
  <c r="Q67" i="44"/>
  <c r="Q58" i="44"/>
  <c r="Q49" i="44"/>
  <c r="Q55" i="44" s="1"/>
  <c r="H70" i="39" l="1"/>
  <c r="G72" i="39"/>
  <c r="E42" i="37"/>
  <c r="R43" i="37"/>
  <c r="C17" i="43"/>
  <c r="C14" i="43"/>
  <c r="E54" i="34"/>
  <c r="F54" i="34" s="1"/>
  <c r="E53" i="34"/>
  <c r="F53" i="34" s="1"/>
  <c r="E53" i="33"/>
  <c r="F53" i="33" s="1"/>
  <c r="E52" i="33"/>
  <c r="F52" i="33" s="1"/>
  <c r="I53" i="33"/>
  <c r="J53" i="33" s="1"/>
  <c r="C49" i="34"/>
  <c r="C50" i="34"/>
  <c r="B3" i="34" s="1"/>
  <c r="B2" i="34" s="1"/>
  <c r="I65" i="40"/>
  <c r="H67" i="40"/>
  <c r="AY87" i="3"/>
  <c r="AY109" i="3"/>
  <c r="AY142" i="3"/>
  <c r="AY537" i="3"/>
  <c r="AY144" i="3"/>
  <c r="AY136" i="3"/>
  <c r="AY232" i="3"/>
  <c r="AY448" i="3"/>
  <c r="AY49" i="3"/>
  <c r="AY381" i="3"/>
  <c r="AY326" i="3"/>
  <c r="AY178" i="3"/>
  <c r="AY294" i="3"/>
  <c r="AY550" i="3"/>
  <c r="AY269" i="3"/>
  <c r="AY58" i="3"/>
  <c r="AY100" i="3"/>
  <c r="AY118" i="3"/>
  <c r="AY416" i="3"/>
  <c r="AY250" i="3"/>
  <c r="AY141" i="3"/>
  <c r="AY459"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41" i="3"/>
  <c r="AY175" i="3"/>
  <c r="AY139" i="3"/>
  <c r="BK6" i="3"/>
  <c r="AY155" i="3"/>
  <c r="AY307" i="3"/>
  <c r="AY201" i="3"/>
  <c r="AY449" i="3"/>
  <c r="AY275" i="3"/>
  <c r="AY304" i="3"/>
  <c r="AY120" i="3"/>
  <c r="AY14" i="3"/>
  <c r="BN6" i="3"/>
  <c r="AY145" i="3"/>
  <c r="AY233" i="3"/>
  <c r="AY520" i="3"/>
  <c r="AY184" i="3"/>
  <c r="AY531" i="3"/>
  <c r="AY244" i="3"/>
  <c r="AY199" i="3"/>
  <c r="AY351" i="3"/>
  <c r="AY505" i="3"/>
  <c r="AY563" i="3"/>
  <c r="AY357" i="3"/>
  <c r="AY84" i="3"/>
  <c r="AY436" i="3"/>
  <c r="AY192" i="3"/>
  <c r="AY410" i="3"/>
  <c r="AY512" i="3"/>
  <c r="AY125" i="3"/>
  <c r="AY362" i="3"/>
  <c r="AY252" i="3"/>
  <c r="AY260" i="3"/>
  <c r="AY228" i="3"/>
  <c r="AY566" i="3"/>
  <c r="AY568" i="3"/>
  <c r="AY54" i="3"/>
  <c r="AY312" i="3"/>
  <c r="AY134" i="3"/>
  <c r="BG6" i="3"/>
  <c r="AY165" i="3"/>
  <c r="AY255" i="3"/>
  <c r="AY354" i="3"/>
  <c r="AY121" i="3"/>
  <c r="AY37" i="3"/>
  <c r="AY45" i="3"/>
  <c r="AY202" i="3"/>
  <c r="AY348" i="3"/>
  <c r="AY81" i="3"/>
  <c r="AY279" i="3"/>
  <c r="AY336" i="3"/>
  <c r="AY124" i="3"/>
  <c r="AY293" i="3"/>
  <c r="AY271" i="3"/>
  <c r="AY111" i="3"/>
  <c r="AY229" i="3"/>
  <c r="AY268" i="3"/>
  <c r="AY75" i="3"/>
  <c r="AY171" i="3"/>
  <c r="AY316" i="3"/>
  <c r="AY413" i="3"/>
  <c r="AY370" i="3"/>
  <c r="AY112" i="3"/>
  <c r="AY20" i="3"/>
  <c r="AY153" i="3"/>
  <c r="AY559" i="3"/>
  <c r="AY506" i="3"/>
  <c r="AY240" i="3"/>
  <c r="AY475" i="3"/>
  <c r="AY281" i="3"/>
  <c r="AY395" i="3"/>
  <c r="AY393" i="3"/>
  <c r="AY490" i="3"/>
  <c r="AY213" i="3"/>
  <c r="AY403" i="3"/>
  <c r="AY391" i="3"/>
  <c r="AY61" i="3"/>
  <c r="AY59" i="3"/>
  <c r="AY473" i="3"/>
  <c r="AY439" i="3"/>
  <c r="AY452" i="3"/>
  <c r="BI6" i="3"/>
  <c r="AY263" i="3"/>
  <c r="AY19" i="3"/>
  <c r="AY470" i="3"/>
  <c r="AY102" i="3"/>
  <c r="AY94" i="3"/>
  <c r="AY517" i="3"/>
  <c r="AY69" i="3"/>
  <c r="AY198" i="3"/>
  <c r="AY104" i="3"/>
  <c r="AY98" i="3"/>
  <c r="AY262" i="3"/>
  <c r="AY361" i="3"/>
  <c r="AY170" i="3"/>
  <c r="AY379" i="3"/>
  <c r="AY39" i="3"/>
  <c r="AY366" i="3"/>
  <c r="AY62" i="3"/>
  <c r="AY67" i="3"/>
  <c r="AY47" i="3"/>
  <c r="AY209" i="3"/>
  <c r="AY181" i="3"/>
  <c r="AY265" i="3"/>
  <c r="AY226" i="3"/>
  <c r="AY30" i="3"/>
  <c r="AY132" i="3"/>
  <c r="AY405" i="3"/>
  <c r="AY143" i="3"/>
  <c r="AY528" i="3"/>
  <c r="AY103" i="3"/>
  <c r="AY246" i="3"/>
  <c r="AY117" i="3"/>
  <c r="AY172" i="3"/>
  <c r="AY25" i="3"/>
  <c r="AY76" i="3"/>
  <c r="AY544" i="3"/>
  <c r="AY431" i="3"/>
  <c r="AY42" i="3"/>
  <c r="AY290" i="3"/>
  <c r="AY176" i="3"/>
  <c r="AY288" i="3"/>
  <c r="AY283" i="3"/>
  <c r="AY22" i="3"/>
  <c r="AY303" i="3"/>
  <c r="AY239" i="3"/>
  <c r="AY140" i="3"/>
  <c r="AY519" i="3"/>
  <c r="AY417" i="3"/>
  <c r="AY222" i="3"/>
  <c r="AY484" i="3"/>
  <c r="AY504" i="3"/>
  <c r="AY479" i="3"/>
  <c r="AY115" i="3"/>
  <c r="AY450" i="3"/>
  <c r="BC6" i="3"/>
  <c r="AY13" i="3"/>
  <c r="AY414" i="3"/>
  <c r="AY558" i="3"/>
  <c r="AY378" i="3"/>
  <c r="BL6" i="3"/>
  <c r="AY96" i="3"/>
  <c r="AY249" i="3"/>
  <c r="AY151" i="3"/>
  <c r="AY565" i="3"/>
  <c r="AY480" i="3"/>
  <c r="AY328" i="3"/>
  <c r="BR6" i="3"/>
  <c r="AY404" i="3"/>
  <c r="AY276" i="3"/>
  <c r="AY557" i="3"/>
  <c r="AY434" i="3"/>
  <c r="AY313" i="3"/>
  <c r="AY331" i="3"/>
  <c r="AY571" i="3"/>
  <c r="AY423" i="3"/>
  <c r="AY564" i="3"/>
  <c r="AY251" i="3"/>
  <c r="AY460" i="3"/>
  <c r="AY79" i="3"/>
  <c r="AY426" i="3"/>
  <c r="AY570" i="3"/>
  <c r="AY474" i="3"/>
  <c r="AY491" i="3"/>
  <c r="AY95" i="3"/>
  <c r="AY425" i="3"/>
  <c r="AY72" i="3"/>
  <c r="AY342" i="3"/>
  <c r="AY278" i="3"/>
  <c r="AY525" i="3"/>
  <c r="AY411" i="3"/>
  <c r="AY335" i="3"/>
  <c r="AY430" i="3"/>
  <c r="AY510" i="3"/>
  <c r="AY409" i="3"/>
  <c r="AY29" i="3"/>
  <c r="BT6" i="3"/>
  <c r="AY518" i="3"/>
  <c r="AY208" i="3"/>
  <c r="AY375" i="3"/>
  <c r="AY223" i="3"/>
  <c r="AY440" i="3"/>
  <c r="AY40" i="3"/>
  <c r="AY267" i="3"/>
  <c r="AY339" i="3"/>
  <c r="AY210" i="3"/>
  <c r="AY298" i="3"/>
  <c r="AY507" i="3"/>
  <c r="AY237" i="3"/>
  <c r="AY33" i="3"/>
  <c r="AY180" i="3"/>
  <c r="AY468" i="3"/>
  <c r="AY177" i="3"/>
  <c r="AY513" i="3"/>
  <c r="AY533" i="3"/>
  <c r="AY51" i="3"/>
  <c r="AY535" i="3"/>
  <c r="AY97" i="3"/>
  <c r="AY129" i="3"/>
  <c r="AY53" i="3"/>
  <c r="AY57" i="3"/>
  <c r="AY291" i="3"/>
  <c r="AY427" i="3"/>
  <c r="AY149" i="3"/>
  <c r="AY324" i="3"/>
  <c r="AY116" i="3"/>
  <c r="AY372" i="3"/>
  <c r="AY168" i="3"/>
  <c r="AY159" i="3"/>
  <c r="AY126" i="3"/>
  <c r="AY317" i="3"/>
  <c r="AY343" i="3"/>
  <c r="AY310" i="3"/>
  <c r="AY241" i="3"/>
  <c r="AY230" i="3"/>
  <c r="AY272" i="3"/>
  <c r="AY555" i="3"/>
  <c r="AY157" i="3"/>
  <c r="AY99" i="3"/>
  <c r="AY52" i="3"/>
  <c r="AY333" i="3"/>
  <c r="AY280" i="3"/>
  <c r="AY183" i="3"/>
  <c r="AY341" i="3"/>
  <c r="AY282" i="3"/>
  <c r="BH6" i="3"/>
  <c r="AY428" i="3"/>
  <c r="AY515" i="3"/>
  <c r="AY309" i="3"/>
  <c r="AY356" i="3"/>
  <c r="AY371" i="3"/>
  <c r="AY561" i="3"/>
  <c r="AY562" i="3"/>
  <c r="AY245" i="3"/>
  <c r="AY407" i="3"/>
  <c r="AY527" i="3"/>
  <c r="AY546" i="3"/>
  <c r="AY186" i="3"/>
  <c r="AY390" i="3"/>
  <c r="AY355" i="3"/>
  <c r="AY182" i="3"/>
  <c r="AY364" i="3"/>
  <c r="AY376" i="3"/>
  <c r="AY122" i="3"/>
  <c r="AY543" i="3"/>
  <c r="AY191" i="3"/>
  <c r="AY114" i="3"/>
  <c r="AY424" i="3"/>
  <c r="AY193" i="3"/>
  <c r="AY160" i="3"/>
  <c r="AY329" i="3"/>
  <c r="AY453" i="3"/>
  <c r="AY360" i="3"/>
  <c r="BP6" i="3"/>
  <c r="AY174" i="3"/>
  <c r="AY344" i="3"/>
  <c r="AY497" i="3"/>
  <c r="AY133" i="3"/>
  <c r="AY538" i="3"/>
  <c r="AY478" i="3"/>
  <c r="AY56" i="3"/>
  <c r="AY130" i="3"/>
  <c r="AY270" i="3"/>
  <c r="BM6" i="3"/>
  <c r="AY539" i="3"/>
  <c r="AY212" i="3"/>
  <c r="AY451" i="3"/>
  <c r="AY338" i="3"/>
  <c r="AY419" i="3"/>
  <c r="AY196" i="3"/>
  <c r="AY466" i="3"/>
  <c r="AY482" i="3"/>
  <c r="AY508" i="3"/>
  <c r="AY83" i="3"/>
  <c r="AY286" i="3"/>
  <c r="AY256" i="3"/>
  <c r="AY194" i="3"/>
  <c r="AY253" i="3"/>
  <c r="AY21" i="3"/>
  <c r="AY187" i="3"/>
  <c r="AY224" i="3"/>
  <c r="AY314" i="3"/>
  <c r="AY154" i="3"/>
  <c r="AY365" i="3"/>
  <c r="AY367" i="3"/>
  <c r="AY323" i="3"/>
  <c r="AY415" i="3"/>
  <c r="AY78" i="3"/>
  <c r="AY185" i="3"/>
  <c r="AY71" i="3"/>
  <c r="AY60" i="3"/>
  <c r="AY401" i="3"/>
  <c r="AY363" i="3"/>
  <c r="BO6" i="3"/>
  <c r="AY455" i="3"/>
  <c r="AY514" i="3"/>
  <c r="AY48" i="3"/>
  <c r="AY173" i="3"/>
  <c r="AY551" i="3"/>
  <c r="AY477" i="3"/>
  <c r="AY377" i="3"/>
  <c r="AY524" i="3"/>
  <c r="AY347" i="3"/>
  <c r="AY89" i="3"/>
  <c r="AY511" i="3"/>
  <c r="AY523" i="3"/>
  <c r="AY530" i="3"/>
  <c r="AY88" i="3"/>
  <c r="AY529" i="3"/>
  <c r="AY73" i="3"/>
  <c r="AY106" i="3"/>
  <c r="AY383" i="3"/>
  <c r="AY397" i="3"/>
  <c r="AY146" i="3"/>
  <c r="AY476" i="3"/>
  <c r="AY135" i="3"/>
  <c r="AY315" i="3"/>
  <c r="AY486" i="3"/>
  <c r="AY179" i="3"/>
  <c r="AY31" i="3"/>
  <c r="AY402" i="3"/>
  <c r="AY560" i="3"/>
  <c r="AY350" i="3"/>
  <c r="AY435" i="3"/>
  <c r="AY340" i="3"/>
  <c r="AY382" i="3"/>
  <c r="AY188" i="3"/>
  <c r="AY572" i="3"/>
  <c r="AY236" i="3"/>
  <c r="AY36" i="3"/>
  <c r="AY432" i="3"/>
  <c r="AY374" i="3"/>
  <c r="AY337" i="3"/>
  <c r="AY394" i="3"/>
  <c r="AY321" i="3"/>
  <c r="AY86" i="3"/>
  <c r="AY494" i="3"/>
  <c r="AY34" i="3"/>
  <c r="AY392" i="3"/>
  <c r="AY569" i="3"/>
  <c r="AY318" i="3"/>
  <c r="AY162" i="3"/>
  <c r="AY396" i="3"/>
  <c r="AY127" i="3"/>
  <c r="AY552" i="3"/>
  <c r="AY152" i="3"/>
  <c r="AY66" i="3"/>
  <c r="BF6" i="3"/>
  <c r="AY492" i="3"/>
  <c r="AY82" i="3"/>
  <c r="AY264" i="3"/>
  <c r="AY70" i="3"/>
  <c r="AY389" i="3"/>
  <c r="AY457" i="3"/>
  <c r="AY330" i="3"/>
  <c r="AY274" i="3"/>
  <c r="AY38" i="3"/>
  <c r="AY266" i="3"/>
  <c r="AY27" i="3"/>
  <c r="AY248" i="3"/>
  <c r="AY131" i="3"/>
  <c r="AY225" i="3"/>
  <c r="AY137" i="3"/>
  <c r="AY399" i="3"/>
  <c r="AY90" i="3"/>
  <c r="AY220" i="3"/>
  <c r="AY68" i="3"/>
  <c r="AY327" i="3"/>
  <c r="AY534" i="3"/>
  <c r="AY387" i="3"/>
  <c r="AY289" i="3"/>
  <c r="AY334" i="3"/>
  <c r="AY205" i="3"/>
  <c r="AY509" i="3"/>
  <c r="AY532" i="3"/>
  <c r="AY488" i="3"/>
  <c r="AY296" i="3"/>
  <c r="AY284" i="3"/>
  <c r="AY261" i="3"/>
  <c r="AY373" i="3"/>
  <c r="AY496" i="3"/>
  <c r="BE6" i="3"/>
  <c r="D3" i="6"/>
  <c r="AY277" i="3"/>
  <c r="AY398" i="3"/>
  <c r="AY464" i="3"/>
  <c r="AY16" i="3"/>
  <c r="AY352" i="3"/>
  <c r="AY92" i="3"/>
  <c r="AY445" i="3"/>
  <c r="AY85" i="3"/>
  <c r="AY320" i="3"/>
  <c r="AY259" i="3"/>
  <c r="AY471" i="3"/>
  <c r="AY166" i="3"/>
  <c r="AY388" i="3"/>
  <c r="AY247" i="3"/>
  <c r="AY299" i="3"/>
  <c r="AY63" i="3"/>
  <c r="AY108" i="3"/>
  <c r="AY235" i="3"/>
  <c r="AY495" i="3"/>
  <c r="AY189" i="3"/>
  <c r="AY433" i="3"/>
  <c r="AY502" i="3"/>
  <c r="AY454" i="3"/>
  <c r="AY215" i="3"/>
  <c r="AY522" i="3"/>
  <c r="AY541" i="3"/>
  <c r="AY292" i="3"/>
  <c r="AY164" i="3"/>
  <c r="AY231" i="3"/>
  <c r="AY345" i="3"/>
  <c r="AY332" i="3"/>
  <c r="AY536" i="3"/>
  <c r="AY549" i="3"/>
  <c r="AY26" i="3"/>
  <c r="AY77" i="3"/>
  <c r="AY74" i="3"/>
  <c r="AY217" i="3"/>
  <c r="AY349" i="3"/>
  <c r="AY422" i="3"/>
  <c r="AY214" i="3"/>
  <c r="AY463" i="3"/>
  <c r="AY258" i="3"/>
  <c r="AY548" i="3"/>
  <c r="AY80" i="3"/>
  <c r="AY105" i="3"/>
  <c r="AY234" i="3"/>
  <c r="AY55" i="3"/>
  <c r="AY65" i="3"/>
  <c r="AY50" i="3"/>
  <c r="AY400" i="3"/>
  <c r="AY542" i="3"/>
  <c r="AY420" i="3"/>
  <c r="AY442" i="3"/>
  <c r="AY308" i="3"/>
  <c r="AY516" i="3"/>
  <c r="AY150" i="3"/>
  <c r="AY408" i="3"/>
  <c r="AY123" i="3"/>
  <c r="BS6" i="3"/>
  <c r="AY197" i="3"/>
  <c r="AY465" i="3"/>
  <c r="AY24" i="3"/>
  <c r="AY526" i="3"/>
  <c r="AY218" i="3"/>
  <c r="AY46" i="3"/>
  <c r="AY44" i="3"/>
  <c r="AY147" i="3"/>
  <c r="AY380" i="3"/>
  <c r="AY406" i="3"/>
  <c r="AY498" i="3"/>
  <c r="AY107" i="3"/>
  <c r="AY461" i="3"/>
  <c r="AY325" i="3"/>
  <c r="AY163" i="3"/>
  <c r="AY540" i="3"/>
  <c r="AY128" i="3"/>
  <c r="AY467" i="3"/>
  <c r="AY238" i="3"/>
  <c r="AY302" i="3"/>
  <c r="AY412" i="3"/>
  <c r="AY91" i="3"/>
  <c r="AY556" i="3"/>
  <c r="AY227" i="3"/>
  <c r="AY156" i="3"/>
  <c r="BD6" i="3"/>
  <c r="AY472" i="3"/>
  <c r="AY206" i="3"/>
  <c r="BQ6" i="3"/>
  <c r="AY485" i="3"/>
  <c r="AY553" i="3"/>
  <c r="AY358" i="3"/>
  <c r="AY17" i="3"/>
  <c r="AY285" i="3"/>
  <c r="AY567" i="3"/>
  <c r="AY113" i="3"/>
  <c r="AY418" i="3"/>
  <c r="AY93" i="3"/>
  <c r="AY421" i="3"/>
  <c r="AY487" i="3"/>
  <c r="AY554" i="3"/>
  <c r="AY18" i="3"/>
  <c r="BB6" i="3"/>
  <c r="AY353" i="3"/>
  <c r="AY444" i="3"/>
  <c r="AY243" i="3"/>
  <c r="AY301" i="3"/>
  <c r="AY521" i="3"/>
  <c r="AY441" i="3"/>
  <c r="AY203" i="3"/>
  <c r="AY384" i="3"/>
  <c r="AY169" i="3"/>
  <c r="AY295" i="3"/>
  <c r="AY438" i="3"/>
  <c r="AY35" i="3"/>
  <c r="AY386" i="3"/>
  <c r="AY200" i="3"/>
  <c r="AY369" i="3"/>
  <c r="AY207" i="3"/>
  <c r="AY368" i="3"/>
  <c r="AY138" i="3"/>
  <c r="AY319" i="3"/>
  <c r="AY456" i="3"/>
  <c r="AY503" i="3"/>
  <c r="AY447" i="3"/>
  <c r="AY483" i="3"/>
  <c r="AY190" i="3"/>
  <c r="AY195" i="3"/>
  <c r="AY322" i="3"/>
  <c r="AY545" i="3"/>
  <c r="AY547" i="3"/>
  <c r="AY110" i="3"/>
  <c r="AY499" i="3"/>
  <c r="AY23" i="3"/>
  <c r="AY306" i="3"/>
  <c r="AY167" i="3"/>
  <c r="AY297" i="3"/>
  <c r="AY469" i="3"/>
  <c r="AY300" i="3"/>
  <c r="AY119" i="3"/>
  <c r="AY462" i="3"/>
  <c r="BJ6" i="3"/>
  <c r="I19" i="6"/>
  <c r="M27" i="6"/>
  <c r="K46" i="36"/>
  <c r="D46" i="9"/>
  <c r="E6" i="6"/>
  <c r="C21" i="4"/>
  <c r="O5" i="54" s="1"/>
  <c r="B45" i="63" s="1"/>
  <c r="D16" i="12"/>
  <c r="L38" i="9"/>
  <c r="B14" i="66" s="1"/>
  <c r="B1" i="66" s="1"/>
  <c r="D44" i="9"/>
  <c r="D16" i="43"/>
  <c r="C16" i="43" s="1"/>
  <c r="D45" i="9"/>
  <c r="I42" i="35"/>
  <c r="J42" i="35" s="1"/>
  <c r="C17" i="12"/>
  <c r="C14" i="12"/>
  <c r="R39" i="35"/>
  <c r="E38" i="35"/>
  <c r="C13" i="59"/>
  <c r="D14" i="59"/>
  <c r="E6" i="3"/>
  <c r="C48" i="33"/>
  <c r="C49" i="33"/>
  <c r="B3" i="33" s="1"/>
  <c r="B2" i="33" s="1"/>
  <c r="G46" i="37"/>
  <c r="H46" i="37" s="1"/>
  <c r="G47" i="37"/>
  <c r="H47" i="37" s="1"/>
  <c r="T6" i="1"/>
  <c r="S16" i="1"/>
  <c r="I46" i="37"/>
  <c r="J46" i="37" s="1"/>
  <c r="I47" i="37"/>
  <c r="J47" i="37" s="1"/>
  <c r="E39" i="46"/>
  <c r="G39" i="46"/>
  <c r="I39" i="46" s="1"/>
  <c r="E36" i="46"/>
  <c r="G36" i="46"/>
  <c r="I36" i="46" s="1"/>
  <c r="E34" i="46"/>
  <c r="G34" i="46"/>
  <c r="I34" i="46" s="1"/>
  <c r="E29" i="46"/>
  <c r="C30" i="46"/>
  <c r="E30" i="46" s="1"/>
  <c r="E38" i="46"/>
  <c r="G38" i="46"/>
  <c r="I38" i="46" s="1"/>
  <c r="E37" i="46"/>
  <c r="G37" i="46"/>
  <c r="I37" i="46" s="1"/>
  <c r="E35" i="46"/>
  <c r="G35" i="46"/>
  <c r="I35" i="46" s="1"/>
  <c r="E33" i="46"/>
  <c r="G33" i="46"/>
  <c r="I33" i="46" s="1"/>
  <c r="H72" i="39" l="1"/>
  <c r="I70" i="39"/>
  <c r="L46" i="36"/>
  <c r="C22" i="4"/>
  <c r="D6" i="6"/>
  <c r="F45" i="9"/>
  <c r="D12" i="6"/>
  <c r="H26" i="6"/>
  <c r="D25" i="6"/>
  <c r="K38" i="9"/>
  <c r="C14" i="66" s="1"/>
  <c r="B2" i="66" s="1"/>
  <c r="D29" i="6"/>
  <c r="D23" i="6"/>
  <c r="E46" i="9"/>
  <c r="H21" i="6"/>
  <c r="E68" i="39"/>
  <c r="D5" i="6"/>
  <c r="E63" i="40"/>
  <c r="D19" i="6"/>
  <c r="D24" i="6"/>
  <c r="R24" i="6" s="1"/>
  <c r="D14" i="6"/>
  <c r="D26" i="6"/>
  <c r="R26" i="6" s="1"/>
  <c r="H22" i="6"/>
  <c r="H24" i="6"/>
  <c r="D13" i="6"/>
  <c r="D11" i="6"/>
  <c r="D21" i="6"/>
  <c r="R21" i="6" s="1"/>
  <c r="D20" i="6"/>
  <c r="D22" i="6"/>
  <c r="R22" i="6" s="1"/>
  <c r="F46" i="9"/>
  <c r="D28" i="6"/>
  <c r="D30" i="6" s="1"/>
  <c r="H20" i="6"/>
  <c r="D8" i="6"/>
  <c r="D16" i="6" s="1"/>
  <c r="D9" i="6"/>
  <c r="D10" i="6"/>
  <c r="H23" i="6"/>
  <c r="H25" i="6"/>
  <c r="H19" i="6"/>
  <c r="E45" i="9"/>
  <c r="E44" i="9"/>
  <c r="F44" i="9"/>
  <c r="D15" i="6"/>
  <c r="E43" i="35"/>
  <c r="F43" i="35" s="1"/>
  <c r="E42" i="35"/>
  <c r="F42" i="35" s="1"/>
  <c r="I43" i="35"/>
  <c r="J43" i="35" s="1"/>
  <c r="C38" i="35"/>
  <c r="C39" i="35"/>
  <c r="B3" i="35" s="1"/>
  <c r="B2" i="35" s="1"/>
  <c r="D13" i="11"/>
  <c r="C13" i="11" s="1"/>
  <c r="B29" i="1" s="1"/>
  <c r="C11" i="11" s="1"/>
  <c r="C10" i="11" s="1"/>
  <c r="D22" i="12"/>
  <c r="C22" i="12" s="1"/>
  <c r="C20" i="12" s="1"/>
  <c r="C8" i="66"/>
  <c r="C7" i="66"/>
  <c r="C6" i="66"/>
  <c r="J65" i="40"/>
  <c r="I67" i="40"/>
  <c r="C18" i="43"/>
  <c r="C42" i="37"/>
  <c r="C43" i="37"/>
  <c r="B3" i="37" s="1"/>
  <c r="B2" i="37" s="1"/>
  <c r="T12" i="1"/>
  <c r="T10" i="1"/>
  <c r="T7" i="1"/>
  <c r="T13" i="1"/>
  <c r="T9" i="1"/>
  <c r="T8" i="1"/>
  <c r="T11" i="1"/>
  <c r="C12" i="59"/>
  <c r="D13" i="59"/>
  <c r="T13" i="59"/>
  <c r="C16" i="12"/>
  <c r="C18" i="12" s="1"/>
  <c r="D19" i="12"/>
  <c r="C19" i="12" s="1"/>
  <c r="I27" i="6"/>
  <c r="S19" i="6"/>
  <c r="S27" i="6" s="1"/>
  <c r="E47" i="37"/>
  <c r="F47" i="37" s="1"/>
  <c r="E46" i="37"/>
  <c r="F46" i="37" s="1"/>
  <c r="C27" i="46"/>
  <c r="C26" i="46"/>
  <c r="B2" i="46" s="1"/>
  <c r="C16" i="44"/>
  <c r="D19" i="9"/>
  <c r="C14" i="15"/>
  <c r="I72" i="39" l="1"/>
  <c r="J70" i="39"/>
  <c r="C18" i="15"/>
  <c r="C15" i="15"/>
  <c r="C17" i="44"/>
  <c r="C20" i="44"/>
  <c r="C23" i="12"/>
  <c r="C35" i="12" s="1"/>
  <c r="C33" i="12" s="1"/>
  <c r="C19" i="43"/>
  <c r="C25" i="43" s="1"/>
  <c r="C24" i="43" s="1"/>
  <c r="R20" i="6"/>
  <c r="R23" i="6"/>
  <c r="A20" i="64"/>
  <c r="N5" i="54"/>
  <c r="B43" i="63" s="1"/>
  <c r="A6" i="51"/>
  <c r="B7" i="63" s="1"/>
  <c r="A20" i="51"/>
  <c r="B15" i="63" s="1"/>
  <c r="A6" i="64"/>
  <c r="C11" i="59"/>
  <c r="D12" i="59"/>
  <c r="H27" i="6"/>
  <c r="R19" i="6"/>
  <c r="D27" i="6"/>
  <c r="D31" i="6" s="1"/>
  <c r="D8" i="66"/>
  <c r="D7" i="66"/>
  <c r="D6" i="66"/>
  <c r="M46" i="36"/>
  <c r="K65" i="40"/>
  <c r="J67" i="40"/>
  <c r="T16" i="1"/>
  <c r="R25" i="6"/>
  <c r="L44" i="9"/>
  <c r="B3" i="46"/>
  <c r="B4" i="46"/>
  <c r="D4" i="46"/>
  <c r="D21" i="9"/>
  <c r="D20" i="9"/>
  <c r="K70" i="39" l="1"/>
  <c r="J72" i="39"/>
  <c r="C21" i="44"/>
  <c r="C22" i="44" s="1"/>
  <c r="C25" i="44" s="1"/>
  <c r="C22" i="43"/>
  <c r="C21" i="43" s="1"/>
  <c r="C28" i="43" s="1"/>
  <c r="C30" i="43" s="1"/>
  <c r="C32" i="43" s="1"/>
  <c r="B2" i="43" s="1"/>
  <c r="B4" i="43" s="1"/>
  <c r="C19" i="15"/>
  <c r="C20" i="15" s="1"/>
  <c r="C23" i="15" s="1"/>
  <c r="L65" i="40"/>
  <c r="K67" i="40"/>
  <c r="N46" i="36"/>
  <c r="O46" i="36" s="1"/>
  <c r="F7" i="36" s="1"/>
  <c r="J7" i="36"/>
  <c r="H7" i="36"/>
  <c r="I6" i="6"/>
  <c r="I5" i="6"/>
  <c r="C10" i="59"/>
  <c r="D11" i="59"/>
  <c r="R6" i="1"/>
  <c r="R16" i="1" s="1"/>
  <c r="R27" i="6"/>
  <c r="C28" i="12"/>
  <c r="C26" i="12" s="1"/>
  <c r="C31" i="12" s="1"/>
  <c r="C30" i="12" s="1"/>
  <c r="C36" i="12" s="1"/>
  <c r="B2" i="12" s="1"/>
  <c r="K72" i="39" l="1"/>
  <c r="L70" i="39"/>
  <c r="B5" i="43"/>
  <c r="B3" i="43"/>
  <c r="C28" i="44"/>
  <c r="C31" i="44" s="1"/>
  <c r="C15" i="44" s="1"/>
  <c r="C26" i="15"/>
  <c r="C29" i="15" s="1"/>
  <c r="B4" i="12"/>
  <c r="B3" i="12"/>
  <c r="B5" i="12"/>
  <c r="U7" i="36"/>
  <c r="AB7" i="36"/>
  <c r="T36" i="36" s="1"/>
  <c r="G36" i="36" s="1"/>
  <c r="C9" i="59"/>
  <c r="D10" i="59"/>
  <c r="AC7" i="36"/>
  <c r="V36" i="36" s="1"/>
  <c r="I36" i="36" s="1"/>
  <c r="W7" i="36"/>
  <c r="S7" i="36"/>
  <c r="AA7" i="36"/>
  <c r="R36" i="36" s="1"/>
  <c r="L67" i="40"/>
  <c r="M65" i="40"/>
  <c r="L72" i="39" l="1"/>
  <c r="M70" i="39"/>
  <c r="J21" i="44"/>
  <c r="J19" i="44" s="1"/>
  <c r="C38" i="44"/>
  <c r="C35" i="44"/>
  <c r="C33" i="44" s="1"/>
  <c r="J16" i="44"/>
  <c r="J15" i="44" s="1"/>
  <c r="J25" i="44" s="1"/>
  <c r="Q51" i="44"/>
  <c r="I40" i="36"/>
  <c r="J40" i="36" s="1"/>
  <c r="N65" i="40"/>
  <c r="M67" i="40"/>
  <c r="Q72" i="44"/>
  <c r="C39" i="44"/>
  <c r="C43" i="44"/>
  <c r="G41" i="36"/>
  <c r="H41" i="36" s="1"/>
  <c r="G40" i="36"/>
  <c r="H40" i="36" s="1"/>
  <c r="J19" i="15"/>
  <c r="J17" i="15" s="1"/>
  <c r="J59" i="15"/>
  <c r="J60" i="15" s="1"/>
  <c r="J14" i="15"/>
  <c r="C13" i="15"/>
  <c r="Q50" i="15"/>
  <c r="C36" i="15"/>
  <c r="C33" i="15"/>
  <c r="C31" i="15" s="1"/>
  <c r="C56" i="15"/>
  <c r="E36" i="36"/>
  <c r="R37" i="36"/>
  <c r="C8" i="59"/>
  <c r="T9" i="59"/>
  <c r="D9" i="59"/>
  <c r="J24" i="44" l="1"/>
  <c r="J18" i="44" s="1"/>
  <c r="J27" i="44" s="1"/>
  <c r="N70" i="39"/>
  <c r="N72" i="39" s="1"/>
  <c r="M72" i="39"/>
  <c r="C32" i="44"/>
  <c r="C42" i="44" s="1"/>
  <c r="C44" i="44" s="1"/>
  <c r="C45" i="44" s="1"/>
  <c r="E41" i="36"/>
  <c r="F41" i="36" s="1"/>
  <c r="E40" i="36"/>
  <c r="F40" i="36" s="1"/>
  <c r="D8" i="59"/>
  <c r="C7" i="59"/>
  <c r="C60" i="15"/>
  <c r="C58" i="15" s="1"/>
  <c r="C63" i="15"/>
  <c r="C37" i="15"/>
  <c r="C30" i="15" s="1"/>
  <c r="C39" i="15" s="1"/>
  <c r="C55" i="15"/>
  <c r="C64" i="15" s="1"/>
  <c r="J35" i="15"/>
  <c r="Q71" i="15"/>
  <c r="I41" i="36"/>
  <c r="J41" i="36" s="1"/>
  <c r="J22" i="15"/>
  <c r="J13" i="15"/>
  <c r="J23" i="15" s="1"/>
  <c r="C36" i="36"/>
  <c r="C37" i="36"/>
  <c r="B3" i="36" s="1"/>
  <c r="B2" i="36" s="1"/>
  <c r="Q49" i="15"/>
  <c r="L46" i="15"/>
  <c r="O65" i="40"/>
  <c r="O67" i="40" s="1"/>
  <c r="N67" i="40"/>
  <c r="F9" i="39" l="1"/>
  <c r="J9" i="39"/>
  <c r="H9" i="39"/>
  <c r="Q71" i="44"/>
  <c r="Q70" i="44" s="1"/>
  <c r="J39" i="15"/>
  <c r="J40" i="15" s="1"/>
  <c r="C57" i="15"/>
  <c r="C66" i="15" s="1"/>
  <c r="C67" i="15" s="1"/>
  <c r="C70" i="15" s="1"/>
  <c r="J16" i="15"/>
  <c r="J25" i="15" s="1"/>
  <c r="C6" i="59"/>
  <c r="D7" i="59"/>
  <c r="J9" i="40"/>
  <c r="F9" i="40"/>
  <c r="H9" i="40"/>
  <c r="C40" i="15"/>
  <c r="Q70" i="15"/>
  <c r="Q69" i="15" s="1"/>
  <c r="B2" i="44"/>
  <c r="L52" i="44"/>
  <c r="L51" i="15"/>
  <c r="AC9" i="39" l="1"/>
  <c r="V49" i="39" s="1"/>
  <c r="I49" i="39" s="1"/>
  <c r="W9" i="39"/>
  <c r="U9" i="39"/>
  <c r="AB9" i="39"/>
  <c r="T49" i="39" s="1"/>
  <c r="G49" i="39" s="1"/>
  <c r="S9" i="39"/>
  <c r="AA9" i="39"/>
  <c r="R49" i="39" s="1"/>
  <c r="C46" i="15"/>
  <c r="L57" i="15"/>
  <c r="L60" i="15" s="1"/>
  <c r="Q68" i="15"/>
  <c r="AA9" i="40"/>
  <c r="R44" i="40" s="1"/>
  <c r="S9" i="40"/>
  <c r="W9" i="40"/>
  <c r="AC9" i="40"/>
  <c r="V44" i="40" s="1"/>
  <c r="I44" i="40" s="1"/>
  <c r="Q69" i="44"/>
  <c r="L58" i="44"/>
  <c r="L61" i="44" s="1"/>
  <c r="F14" i="66"/>
  <c r="E14" i="66"/>
  <c r="B5" i="66"/>
  <c r="B3" i="44"/>
  <c r="B5" i="44"/>
  <c r="B4" i="44"/>
  <c r="B2" i="15"/>
  <c r="B3" i="15" s="1"/>
  <c r="Q66" i="15"/>
  <c r="C43" i="15"/>
  <c r="Q48" i="15"/>
  <c r="Q54" i="15" s="1"/>
  <c r="Q57" i="15"/>
  <c r="J42" i="15"/>
  <c r="J43" i="15" s="1"/>
  <c r="U9" i="40"/>
  <c r="AB9" i="40"/>
  <c r="T44" i="40" s="1"/>
  <c r="G44" i="40" s="1"/>
  <c r="C5" i="59"/>
  <c r="D6" i="59"/>
  <c r="E49" i="39" l="1"/>
  <c r="R50" i="39"/>
  <c r="G53" i="39"/>
  <c r="H53" i="39" s="1"/>
  <c r="G54" i="39"/>
  <c r="H54" i="39" s="1"/>
  <c r="I54" i="39"/>
  <c r="J54" i="39" s="1"/>
  <c r="I53" i="39"/>
  <c r="J53" i="39" s="1"/>
  <c r="Q59" i="44"/>
  <c r="Q64" i="44" s="1"/>
  <c r="Q68" i="44"/>
  <c r="Q77" i="44" s="1"/>
  <c r="I48" i="40"/>
  <c r="J48" i="40" s="1"/>
  <c r="D5" i="59"/>
  <c r="M20" i="46"/>
  <c r="C5" i="66"/>
  <c r="D5" i="66"/>
  <c r="E44" i="40"/>
  <c r="I49" i="40" s="1"/>
  <c r="J49" i="40" s="1"/>
  <c r="R45" i="40"/>
  <c r="G49" i="40"/>
  <c r="H49" i="40" s="1"/>
  <c r="G48" i="40"/>
  <c r="H48" i="40" s="1"/>
  <c r="Q67" i="15"/>
  <c r="Q76" i="15" s="1"/>
  <c r="Q58" i="15"/>
  <c r="Q63" i="15" s="1"/>
  <c r="C49" i="39" l="1"/>
  <c r="C50" i="39"/>
  <c r="E53" i="39"/>
  <c r="F53" i="39" s="1"/>
  <c r="E54" i="39"/>
  <c r="F54" i="39" s="1"/>
  <c r="C45" i="40"/>
  <c r="C44" i="40"/>
  <c r="E48" i="40"/>
  <c r="F48" i="40" s="1"/>
  <c r="E49" i="40"/>
  <c r="F49" i="40" s="1"/>
  <c r="B64" i="39" l="1"/>
  <c r="F64" i="39" s="1"/>
  <c r="B62" i="39"/>
  <c r="F62" i="39" s="1"/>
  <c r="B60" i="39"/>
  <c r="F60" i="39" s="1"/>
  <c r="B61" i="39"/>
  <c r="F61" i="39" s="1"/>
  <c r="B59" i="39"/>
  <c r="F59" i="39" s="1"/>
  <c r="B67" i="39"/>
  <c r="F67" i="39" s="1"/>
  <c r="B63" i="39"/>
  <c r="F63" i="39" s="1"/>
  <c r="B58" i="39"/>
  <c r="F58" i="39" s="1"/>
  <c r="B66" i="39"/>
  <c r="F66" i="39" s="1"/>
  <c r="F68" i="39"/>
  <c r="B2" i="39" s="1"/>
  <c r="B65" i="39"/>
  <c r="F65" i="39" s="1"/>
  <c r="B55" i="40"/>
  <c r="F55" i="40" s="1"/>
  <c r="B54" i="40"/>
  <c r="F54" i="40" s="1"/>
  <c r="F63" i="40"/>
  <c r="B2" i="40" s="1"/>
  <c r="B53" i="40"/>
  <c r="F53" i="40" s="1"/>
  <c r="B57" i="40"/>
  <c r="F57" i="40" s="1"/>
  <c r="B58" i="40"/>
  <c r="F58" i="40" s="1"/>
  <c r="B61" i="40"/>
  <c r="F61" i="40" s="1"/>
  <c r="B62" i="40"/>
  <c r="F62" i="40" s="1"/>
  <c r="B60" i="40"/>
  <c r="F60" i="40" s="1"/>
  <c r="B59" i="40"/>
  <c r="F59" i="40" s="1"/>
  <c r="B56" i="40"/>
  <c r="F56" i="40" s="1"/>
  <c r="B4" i="39" l="1"/>
  <c r="B5" i="39"/>
  <c r="B3" i="39"/>
  <c r="B4" i="40"/>
  <c r="B5" i="40"/>
  <c r="B3" i="40"/>
  <c r="E8" i="11" s="1"/>
  <c r="AE6" i="1"/>
  <c r="C8" i="11" l="1"/>
  <c r="C7" i="11" s="1"/>
  <c r="C17" i="11" l="1"/>
  <c r="C19" i="11" s="1"/>
  <c r="C20" i="11" s="1"/>
  <c r="C21" i="11" s="1"/>
  <c r="C22" i="11" s="1"/>
  <c r="C23" i="11" s="1"/>
  <c r="B2" i="11" s="1"/>
  <c r="C18" i="11"/>
  <c r="C19" i="9"/>
  <c r="G19" i="9" l="1"/>
  <c r="L43" i="9"/>
  <c r="D22" i="9"/>
  <c r="B4" i="11"/>
  <c r="B5" i="11"/>
  <c r="B3" i="11"/>
  <c r="C21" i="9"/>
  <c r="C20" i="9"/>
  <c r="G21" i="9" l="1"/>
  <c r="K21" i="9" s="1"/>
  <c r="G20" i="9"/>
  <c r="C3" i="69" s="1"/>
  <c r="N43" i="9"/>
  <c r="C32" i="9"/>
  <c r="G22" i="9"/>
  <c r="C10" i="69" l="1"/>
  <c r="C11" i="69" s="1"/>
  <c r="C12" i="69" s="1"/>
  <c r="E3" i="69"/>
  <c r="O38" i="9"/>
  <c r="O43" i="9"/>
  <c r="C42" i="9"/>
  <c r="C33" i="9"/>
  <c r="C34" i="9"/>
  <c r="C35" i="9"/>
  <c r="F42" i="9" s="1"/>
  <c r="N38" i="9" l="1"/>
  <c r="K28" i="9" s="1"/>
  <c r="D42" i="9"/>
  <c r="Q5" i="54" s="1"/>
  <c r="B47" i="63" s="1"/>
  <c r="E42" i="9"/>
  <c r="P5" i="54" s="1"/>
  <c r="B46" i="63" s="1"/>
  <c r="M38" i="9"/>
  <c r="K27" i="9" s="1"/>
  <c r="D63" i="9"/>
  <c r="N68" i="9"/>
  <c r="R5" i="54"/>
  <c r="B48" i="63" s="1"/>
  <c r="K25" i="9"/>
  <c r="K26" i="9"/>
  <c r="C82" i="9" l="1"/>
  <c r="C81" i="9" s="1"/>
  <c r="C85" i="9" s="1"/>
  <c r="C86" i="9" s="1"/>
  <c r="D72" i="9" s="1"/>
  <c r="D70" i="9"/>
  <c r="D71" i="9"/>
  <c r="C111" i="9"/>
  <c r="C104" i="9" s="1"/>
  <c r="C103" i="9"/>
  <c r="C90" i="9"/>
  <c r="D73" i="9"/>
  <c r="N73" i="9" s="1"/>
  <c r="C96" i="9"/>
  <c r="C91" i="9" s="1"/>
  <c r="C113" i="9" l="1"/>
  <c r="C97" i="9"/>
  <c r="C114" i="9" l="1"/>
  <c r="E114" i="9" s="1"/>
  <c r="E115" i="9" s="1"/>
  <c r="C98" i="9"/>
  <c r="E98" i="9" s="1"/>
  <c r="E99" i="9" s="1"/>
  <c r="C115" i="9" l="1"/>
  <c r="D76" i="9" s="1"/>
  <c r="D74" i="9" s="1"/>
  <c r="N74" i="9" s="1"/>
  <c r="O77" i="9" s="1"/>
  <c r="Q77" i="9" s="1"/>
  <c r="C99" i="9"/>
  <c r="O79" i="9" l="1"/>
  <c r="O78"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<sst xmlns="http://schemas.openxmlformats.org/spreadsheetml/2006/main" count="7043" uniqueCount="3145">
  <si>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</si>
  <si>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</si>
  <si>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</si>
  <si>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</si>
  <si>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</si>
  <si>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</si>
  <si>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</si>
  <si>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</si>
  <si>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</si>
  <si>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</si>
  <si>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</si>
  <si>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</si>
  <si>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</si>
  <si>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</si>
  <si>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</si>
  <si>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</si>
  <si>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</si>
  <si>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</si>
  <si>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</si>
  <si>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</si>
  <si>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</si>
  <si>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</si>
  <si>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</si>
  <si>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</si>
  <si>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</si>
  <si>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</si>
  <si>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</si>
  <si>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</si>
  <si>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</si>
  <si>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</si>
  <si>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</si>
  <si>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</si>
  <si>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</si>
  <si>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</si>
  <si>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</si>
  <si>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</si>
  <si>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</si>
  <si>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</si>
  <si>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</si>
  <si>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</si>
  <si>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</si>
  <si>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</si>
  <si>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</si>
  <si>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</si>
  <si>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</si>
  <si>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</si>
  <si>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</si>
  <si>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</si>
  <si>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</si>
  <si>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</si>
  <si>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</si>
  <si>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</si>
  <si>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</si>
  <si>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</si>
  <si>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</si>
  <si>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</si>
  <si>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</si>
  <si>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</si>
  <si>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</si>
  <si>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</si>
  <si>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</si>
  <si>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</si>
  <si>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</si>
  <si>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</si>
  <si>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</si>
  <si>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</si>
  <si>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</si>
  <si>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</si>
  <si>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</si>
  <si>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</si>
  <si>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</si>
  <si>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</si>
  <si>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</si>
  <si>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</si>
  <si>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</si>
  <si>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</si>
  <si>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</si>
  <si>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</si>
  <si>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</si>
  <si>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</si>
  <si>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</si>
  <si>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</si>
  <si>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</si>
  <si>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</si>
  <si>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</si>
  <si>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</si>
  <si>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</si>
  <si>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</si>
  <si>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</si>
  <si>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</si>
  <si>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</si>
  <si>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</si>
  <si>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</si>
  <si>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</si>
  <si>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</si>
  <si>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</si>
  <si>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</si>
  <si>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</si>
  <si>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</si>
  <si>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</si>
  <si>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</si>
  <si>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</si>
  <si>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</si>
  <si>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</si>
  <si>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</si>
  <si>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</si>
  <si>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</si>
  <si>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</si>
  <si>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</si>
  <si>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</si>
  <si>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</si>
  <si>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</si>
  <si>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</si>
  <si>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</si>
  <si>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</si>
  <si>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</si>
  <si>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</si>
  <si>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</si>
  <si>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</si>
  <si>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</si>
  <si>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</si>
  <si>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</si>
  <si>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</si>
  <si>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</si>
  <si>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</si>
  <si>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</si>
  <si>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</si>
  <si>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</si>
  <si>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</si>
  <si>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</si>
  <si>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</si>
  <si>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</si>
  <si>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</si>
  <si>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</si>
  <si>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</si>
  <si>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</si>
  <si>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</si>
  <si>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</si>
  <si>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</si>
  <si>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</si>
  <si>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</si>
  <si>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</si>
  <si>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</si>
  <si>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</si>
  <si>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</si>
  <si>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</si>
  <si>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</si>
  <si>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</si>
  <si>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</si>
  <si>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</si>
  <si>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</si>
  <si>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</si>
  <si>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</si>
  <si>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</si>
  <si>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</si>
  <si>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</si>
  <si>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</si>
  <si>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</si>
  <si>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</si>
  <si>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</si>
  <si>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</si>
  <si>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</si>
  <si>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</si>
  <si>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</si>
  <si>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</si>
  <si>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</si>
  <si>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</si>
  <si>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</si>
  <si>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</si>
  <si>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</si>
  <si>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</si>
  <si>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</si>
  <si>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</si>
  <si>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</si>
  <si>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</si>
  <si>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</si>
  <si>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</si>
  <si>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</si>
  <si>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</si>
  <si>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</si>
  <si>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</si>
  <si>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</si>
  <si>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</si>
  <si>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</si>
  <si>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</si>
  <si>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</si>
  <si>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</si>
  <si>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</si>
  <si>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</si>
  <si>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</si>
  <si>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</si>
  <si>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</si>
  <si>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</si>
  <si>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</si>
  <si>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</si>
  <si>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</si>
  <si>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</si>
  <si>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</si>
  <si>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</si>
  <si>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</si>
  <si>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</si>
  <si>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</si>
  <si>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</si>
  <si>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</si>
  <si>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</si>
  <si>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</si>
  <si>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</si>
  <si>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</si>
  <si>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</si>
  <si>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</si>
  <si>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</si>
  <si>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</si>
  <si>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</si>
  <si>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</si>
  <si>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</si>
  <si>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</si>
  <si>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</si>
  <si>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</si>
  <si>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</si>
  <si>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</si>
  <si>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</si>
  <si>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</si>
  <si>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</si>
  <si>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</si>
  <si>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</si>
  <si>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</si>
  <si>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</si>
  <si>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</si>
  <si>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</si>
  <si>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</si>
  <si>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</si>
  <si>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</si>
  <si>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</si>
  <si>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</si>
  <si>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</si>
  <si>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</si>
  <si>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</si>
  <si>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</si>
  <si>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</si>
  <si>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</si>
  <si>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</si>
  <si>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</si>
  <si>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</si>
  <si>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</si>
  <si>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</si>
  <si>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</si>
  <si>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</si>
  <si>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</si>
  <si>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</si>
  <si>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</si>
  <si>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</si>
  <si>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</si>
  <si>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</si>
  <si>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</si>
  <si>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</si>
  <si>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</si>
  <si>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</si>
  <si>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</si>
  <si>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</si>
  <si>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</si>
  <si>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</si>
  <si>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</si>
  <si>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</si>
  <si>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</si>
  <si>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</si>
  <si>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</si>
  <si>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</si>
  <si>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</si>
  <si>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</si>
  <si>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</si>
  <si>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</si>
  <si>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</si>
  <si>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</si>
  <si>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</si>
  <si>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</si>
  <si>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</si>
  <si>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</si>
  <si>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</si>
  <si>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</si>
  <si>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</si>
  <si>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</si>
  <si>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</si>
  <si>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</si>
  <si>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</si>
  <si>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</si>
  <si>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</si>
  <si>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</si>
  <si>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</si>
  <si>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</si>
  <si>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</si>
  <si>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</si>
  <si>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</si>
  <si>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</si>
  <si>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</si>
  <si>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</si>
  <si>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</si>
  <si>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</si>
  <si>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</si>
  <si>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</si>
  <si>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</si>
  <si>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</si>
  <si>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</si>
  <si>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</si>
  <si>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</si>
  <si>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</si>
  <si>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</si>
  <si>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</si>
  <si>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</si>
  <si>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</si>
  <si>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</si>
  <si>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</si>
  <si>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</si>
  <si>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</si>
  <si>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</si>
  <si>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</si>
  <si>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</si>
  <si>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</si>
  <si>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</si>
  <si>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</si>
  <si>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</si>
  <si>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</si>
  <si>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</si>
  <si>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</si>
  <si>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</si>
  <si>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</si>
  <si>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</si>
  <si>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</si>
  <si>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</si>
  <si>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</si>
  <si>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</si>
  <si>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</si>
  <si>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</si>
  <si>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</si>
  <si>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</si>
  <si>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</si>
  <si>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</si>
  <si>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</si>
  <si>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</si>
  <si>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</si>
  <si>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</si>
  <si>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</si>
  <si>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</si>
  <si>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</si>
  <si>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</si>
  <si>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</si>
  <si>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</si>
  <si>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</si>
  <si>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</si>
  <si>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</si>
  <si>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</si>
  <si>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</si>
  <si>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</si>
  <si>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</si>
  <si>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</si>
  <si>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</si>
  <si>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</si>
  <si>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</si>
  <si>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</si>
  <si>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</si>
  <si>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</si>
  <si>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</si>
  <si>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</si>
  <si>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</si>
  <si>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</si>
  <si>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</si>
  <si>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</si>
  <si>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</si>
  <si>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</si>
  <si>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</si>
  <si>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</si>
  <si>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</si>
  <si>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</si>
  <si>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</si>
  <si>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</si>
  <si>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</si>
  <si>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</si>
  <si>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</si>
  <si>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</si>
  <si>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</si>
  <si>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</si>
  <si>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</si>
  <si>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</si>
  <si>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</si>
  <si>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</si>
  <si>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</si>
  <si>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</si>
  <si>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</si>
  <si>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</si>
  <si>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</si>
  <si>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</si>
  <si>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</si>
  <si>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</si>
  <si>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</si>
  <si>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</si>
  <si>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</si>
  <si>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</si>
  <si>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</si>
  <si>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</si>
  <si>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</si>
  <si>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</si>
  <si>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</si>
  <si>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</si>
  <si>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</si>
  <si>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</si>
  <si>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</si>
  <si>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</si>
  <si>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</si>
  <si>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</si>
  <si>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</si>
  <si>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</si>
  <si>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</si>
  <si>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</si>
  <si>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</si>
  <si>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</si>
  <si>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</si>
  <si>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</si>
  <si>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</si>
  <si>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</si>
  <si>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</si>
  <si>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</si>
  <si>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</si>
  <si>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</si>
  <si>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</si>
  <si>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</si>
  <si>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</si>
  <si>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</si>
  <si>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</si>
  <si>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</si>
  <si>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</si>
  <si>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</si>
  <si>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</si>
  <si>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</si>
  <si>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</si>
  <si>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</si>
  <si>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</si>
  <si>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</si>
  <si>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</si>
  <si>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</si>
  <si>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</si>
  <si>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</si>
  <si>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</si>
  <si>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</si>
  <si>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</si>
  <si>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</si>
  <si>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</si>
  <si>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</si>
  <si>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</si>
  <si>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</si>
  <si>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</si>
  <si>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</si>
  <si>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</si>
  <si>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</si>
  <si>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</si>
  <si>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</si>
  <si>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</si>
  <si>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</si>
  <si>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</si>
  <si>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</si>
  <si>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</si>
  <si>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</si>
  <si>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</si>
  <si>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</si>
  <si>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</si>
  <si>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</si>
  <si>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</si>
  <si>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</si>
  <si>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</si>
  <si>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</si>
  <si>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</si>
  <si>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</si>
  <si>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</si>
  <si>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</si>
  <si>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</si>
  <si>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</si>
  <si>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</si>
  <si>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</si>
  <si>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</si>
  <si>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</si>
  <si>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</si>
  <si>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</si>
  <si>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</si>
  <si>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</si>
  <si>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</si>
  <si>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</si>
  <si>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</si>
  <si>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</si>
  <si>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</si>
  <si>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</si>
  <si>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</si>
  <si>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</si>
  <si>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</si>
  <si>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</si>
  <si>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</si>
  <si>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</si>
  <si>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</si>
  <si>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</si>
  <si>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</si>
  <si>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</si>
  <si>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</si>
  <si>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</si>
  <si>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</si>
  <si>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</si>
  <si>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</si>
  <si>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</si>
  <si>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</si>
  <si>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</si>
  <si>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</si>
  <si>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</si>
  <si>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</si>
  <si>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</si>
  <si>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</si>
  <si>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</si>
  <si>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</si>
  <si>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</si>
  <si>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</si>
  <si>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</si>
  <si>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</si>
  <si>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</si>
  <si>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</si>
  <si>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</si>
  <si>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</si>
  <si>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</si>
  <si>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</si>
  <si>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</si>
  <si>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</si>
  <si>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</si>
  <si>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</si>
  <si>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</si>
  <si>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</si>
  <si>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</si>
  <si>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</si>
  <si>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</si>
  <si>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</si>
  <si>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</si>
  <si>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</si>
  <si>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</si>
  <si>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</si>
  <si>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</si>
  <si>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</si>
  <si>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</si>
  <si>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</si>
  <si>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</si>
  <si>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</si>
  <si>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</si>
  <si>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</si>
  <si>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</si>
  <si>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</si>
  <si>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</si>
  <si>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</si>
  <si>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</si>
  <si>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</si>
  <si>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</si>
  <si>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</si>
  <si>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</si>
  <si>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</si>
  <si>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</si>
  <si>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</si>
  <si>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</si>
  <si>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</si>
  <si>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</si>
  <si>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</si>
  <si>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</si>
  <si>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</si>
  <si>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</si>
  <si>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</si>
  <si>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</si>
  <si>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</si>
  <si>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</si>
  <si>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</si>
  <si>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</si>
  <si>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</si>
  <si>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</si>
  <si>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</si>
  <si>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</si>
  <si>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</si>
  <si>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</si>
  <si>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</si>
  <si>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</si>
  <si>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</si>
  <si>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</si>
  <si>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</si>
  <si>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</si>
  <si>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</si>
  <si>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</si>
  <si>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</si>
  <si>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</si>
  <si>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</si>
  <si>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</si>
  <si>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</si>
  <si>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</si>
  <si>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</si>
  <si>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</si>
  <si>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</si>
  <si>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</si>
  <si>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</si>
  <si>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</si>
  <si>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</si>
  <si>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</si>
  <si>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</si>
  <si>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</si>
  <si>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</si>
  <si>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</si>
  <si>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</si>
  <si>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</si>
  <si>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</si>
  <si>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</si>
  <si>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</si>
  <si>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</si>
  <si>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</si>
  <si>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</si>
  <si>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</si>
  <si>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</si>
  <si>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</si>
  <si>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</si>
  <si>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</si>
  <si>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</si>
  <si>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</si>
  <si>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</si>
  <si>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</si>
  <si>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</si>
  <si>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</si>
  <si>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</si>
  <si>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</si>
  <si>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</si>
  <si>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</si>
  <si>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</si>
  <si>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</si>
  <si>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</si>
  <si>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</si>
  <si>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</si>
  <si>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</si>
  <si>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</si>
  <si>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</si>
  <si>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</si>
  <si>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</si>
  <si>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</si>
  <si>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</si>
  <si>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</si>
  <si>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</si>
  <si>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</si>
  <si>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</si>
  <si>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</si>
  <si>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</si>
  <si>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</si>
  <si>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</si>
  <si>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</si>
  <si>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</si>
  <si>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</si>
  <si>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</si>
  <si>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</si>
  <si>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</si>
  <si>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</si>
  <si>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</si>
  <si>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</si>
  <si>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</si>
  <si>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</si>
  <si>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</si>
  <si>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</si>
  <si>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</si>
  <si>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</si>
  <si>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</si>
  <si>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</si>
  <si>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</si>
  <si>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</si>
  <si>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</si>
  <si>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</si>
  <si>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</si>
  <si>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</si>
  <si>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</si>
  <si>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</si>
  <si>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</si>
  <si>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</si>
  <si>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</si>
  <si>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</si>
  <si>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</si>
  <si>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</si>
  <si>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</si>
  <si>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</si>
  <si>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</si>
  <si>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</si>
  <si>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</si>
  <si>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</si>
  <si>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</si>
  <si>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</si>
  <si>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</si>
  <si>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</si>
  <si>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</si>
  <si>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</si>
  <si>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</si>
  <si>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</si>
  <si>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</si>
  <si>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</si>
  <si>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</si>
  <si>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</si>
  <si>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</si>
  <si>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</si>
  <si>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</si>
  <si>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</si>
  <si>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</si>
  <si>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</si>
  <si>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</si>
  <si>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</si>
  <si>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</si>
  <si>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</si>
  <si>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</si>
  <si>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</si>
  <si>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</si>
  <si>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</si>
  <si>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</si>
  <si>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</si>
  <si>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</si>
  <si>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</si>
  <si>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</si>
  <si>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</si>
  <si>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</si>
  <si>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</si>
  <si>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</si>
  <si>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</si>
  <si>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</si>
  <si>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</si>
  <si>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</si>
  <si>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</si>
  <si>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</si>
  <si>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</si>
  <si>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</si>
  <si>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</si>
  <si>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</si>
  <si>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</si>
  <si>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</si>
  <si>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</si>
  <si>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</si>
  <si>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</si>
  <si>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</si>
  <si>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</si>
  <si>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</si>
  <si>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</si>
  <si>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</si>
  <si>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</si>
  <si>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</si>
  <si>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</si>
  <si>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</si>
  <si>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</si>
  <si>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</si>
  <si>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</si>
  <si>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</si>
  <si>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</si>
  <si>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</si>
  <si>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</si>
  <si>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</si>
  <si>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</si>
  <si>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</si>
  <si>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</si>
  <si>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</si>
  <si>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</si>
  <si>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</si>
  <si>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</si>
  <si>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</si>
  <si>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</si>
  <si>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</si>
  <si>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</si>
  <si>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</si>
  <si>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</si>
  <si>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</si>
  <si>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</si>
  <si>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</si>
  <si>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</si>
  <si>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</si>
  <si>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</si>
  <si>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</si>
  <si>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</si>
  <si>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</si>
  <si>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</si>
  <si>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</si>
  <si>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</si>
  <si>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</si>
  <si>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</si>
  <si>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</si>
  <si>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</si>
  <si>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</si>
  <si>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</si>
  <si>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</si>
  <si>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</si>
  <si>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</si>
  <si>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</si>
  <si>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</si>
  <si>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</si>
  <si>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</si>
  <si>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</si>
  <si>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</si>
  <si>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</si>
  <si>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</si>
  <si>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</si>
  <si>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</si>
  <si>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</si>
  <si>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</si>
  <si>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</si>
  <si>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</si>
  <si>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</si>
  <si>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</si>
  <si>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</si>
  <si>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</si>
  <si>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</si>
  <si>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</si>
  <si>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</si>
  <si>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</si>
  <si>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</si>
  <si>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</si>
  <si>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</si>
  <si>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</si>
  <si>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</si>
  <si>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</si>
  <si>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</si>
  <si>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</si>
  <si>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</si>
  <si>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</si>
  <si>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</si>
  <si>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</si>
  <si>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</si>
  <si>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</si>
  <si>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</si>
  <si>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</si>
  <si>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</si>
  <si>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</si>
  <si>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</si>
  <si>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</si>
  <si>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</si>
  <si>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</si>
  <si>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</si>
  <si>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</si>
  <si>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</si>
  <si>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</si>
  <si>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</si>
  <si>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</si>
  <si>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</si>
  <si>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</si>
  <si>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</si>
  <si>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</si>
  <si>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</si>
  <si>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</si>
  <si>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</si>
  <si>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</si>
  <si>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</si>
  <si>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</si>
  <si>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</si>
  <si>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</si>
  <si>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</si>
  <si>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</si>
  <si>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</si>
  <si>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</si>
  <si>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</si>
  <si>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</si>
  <si>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</si>
  <si>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</si>
  <si>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</si>
  <si>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</si>
  <si>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</si>
  <si>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</si>
  <si>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</si>
  <si>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</si>
  <si>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</si>
  <si>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</si>
  <si>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</si>
  <si>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</si>
  <si>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</si>
  <si>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</si>
  <si>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</si>
  <si>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</si>
  <si>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</si>
  <si>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</si>
  <si>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</si>
  <si>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</si>
  <si>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</si>
  <si>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</si>
  <si>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</si>
  <si>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</si>
  <si>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</si>
  <si>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</si>
  <si>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</si>
  <si>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</si>
  <si>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</si>
  <si>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</si>
  <si>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</si>
  <si>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</si>
  <si>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</si>
  <si>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</si>
  <si>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</si>
  <si>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</si>
  <si>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</si>
  <si>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</si>
  <si>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</si>
  <si>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</si>
  <si>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</si>
  <si>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</si>
  <si>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</si>
  <si>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</si>
  <si>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</si>
  <si>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</si>
  <si>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</si>
  <si>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</si>
  <si>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</si>
  <si>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</si>
  <si>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</si>
  <si>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</si>
  <si>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</si>
  <si>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</si>
  <si>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</si>
  <si>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</si>
  <si>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</si>
  <si>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</si>
  <si>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</si>
  <si>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</si>
  <si>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</si>
  <si>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</si>
  <si>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</si>
  <si>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</si>
  <si>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</si>
  <si>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</si>
  <si>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</si>
  <si>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</si>
  <si>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</si>
  <si>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</si>
  <si>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</si>
  <si>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</si>
  <si>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</si>
  <si>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</si>
  <si>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</si>
  <si>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</si>
  <si>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</si>
  <si>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</si>
  <si>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</si>
  <si>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</si>
  <si>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</si>
  <si>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</si>
  <si>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</si>
  <si>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</si>
  <si>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</si>
  <si>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</si>
  <si>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</si>
  <si>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</si>
  <si>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</si>
  <si>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</si>
  <si>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</si>
  <si>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</si>
  <si>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</si>
  <si>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</si>
  <si>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</si>
  <si>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</si>
  <si>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</si>
  <si>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</si>
  <si>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</si>
  <si>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</si>
  <si>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</si>
  <si>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</si>
  <si>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</si>
  <si>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</si>
  <si>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</si>
  <si>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</si>
  <si>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</si>
  <si>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</si>
  <si>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</si>
  <si>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</si>
  <si>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</si>
  <si>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</si>
  <si>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</si>
  <si>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</si>
  <si>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</si>
  <si>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</si>
  <si>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</si>
  <si>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</si>
  <si>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</si>
  <si>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</si>
  <si>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</si>
  <si>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</si>
  <si>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</si>
  <si>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</si>
  <si>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</si>
  <si>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</si>
  <si>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</si>
  <si>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</si>
  <si>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</si>
  <si>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</si>
  <si>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</si>
  <si>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</si>
  <si>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</si>
  <si>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</si>
  <si>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</si>
  <si>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</si>
  <si>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</si>
  <si>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</si>
  <si>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</si>
  <si>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</si>
  <si>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</si>
  <si>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</si>
  <si>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</si>
  <si>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</si>
  <si>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</si>
  <si>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</si>
  <si>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</si>
  <si>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</si>
  <si>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</si>
  <si>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</si>
  <si>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</si>
  <si>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</si>
  <si>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</si>
  <si>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</si>
  <si>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</si>
  <si>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</si>
  <si>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</si>
  <si>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</si>
  <si>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</si>
  <si>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</si>
  <si>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</si>
  <si>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</si>
  <si>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</si>
  <si>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</si>
  <si>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</si>
  <si>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</si>
  <si>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</si>
  <si>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</si>
  <si>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</si>
  <si>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</si>
  <si>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</si>
  <si>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</si>
  <si>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</si>
  <si>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</si>
  <si>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</si>
  <si>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</si>
  <si>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</si>
  <si>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</si>
  <si>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</si>
  <si>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</si>
  <si>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</si>
  <si>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</si>
  <si>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</si>
  <si>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</si>
  <si>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</si>
  <si>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</si>
  <si>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</si>
  <si>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</si>
  <si>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</si>
  <si>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</si>
  <si>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</si>
  <si>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</si>
  <si>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</si>
  <si>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</si>
  <si>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</si>
  <si>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</si>
  <si>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</si>
  <si>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</si>
  <si>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</si>
  <si>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</si>
  <si>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</si>
  <si>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</si>
  <si>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</si>
  <si>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</si>
  <si>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</si>
  <si>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</si>
  <si>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</si>
  <si>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</si>
  <si>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</si>
  <si>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</si>
  <si>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</si>
  <si>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</si>
  <si>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</si>
  <si>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</si>
  <si>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</si>
  <si>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</si>
  <si>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</si>
  <si>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</si>
  <si>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</si>
  <si>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</si>
  <si>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</si>
  <si>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</si>
  <si>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</si>
  <si>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</si>
  <si>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</si>
  <si>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</si>
  <si>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</si>
  <si>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</si>
  <si>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</si>
  <si>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</si>
  <si>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</si>
  <si>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</si>
  <si>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</si>
  <si>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</si>
  <si>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</si>
  <si>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</si>
  <si>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</si>
  <si>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</si>
  <si>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</si>
  <si>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</si>
  <si>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</si>
  <si>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</si>
  <si>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</si>
  <si>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</si>
  <si>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</si>
  <si>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</si>
  <si>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</si>
  <si>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</si>
  <si>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</si>
  <si>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</si>
  <si>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</si>
  <si>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</si>
  <si>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</si>
  <si>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</si>
  <si>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</si>
  <si>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</si>
  <si>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</si>
  <si>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</si>
  <si>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</si>
  <si>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</si>
  <si>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</si>
  <si>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</si>
  <si>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</si>
  <si>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</si>
  <si>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</si>
  <si>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</si>
  <si>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</si>
  <si>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</si>
  <si>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</si>
  <si>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</si>
  <si>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</si>
  <si>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</si>
  <si>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</si>
  <si>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</si>
  <si>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</si>
  <si>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</si>
  <si>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</si>
  <si>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</si>
  <si>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</si>
  <si>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</si>
  <si>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</si>
  <si>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</si>
  <si>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</si>
  <si>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</si>
  <si>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</si>
  <si>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</si>
  <si>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</si>
  <si>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</si>
  <si>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</si>
  <si>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</si>
  <si>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</si>
  <si>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</si>
  <si>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</si>
  <si>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</si>
  <si>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</si>
  <si>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</si>
  <si>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</si>
  <si>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</si>
  <si>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</si>
  <si>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</si>
  <si>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</si>
  <si>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</si>
  <si>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</si>
  <si>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</si>
  <si>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</si>
  <si>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</si>
  <si>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</si>
  <si>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</si>
  <si>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</si>
  <si>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</si>
  <si>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</si>
  <si>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</si>
  <si>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</si>
  <si>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</si>
  <si>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</si>
  <si>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</si>
  <si>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</si>
  <si>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</si>
  <si>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</si>
  <si>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</si>
  <si>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</si>
  <si>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</si>
  <si>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</si>
  <si>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</si>
  <si>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</si>
  <si>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</si>
  <si>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</si>
  <si>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</si>
  <si>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</si>
  <si>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</si>
  <si>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</si>
  <si>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</si>
  <si>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</si>
  <si>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</si>
  <si>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</si>
  <si>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</si>
  <si>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</si>
  <si>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</si>
  <si>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</si>
  <si>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</si>
  <si>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</si>
  <si>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</si>
  <si>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</si>
  <si>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</si>
  <si>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</si>
  <si>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</si>
  <si>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</si>
  <si>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</si>
  <si>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</si>
  <si>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</si>
  <si>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</si>
  <si>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</si>
  <si>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</si>
  <si>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</si>
  <si>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</si>
  <si>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</si>
  <si>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</si>
  <si>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</si>
  <si>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</si>
  <si>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</si>
  <si>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</si>
  <si>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</si>
  <si>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</si>
  <si>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</si>
  <si>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</si>
  <si>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</si>
  <si>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</si>
  <si>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</si>
  <si>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</si>
  <si>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</si>
  <si>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</si>
  <si>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</si>
  <si>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</si>
  <si>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</si>
  <si>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</si>
  <si>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</si>
  <si>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</si>
  <si>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</si>
  <si>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</si>
  <si>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</si>
  <si>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</si>
  <si>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</si>
  <si>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</si>
  <si>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</si>
  <si>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</si>
  <si>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</si>
  <si>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</si>
  <si>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</si>
  <si>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</si>
  <si>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</si>
  <si>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</si>
  <si>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</si>
  <si>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</si>
  <si>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</si>
  <si>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</si>
  <si>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</si>
  <si>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</si>
  <si>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</si>
  <si>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</si>
  <si>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</si>
  <si>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</si>
  <si>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</si>
  <si>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</si>
  <si>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</si>
  <si>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</si>
  <si>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</si>
  <si>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</si>
  <si>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</si>
  <si>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</si>
  <si>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</si>
  <si>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</si>
  <si>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</si>
  <si>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</si>
  <si>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</si>
  <si>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</si>
  <si>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</si>
  <si>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</si>
  <si>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</si>
  <si>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</si>
  <si>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</si>
  <si>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</si>
  <si>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</si>
  <si>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</si>
  <si>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</si>
  <si>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</si>
  <si>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</si>
  <si>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</si>
  <si>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</si>
  <si>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</si>
  <si>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</si>
  <si>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</si>
  <si>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</si>
  <si>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</si>
  <si>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</si>
  <si>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</si>
  <si>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</si>
  <si>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</si>
  <si>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</si>
  <si>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</si>
  <si>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</si>
  <si>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</si>
  <si>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</si>
  <si>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</si>
  <si>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</si>
  <si>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</si>
  <si>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</si>
  <si>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</si>
  <si>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</si>
  <si>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</si>
  <si>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</si>
  <si>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</si>
  <si>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</si>
  <si>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</si>
  <si>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</si>
  <si>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</si>
  <si>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</si>
  <si>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</si>
  <si>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</si>
  <si>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</si>
  <si>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</si>
  <si>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</si>
  <si>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</si>
  <si>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</si>
  <si>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</si>
  <si>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</si>
  <si>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</si>
  <si>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</si>
  <si>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</si>
  <si>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</si>
  <si>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</si>
  <si>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</si>
  <si>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</si>
  <si>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</si>
  <si>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</si>
  <si>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</si>
  <si>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</si>
  <si>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</si>
  <si>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</si>
  <si>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</si>
  <si>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</si>
  <si>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</si>
  <si>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</si>
  <si>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</si>
  <si>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</si>
  <si>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</si>
  <si>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</si>
  <si>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</si>
  <si>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</si>
  <si>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</si>
  <si>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</si>
  <si>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</si>
  <si>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</si>
  <si>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</si>
  <si>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</si>
  <si>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</si>
  <si>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</si>
  <si>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</si>
  <si>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</si>
  <si>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</si>
  <si>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</si>
  <si>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</si>
  <si>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</si>
  <si>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</si>
  <si>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</si>
  <si>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</si>
  <si>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</si>
  <si>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</si>
  <si>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</si>
  <si>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</si>
  <si>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</si>
  <si>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</si>
  <si>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</si>
  <si>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</si>
  <si>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</si>
  <si>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</si>
  <si>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</si>
  <si>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</si>
  <si>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</si>
  <si>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</si>
  <si>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</si>
  <si>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</si>
  <si>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</si>
  <si>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</si>
  <si>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</si>
  <si>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</si>
  <si>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</si>
  <si>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</si>
  <si>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</si>
  <si>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</si>
  <si>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</si>
  <si>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</si>
  <si>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</si>
  <si>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</si>
  <si>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</si>
  <si>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</si>
  <si>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</si>
  <si>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</si>
  <si>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</si>
  <si>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</si>
  <si>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</si>
  <si>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</si>
  <si>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</si>
  <si>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</si>
  <si>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</si>
  <si>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</si>
  <si>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</si>
  <si>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</si>
  <si>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</si>
  <si>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</si>
  <si>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</si>
  <si>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</si>
  <si>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</si>
  <si>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</si>
  <si>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</si>
  <si>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</si>
  <si>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</si>
  <si>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</si>
  <si>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</si>
  <si>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</si>
  <si>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</si>
  <si>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</si>
  <si>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</si>
  <si>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</si>
  <si>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</si>
  <si>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</si>
  <si>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</si>
  <si>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</si>
  <si>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</si>
  <si>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</si>
  <si>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</si>
  <si>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</si>
  <si>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</si>
  <si>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</si>
  <si>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</si>
  <si>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</si>
  <si>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</si>
  <si>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</si>
  <si>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</si>
  <si>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</si>
  <si>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</si>
  <si>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</si>
  <si>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</si>
  <si>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</si>
  <si>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</si>
  <si>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</si>
  <si>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</si>
  <si>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</si>
  <si>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</si>
  <si>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</si>
  <si>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</si>
  <si>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</si>
  <si>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</si>
  <si>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</si>
  <si>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</si>
  <si>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</si>
  <si>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</si>
  <si>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</si>
  <si>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</si>
  <si>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</si>
  <si>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</si>
  <si>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</si>
  <si>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</si>
  <si>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</si>
  <si>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</si>
  <si>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</si>
  <si>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</si>
  <si>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</si>
  <si>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</si>
  <si>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</si>
  <si>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</si>
  <si>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</si>
  <si>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</si>
  <si>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</si>
  <si>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</si>
  <si>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</si>
  <si>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</si>
  <si>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</si>
  <si>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</si>
  <si>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</si>
  <si>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</si>
  <si>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</si>
  <si>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</si>
  <si>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</si>
  <si>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</si>
  <si>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</si>
  <si>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</si>
  <si>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</si>
  <si>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</si>
  <si>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</si>
  <si>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</si>
  <si>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</si>
  <si>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</si>
  <si>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</si>
  <si>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</si>
  <si>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</si>
  <si>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</si>
  <si>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</si>
  <si>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</si>
  <si>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</si>
  <si>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</si>
  <si>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</si>
  <si>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</si>
  <si>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</si>
  <si>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</si>
  <si>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</si>
  <si>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</si>
  <si>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</si>
  <si>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</si>
  <si>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</si>
  <si>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</si>
  <si>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</si>
  <si>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</si>
  <si>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</si>
  <si>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</si>
  <si>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</si>
  <si>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</si>
  <si>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</si>
  <si>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</si>
  <si>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</si>
  <si>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</si>
  <si>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</si>
  <si>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</si>
  <si>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</si>
  <si>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</si>
  <si>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</si>
  <si>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</si>
  <si>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</si>
  <si>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</si>
  <si>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</si>
  <si>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</si>
  <si>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</si>
  <si>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</si>
  <si>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</si>
  <si>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</si>
  <si>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</si>
  <si>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</si>
  <si>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</si>
  <si>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</si>
  <si>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</si>
  <si>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</si>
  <si>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</si>
  <si>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</si>
  <si>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</si>
  <si>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</si>
  <si>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</si>
  <si>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</si>
  <si>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</si>
  <si>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</si>
  <si>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</si>
  <si>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</si>
  <si>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</si>
  <si>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</si>
  <si>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</si>
  <si>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</si>
  <si>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</si>
  <si>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</si>
  <si>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</si>
  <si>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</si>
  <si>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</si>
  <si>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</si>
  <si>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</si>
  <si>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</si>
  <si>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</si>
  <si>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</si>
  <si>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</si>
  <si>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</si>
  <si>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</si>
  <si>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</si>
  <si>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</si>
  <si>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</si>
  <si>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</si>
  <si>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</si>
  <si>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</si>
  <si>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</si>
  <si>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</si>
  <si>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</si>
  <si>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</si>
  <si>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</si>
  <si>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</si>
  <si>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</si>
  <si>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</si>
  <si>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</si>
  <si>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</si>
  <si>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</si>
  <si>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</si>
  <si>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</si>
  <si>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</si>
  <si>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</si>
  <si>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</si>
  <si>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</si>
  <si>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</si>
  <si>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</si>
  <si>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</si>
  <si>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</si>
  <si>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</si>
  <si>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</si>
  <si>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</si>
  <si>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</si>
  <si>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</si>
  <si>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</si>
  <si>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</si>
  <si>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</si>
  <si>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</si>
  <si>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</si>
  <si>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</si>
  <si>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</si>
  <si>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</si>
  <si>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</si>
  <si>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</si>
  <si>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</si>
  <si>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</si>
  <si>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</si>
  <si>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</si>
  <si>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</si>
  <si>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</si>
  <si>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</si>
  <si>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</si>
  <si>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</si>
  <si>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</si>
  <si>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</si>
  <si>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</si>
  <si>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</si>
  <si>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</si>
  <si>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</si>
  <si>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</si>
  <si>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</si>
  <si>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</si>
  <si>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</si>
  <si>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</si>
  <si>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</si>
  <si>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</si>
  <si>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</si>
  <si>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</si>
  <si>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</si>
  <si>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</si>
  <si>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</si>
  <si>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</si>
  <si>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</si>
  <si>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</si>
  <si>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</si>
  <si>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</si>
  <si>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</si>
  <si>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</si>
  <si>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</si>
  <si>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</si>
  <si>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</si>
  <si>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</si>
  <si>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</si>
  <si>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</si>
  <si>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</si>
  <si>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</si>
  <si>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</si>
  <si>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</si>
  <si>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</si>
  <si>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</si>
  <si>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</si>
  <si>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</si>
  <si>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</si>
  <si>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</si>
  <si>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</si>
  <si>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</si>
  <si>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</si>
  <si>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</si>
  <si>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</si>
  <si>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</si>
  <si>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</si>
  <si>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</si>
  <si>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</si>
  <si>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</si>
  <si>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</si>
  <si>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</si>
  <si>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</si>
  <si>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</si>
  <si>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</si>
  <si>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</si>
  <si>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</si>
  <si>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</si>
  <si>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</si>
  <si>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</si>
  <si>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</si>
  <si>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</si>
  <si>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</si>
  <si>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</si>
  <si>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</si>
  <si>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</si>
  <si>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</si>
  <si>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</si>
  <si>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</si>
  <si>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</si>
  <si>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</si>
  <si>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</si>
  <si>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</si>
  <si>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</si>
  <si>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</si>
  <si>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</si>
  <si>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</si>
  <si>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</si>
  <si>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</si>
  <si>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</si>
  <si>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</si>
  <si>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</si>
  <si>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</si>
  <si>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</si>
  <si>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</si>
  <si>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</si>
  <si>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</si>
  <si>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</si>
  <si>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</si>
  <si>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</si>
  <si>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</si>
  <si>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</si>
  <si>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</si>
  <si>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</si>
  <si>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</si>
  <si>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</si>
  <si>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</si>
  <si>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</si>
  <si>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</si>
  <si>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</si>
  <si>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</si>
  <si>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</si>
  <si>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</si>
  <si>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</si>
  <si>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</si>
  <si>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</si>
  <si>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</si>
  <si>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</si>
  <si>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</si>
  <si>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</si>
  <si>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</si>
  <si>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</si>
  <si>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</si>
  <si>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</si>
  <si>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</si>
  <si>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</si>
  <si>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</si>
  <si>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</si>
  <si>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</si>
  <si>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</si>
  <si>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</si>
  <si>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</si>
  <si>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</si>
  <si>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</si>
  <si>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</si>
  <si>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</si>
  <si>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</si>
  <si>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</si>
  <si>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</si>
  <si>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</si>
  <si>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</si>
  <si>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</si>
  <si>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</si>
  <si>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</si>
  <si>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</si>
  <si>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</si>
  <si>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</si>
  <si>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</si>
  <si>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</si>
  <si>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</si>
  <si>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</si>
  <si>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</si>
  <si>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</si>
  <si>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</si>
  <si>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</si>
  <si>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</si>
  <si>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</si>
  <si>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</si>
  <si>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</si>
  <si>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</si>
  <si>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</si>
  <si>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</si>
  <si>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</si>
  <si>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</si>
  <si>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</si>
  <si>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</si>
  <si>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</si>
  <si>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</si>
  <si>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</si>
  <si>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</si>
  <si>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</si>
  <si>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</si>
  <si>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</si>
  <si>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</si>
  <si>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</si>
  <si>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</si>
  <si>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</si>
  <si>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</si>
  <si>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</si>
  <si>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</si>
  <si>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</si>
  <si>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</si>
  <si>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</si>
  <si>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</si>
  <si>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</si>
  <si>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</si>
  <si>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</si>
  <si>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</si>
  <si>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</si>
  <si>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</si>
  <si>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</si>
  <si>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</si>
  <si>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</si>
  <si>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</si>
  <si>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</si>
  <si>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</si>
  <si>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</si>
  <si>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</si>
  <si>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</si>
  <si>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</si>
  <si>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</si>
  <si>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</si>
  <si>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</si>
  <si>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</si>
  <si>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</si>
  <si>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</si>
  <si>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</si>
  <si>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</si>
  <si>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</si>
  <si>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</si>
  <si>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</si>
  <si>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</si>
  <si>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</si>
  <si>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</si>
  <si>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</si>
  <si>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</si>
  <si>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</si>
  <si>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</si>
  <si>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</si>
  <si>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</si>
  <si>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</si>
  <si>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</si>
  <si>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</si>
  <si>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</si>
  <si>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</si>
  <si>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</si>
  <si>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</si>
  <si>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</si>
  <si>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</si>
  <si>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</si>
  <si>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</si>
  <si>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</si>
  <si>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</si>
  <si>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</si>
  <si>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</si>
  <si>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</si>
  <si>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</si>
  <si>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</si>
  <si>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</si>
  <si>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</si>
  <si>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</si>
  <si>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</si>
  <si>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</si>
  <si>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</si>
  <si>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</si>
  <si>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</si>
  <si>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</si>
  <si>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</si>
  <si>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</si>
  <si>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</si>
  <si>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</si>
  <si>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</si>
  <si>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</si>
  <si>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</si>
  <si>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</si>
  <si>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</si>
  <si>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</si>
  <si>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</si>
  <si>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</si>
  <si>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</si>
  <si>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</si>
  <si>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</si>
  <si>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</si>
  <si>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</si>
  <si>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</si>
  <si>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</si>
  <si>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</si>
  <si>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</si>
  <si>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</si>
  <si>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</si>
  <si>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</si>
  <si>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</si>
  <si>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</si>
  <si>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</si>
  <si>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</si>
  <si>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</si>
  <si>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</si>
  <si>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</si>
  <si>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</si>
  <si>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</si>
  <si>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</si>
  <si>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</si>
  <si>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</si>
  <si>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</si>
  <si>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</si>
  <si>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</si>
  <si>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</si>
  <si>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</si>
  <si>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</si>
  <si>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</si>
  <si>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</si>
  <si>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</si>
  <si>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</si>
  <si>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</si>
  <si>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</si>
  <si>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</si>
  <si>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</si>
  <si>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</si>
  <si>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</si>
  <si>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</si>
  <si>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</si>
  <si>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</si>
  <si>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</si>
  <si>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</si>
  <si>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</si>
  <si>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</si>
  <si>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</si>
  <si>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</si>
  <si>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</si>
  <si>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</si>
  <si>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</si>
  <si>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</si>
  <si>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</si>
  <si>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</si>
  <si>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</si>
  <si>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</si>
  <si>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</si>
  <si>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</si>
  <si>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</si>
  <si>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</si>
  <si>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</si>
  <si>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</si>
  <si>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</si>
  <si>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</si>
  <si>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</si>
  <si>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</si>
  <si>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</si>
  <si>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</si>
  <si>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</si>
  <si>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</si>
  <si>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</si>
  <si>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</si>
  <si>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</si>
  <si>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</si>
  <si>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</si>
  <si>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</si>
  <si>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</si>
  <si>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</si>
  <si>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</si>
  <si>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</si>
  <si>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</si>
  <si>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</si>
  <si>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</si>
  <si>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</si>
  <si>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</si>
  <si>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</si>
  <si>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</si>
  <si>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</si>
  <si>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</si>
  <si>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</si>
  <si>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</si>
  <si>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</si>
  <si>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</si>
  <si>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</si>
  <si>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</si>
  <si>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</si>
  <si>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</si>
  <si>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</si>
  <si>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</si>
  <si>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</si>
  <si>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</si>
  <si>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</si>
  <si>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</si>
  <si>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</si>
  <si>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</si>
  <si>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</si>
  <si>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</si>
  <si>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</si>
  <si>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</si>
  <si>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</si>
  <si>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</si>
  <si>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</si>
  <si>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</si>
  <si>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</si>
  <si>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</si>
  <si>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</si>
  <si>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</si>
  <si>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</si>
  <si>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</si>
  <si>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</si>
  <si>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</si>
  <si>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</si>
  <si>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</si>
  <si>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</si>
  <si>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</si>
  <si>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</si>
  <si>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</si>
  <si>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</si>
  <si>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</si>
  <si>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</si>
  <si>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</si>
  <si>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</si>
  <si>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</si>
  <si>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</si>
  <si>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</si>
  <si>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</si>
  <si>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</si>
  <si>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</si>
  <si>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</si>
  <si>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</si>
  <si>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</si>
  <si>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</si>
  <si>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</si>
  <si>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</si>
  <si>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</si>
  <si>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</si>
  <si>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</si>
  <si>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</si>
  <si>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</si>
  <si>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</si>
  <si>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</si>
  <si>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</si>
  <si>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</si>
  <si>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</si>
  <si>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</si>
  <si>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</si>
  <si>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</si>
  <si>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</si>
  <si>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</si>
  <si>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</si>
  <si>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</si>
  <si>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</si>
  <si>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</si>
  <si>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</si>
  <si>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</si>
  <si>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</si>
  <si>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</si>
  <si>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</si>
  <si>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</si>
  <si>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</si>
  <si>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</si>
  <si>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</si>
  <si>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</si>
  <si>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</si>
  <si>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</si>
  <si>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</si>
  <si>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</si>
  <si>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</si>
  <si>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</si>
  <si>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</si>
  <si>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</si>
  <si>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</si>
  <si>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</si>
  <si>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</si>
  <si>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</si>
  <si>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</si>
  <si>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</si>
  <si>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</si>
  <si>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</si>
  <si>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</si>
  <si>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</si>
  <si>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</si>
  <si>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</si>
  <si>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</si>
  <si>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</si>
  <si>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</si>
  <si>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</si>
  <si>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</si>
  <si>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</si>
  <si>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</si>
  <si>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</si>
  <si>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</si>
  <si>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</si>
  <si>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</si>
  <si>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</si>
  <si>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</si>
  <si>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</si>
  <si>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</si>
  <si>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</si>
  <si>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</si>
  <si>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</si>
  <si>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</si>
  <si>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</si>
  <si>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</si>
  <si>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</si>
  <si>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</si>
  <si>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</si>
  <si>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</si>
  <si>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</si>
  <si>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</si>
  <si>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</si>
  <si>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</si>
  <si>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</si>
  <si>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</si>
  <si>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</si>
  <si>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</si>
  <si>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</si>
  <si>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</si>
  <si>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</si>
  <si>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</si>
  <si>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</si>
  <si>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</si>
  <si>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</si>
  <si>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</si>
  <si>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</si>
  <si>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</si>
  <si>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</si>
  <si>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</si>
  <si>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</si>
  <si>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</si>
  <si>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</si>
  <si>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</si>
  <si>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</si>
  <si>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</si>
  <si>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</si>
  <si>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</si>
  <si>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</si>
  <si>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</si>
  <si>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</si>
  <si>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</si>
  <si>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</si>
  <si>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</si>
  <si>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</si>
  <si>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</si>
  <si>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</si>
  <si>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</si>
  <si>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</si>
  <si>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</si>
  <si>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</si>
  <si>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</si>
  <si>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</si>
  <si>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</si>
  <si>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</si>
  <si>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</si>
  <si>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</si>
  <si>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</si>
  <si>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</si>
  <si>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</si>
  <si>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</si>
  <si>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</si>
  <si>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</si>
  <si>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</si>
  <si>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</si>
  <si>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</si>
  <si>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</si>
  <si>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</si>
  <si>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</si>
  <si>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</si>
  <si>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</si>
  <si>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</si>
  <si>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</si>
  <si>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</si>
  <si>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</si>
  <si>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</si>
  <si>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</si>
  <si>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</si>
  <si>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</si>
  <si>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</si>
  <si>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</si>
  <si>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</si>
  <si>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</si>
  <si>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</si>
  <si>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</si>
  <si>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</si>
  <si>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</si>
  <si>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</si>
  <si>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</si>
  <si>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</si>
  <si>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</si>
  <si>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</si>
  <si>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</si>
  <si>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</si>
  <si>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</si>
  <si>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</si>
  <si>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</si>
  <si>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</si>
  <si>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</si>
  <si>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</si>
  <si>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</si>
  <si>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</si>
  <si>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</si>
  <si>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</si>
  <si>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</si>
  <si>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</si>
  <si>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</si>
  <si>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</si>
  <si>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</si>
  <si>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</si>
  <si>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</si>
  <si>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</si>
  <si>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</si>
  <si>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</si>
  <si>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</si>
  <si>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</si>
  <si>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</si>
  <si>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</si>
  <si>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</si>
  <si>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</si>
  <si>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</si>
  <si>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</si>
  <si>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</si>
  <si>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</si>
  <si>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</si>
  <si>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</si>
  <si>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</si>
  <si>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</si>
  <si>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</si>
  <si>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</si>
  <si>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</si>
  <si>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</si>
  <si>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</si>
  <si>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</si>
  <si>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</si>
  <si>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</si>
  <si>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</si>
  <si>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</si>
  <si>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</si>
  <si>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</si>
  <si>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</si>
  <si>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</si>
  <si>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</si>
  <si>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</si>
  <si>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</si>
  <si>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</si>
  <si>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</si>
  <si>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</si>
  <si>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</si>
  <si>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</si>
  <si>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</si>
  <si>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</si>
  <si>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</si>
  <si>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</si>
  <si>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</si>
  <si>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</si>
  <si>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</si>
  <si>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</si>
  <si>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</si>
  <si>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</si>
  <si>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</si>
  <si>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</si>
  <si>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</si>
  <si>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</si>
  <si>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</si>
  <si>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</si>
  <si>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</si>
  <si>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</si>
  <si>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</si>
  <si>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</si>
  <si>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</si>
  <si>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</si>
  <si>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</si>
  <si>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</si>
  <si>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</si>
  <si>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</si>
  <si>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</si>
  <si>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</si>
  <si>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</si>
  <si>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</si>
  <si>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</si>
  <si>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</si>
  <si>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</si>
  <si>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</si>
  <si>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</si>
  <si>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</si>
  <si>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</si>
  <si>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</si>
  <si>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</si>
  <si>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</si>
  <si>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</si>
  <si>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</si>
  <si>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</si>
  <si>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</si>
  <si>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</si>
  <si>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</si>
  <si>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</si>
  <si>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</si>
  <si>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</si>
  <si>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</si>
  <si>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</si>
  <si>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</si>
  <si>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</si>
  <si>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</si>
  <si>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</si>
  <si>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</si>
  <si>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</si>
  <si>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</si>
  <si>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</si>
  <si>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</si>
  <si>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</si>
  <si>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</si>
  <si>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</si>
  <si>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</si>
  <si>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</si>
  <si>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</si>
  <si>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</si>
  <si>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</si>
  <si>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</si>
  <si>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</si>
  <si>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</si>
  <si>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</si>
  <si>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</si>
  <si>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</si>
  <si>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</si>
  <si>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</si>
  <si>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</si>
  <si>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</si>
  <si>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</si>
  <si>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</si>
  <si>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</si>
  <si>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</si>
  <si>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</si>
  <si>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</si>
  <si>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</si>
  <si>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</si>
  <si>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</si>
  <si>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</si>
  <si>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</si>
  <si>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</si>
  <si>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</si>
  <si>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</si>
  <si>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</si>
  <si>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</si>
  <si>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</si>
  <si>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</si>
  <si>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</si>
  <si>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</si>
  <si>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</si>
  <si>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</si>
  <si>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</si>
  <si>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</si>
  <si>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</si>
  <si>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</si>
  <si>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</si>
  <si>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</si>
  <si>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</si>
  <si>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</si>
  <si>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</si>
  <si>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</si>
  <si>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</si>
  <si>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</si>
  <si>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</si>
  <si>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</si>
  <si>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</si>
  <si>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</si>
  <si>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</si>
  <si>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</si>
  <si>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</si>
  <si>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</si>
  <si>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</si>
  <si>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</si>
  <si>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</si>
  <si>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</si>
  <si>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</si>
  <si>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</si>
  <si>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</si>
  <si>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</si>
  <si>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</si>
  <si>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</si>
  <si>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</si>
  <si>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</si>
  <si>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</si>
  <si>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</si>
  <si>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</si>
  <si>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</si>
  <si>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</si>
  <si>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</si>
  <si>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</si>
  <si>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</si>
  <si>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</si>
  <si>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</si>
  <si>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</si>
  <si>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</si>
  <si>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</si>
  <si>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</si>
  <si>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</si>
  <si>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</si>
  <si>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</si>
  <si>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</si>
  <si>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</si>
  <si>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</si>
  <si>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</si>
  <si>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</si>
  <si>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</si>
  <si>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</si>
  <si>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</si>
  <si>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</si>
  <si>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</si>
  <si>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</si>
  <si>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</si>
  <si>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</si>
  <si>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</si>
  <si>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</si>
  <si>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</si>
  <si>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</si>
  <si>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</si>
  <si>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</si>
  <si>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</si>
  <si>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</si>
  <si>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</si>
  <si>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</si>
  <si>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</si>
  <si>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</si>
  <si>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</si>
  <si>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</si>
  <si>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</si>
  <si>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</si>
  <si>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</si>
  <si>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</si>
  <si>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</si>
  <si>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</si>
  <si>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</si>
  <si>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</si>
  <si>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</si>
  <si>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</si>
  <si>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</si>
  <si>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</si>
  <si>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</si>
  <si>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</si>
  <si>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</si>
  <si>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</si>
  <si>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</si>
  <si>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</si>
  <si>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</si>
  <si>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</si>
  <si>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</si>
  <si>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</si>
  <si>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</si>
  <si>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</si>
  <si>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</si>
  <si>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</si>
  <si>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</si>
  <si>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</si>
  <si>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</si>
  <si>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</si>
  <si>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</si>
  <si>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</si>
  <si>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</si>
  <si>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</si>
  <si>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</si>
  <si>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</si>
  <si>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</si>
  <si>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</si>
  <si>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</si>
  <si>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</si>
  <si>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</si>
  <si>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</si>
  <si>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</si>
  <si>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</si>
  <si>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</si>
  <si>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</si>
  <si>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</si>
  <si>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</si>
  <si>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</si>
  <si>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</si>
  <si>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</si>
  <si>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</si>
  <si>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</si>
  <si>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</si>
  <si>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</si>
  <si>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</si>
  <si>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</si>
  <si>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</si>
  <si>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</si>
  <si>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</si>
  <si>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</si>
  <si>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</si>
  <si>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</si>
  <si>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</si>
  <si>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</si>
  <si>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</si>
  <si>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</si>
  <si>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</si>
  <si>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</si>
  <si>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</si>
  <si>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</si>
  <si>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</si>
  <si>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</si>
  <si>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</si>
  <si>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</si>
  <si>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</si>
  <si>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</si>
  <si>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</si>
  <si>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</si>
  <si>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</si>
  <si>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</si>
  <si>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</si>
  <si>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</si>
  <si>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</si>
  <si>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</si>
  <si>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</si>
  <si>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</si>
  <si>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</si>
  <si>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</si>
  <si>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</si>
  <si>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</si>
  <si>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</si>
  <si>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</si>
  <si>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</si>
  <si>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</si>
  <si>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</si>
  <si>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</si>
  <si>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</si>
  <si>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</si>
  <si>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</si>
  <si>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</si>
  <si>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</si>
  <si>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</si>
  <si>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</si>
  <si>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</si>
  <si>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</si>
  <si>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</si>
  <si>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</si>
  <si>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</si>
  <si>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</si>
  <si>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</si>
  <si>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</si>
  <si>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</si>
  <si>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</si>
  <si>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</si>
  <si>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</si>
  <si>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</si>
  <si>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</si>
  <si>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</si>
  <si>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</si>
  <si>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</si>
  <si>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</si>
  <si>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</si>
  <si>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</si>
  <si>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</si>
  <si>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</si>
  <si>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</si>
  <si>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</si>
  <si>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</si>
  <si>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</si>
  <si>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</si>
  <si>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</si>
  <si>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</si>
  <si>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</si>
  <si>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</si>
  <si>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</si>
  <si>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</si>
  <si>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</si>
  <si>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</si>
  <si>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</si>
  <si>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</si>
  <si>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</si>
  <si>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</si>
  <si>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</si>
  <si>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</si>
  <si>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</si>
  <si>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</si>
  <si>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</si>
  <si>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</si>
  <si>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</si>
  <si>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</si>
  <si>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</si>
  <si>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</si>
  <si>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</si>
  <si>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</si>
  <si>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</si>
  <si>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</si>
  <si>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</si>
  <si>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</si>
  <si>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</si>
  <si>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</si>
  <si>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</si>
  <si>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</si>
  <si>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</si>
  <si>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</si>
  <si>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</si>
  <si>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</si>
  <si>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</si>
  <si>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</si>
  <si>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</si>
  <si>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</si>
  <si>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</si>
  <si>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</si>
  <si>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</si>
  <si>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</si>
  <si>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</si>
  <si>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</si>
  <si>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</si>
  <si>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</si>
  <si>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</si>
  <si>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</si>
  <si>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</si>
  <si>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</si>
  <si>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</si>
  <si>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</si>
  <si>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</si>
  <si>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</si>
  <si>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</si>
  <si>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</si>
  <si>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</si>
  <si>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</si>
  <si>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</si>
  <si>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</si>
  <si>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</si>
  <si>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</si>
  <si>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</si>
  <si>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</si>
  <si>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</si>
  <si>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</si>
  <si>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</si>
  <si>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</si>
  <si>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</si>
  <si>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</si>
  <si>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</si>
  <si>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</si>
  <si>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</si>
  <si>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</si>
  <si>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</si>
  <si>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</si>
  <si>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</si>
  <si>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</si>
  <si>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</si>
  <si>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</si>
  <si>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</si>
  <si>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</si>
  <si>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</si>
  <si>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</si>
  <si>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</si>
  <si>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</si>
  <si>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</si>
  <si>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</si>
  <si>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</si>
  <si>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</si>
  <si>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</si>
  <si>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</si>
  <si>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</si>
  <si>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</si>
  <si>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</si>
  <si>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</si>
  <si>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</si>
  <si>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</si>
  <si>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</si>
  <si>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</si>
  <si>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</si>
  <si>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</si>
  <si>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</si>
  <si>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</si>
  <si>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</si>
  <si>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</si>
  <si>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</si>
  <si>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</si>
  <si>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</si>
  <si>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</si>
  <si>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</si>
  <si>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</si>
  <si>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</si>
  <si>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</si>
  <si>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</si>
  <si>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</si>
  <si>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</si>
  <si>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</si>
  <si>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</si>
  <si>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</si>
  <si>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</si>
  <si>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</si>
  <si>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</si>
  <si>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</si>
  <si>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</si>
  <si>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</si>
  <si>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</si>
  <si>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</si>
  <si>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</si>
  <si>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</si>
  <si>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</si>
  <si>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</si>
  <si>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</si>
  <si>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</si>
  <si>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</si>
  <si>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</si>
  <si>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</si>
  <si>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</si>
  <si>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</si>
  <si>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</si>
  <si>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</si>
  <si>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</si>
  <si>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</si>
  <si>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</si>
  <si>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</si>
  <si>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</si>
  <si>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</si>
  <si>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</si>
  <si>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</si>
  <si>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</si>
  <si>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</si>
  <si>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</si>
  <si>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</si>
  <si>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</si>
  <si>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</si>
  <si>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</si>
  <si>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</si>
  <si>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</si>
  <si>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</si>
  <si>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</si>
  <si>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</si>
  <si>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</si>
  <si>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</si>
  <si>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</si>
  <si>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</si>
  <si>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</si>
  <si>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</si>
  <si>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</si>
  <si>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</si>
  <si>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</si>
  <si>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</si>
  <si>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</si>
  <si>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</si>
  <si>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</si>
  <si>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</si>
  <si>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</si>
  <si>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</si>
  <si>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</si>
  <si>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</si>
  <si>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</si>
  <si>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</si>
  <si>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</si>
  <si>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</si>
  <si>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</si>
  <si>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</si>
  <si>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</si>
  <si>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</si>
  <si>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</si>
  <si>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</si>
  <si>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</si>
  <si>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</si>
  <si>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</si>
  <si>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</si>
  <si>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</si>
  <si>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</si>
  <si>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</si>
  <si>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</si>
  <si>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</si>
  <si>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</si>
  <si>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</si>
  <si>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</si>
  <si>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</si>
  <si>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</si>
  <si>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</si>
  <si>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</si>
  <si>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</si>
  <si>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</si>
  <si>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</si>
  <si>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</si>
  <si>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</si>
  <si>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</si>
  <si>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</si>
  <si>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</si>
  <si>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</si>
  <si>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</si>
  <si>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</si>
  <si>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</si>
  <si>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</si>
  <si>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</si>
  <si>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</si>
  <si>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</si>
  <si>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</si>
  <si>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</si>
  <si>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</si>
  <si>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</si>
  <si>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</si>
  <si>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</si>
  <si>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</si>
  <si>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</si>
  <si>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</si>
  <si>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</si>
  <si>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</si>
  <si>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</si>
  <si>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</si>
  <si>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</si>
  <si>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</si>
  <si>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</si>
  <si>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</si>
  <si>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</si>
  <si>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</si>
  <si>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</si>
  <si>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</si>
  <si>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</si>
  <si>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</si>
  <si>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</si>
  <si>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</si>
  <si>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</si>
  <si>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</si>
  <si>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</si>
  <si>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</si>
  <si>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</si>
  <si>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</si>
  <si>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</si>
  <si>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</si>
  <si>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</si>
  <si>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</si>
  <si>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</si>
  <si>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</si>
  <si>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</si>
  <si>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</si>
  <si>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</si>
  <si>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</si>
  <si>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</si>
  <si>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</si>
  <si>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</si>
  <si>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</si>
  <si>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</si>
  <si>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</si>
  <si>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</si>
  <si>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</si>
  <si>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</si>
  <si>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</si>
  <si>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</si>
  <si>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</si>
  <si>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</si>
  <si>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</si>
  <si>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</si>
  <si>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</si>
  <si>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</si>
  <si>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</si>
  <si>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</si>
  <si>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</si>
  <si>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</si>
  <si>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</si>
  <si>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</si>
  <si>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</si>
  <si>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</si>
  <si>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</si>
  <si>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</si>
  <si>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</si>
  <si>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</si>
  <si>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</si>
  <si>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</si>
  <si>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</si>
  <si>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</si>
  <si>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</si>
  <si>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</si>
  <si>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</si>
  <si>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</si>
  <si>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</si>
  <si>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</si>
  <si>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</si>
  <si>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</si>
  <si>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</si>
  <si>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</si>
  <si>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</si>
  <si>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</si>
  <si>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</si>
  <si>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</si>
  <si>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</si>
  <si>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</si>
  <si>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</si>
  <si>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</si>
  <si>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</si>
  <si>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</si>
  <si>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</si>
  <si>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</si>
  <si>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</si>
  <si>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</si>
  <si>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</si>
  <si>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</si>
  <si>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</si>
  <si>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</si>
  <si>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</si>
  <si>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</si>
  <si>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</si>
  <si>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</si>
  <si>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</si>
  <si>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</si>
  <si>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</si>
  <si>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</si>
  <si>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</si>
  <si>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</si>
  <si>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</si>
  <si>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</si>
  <si>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</si>
  <si>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</si>
  <si>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</si>
  <si>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</si>
  <si>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</si>
  <si>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</si>
  <si>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</si>
  <si>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</si>
  <si>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</si>
  <si>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</si>
  <si>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</si>
  <si>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</si>
  <si>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</si>
  <si>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</si>
  <si>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</si>
  <si>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</si>
  <si>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</si>
  <si>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</si>
  <si>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</si>
  <si>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</si>
  <si>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</si>
  <si>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</si>
  <si>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</si>
  <si>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</si>
  <si>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</si>
  <si>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</si>
  <si>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</si>
  <si>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</si>
  <si>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</si>
  <si>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</si>
  <si>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</si>
  <si>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</si>
  <si>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</si>
  <si>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</si>
  <si>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</si>
  <si>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</si>
  <si>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</si>
  <si>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</si>
  <si>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</si>
  <si>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</si>
  <si>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</si>
  <si>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</si>
  <si>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</si>
  <si>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</si>
  <si>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</si>
  <si>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</si>
  <si>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</si>
  <si>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</si>
  <si>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</si>
  <si>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</si>
  <si>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</si>
  <si>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</si>
  <si>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</si>
  <si>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</si>
  <si>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</si>
  <si>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</si>
  <si>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</si>
  <si>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</si>
  <si>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</si>
  <si>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</si>
  <si>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</si>
  <si>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</si>
  <si>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</si>
  <si>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</si>
  <si>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</si>
  <si>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</si>
  <si>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</si>
  <si>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</si>
  <si>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</si>
  <si>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</si>
  <si>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</si>
  <si>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</si>
  <si>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</si>
  <si>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</si>
  <si>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</si>
  <si>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</si>
  <si>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</si>
  <si>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</si>
  <si>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</si>
  <si>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</si>
  <si>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</si>
  <si>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</si>
  <si>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</si>
  <si>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</si>
  <si>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</si>
  <si>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</si>
  <si>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</si>
  <si>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</si>
  <si>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</si>
  <si>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</si>
  <si>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</si>
  <si>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</si>
  <si>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</si>
  <si>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</si>
  <si>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</si>
  <si>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</si>
  <si>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</si>
  <si>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</si>
  <si>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</si>
  <si>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</si>
  <si>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</si>
  <si>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</si>
  <si>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</si>
  <si>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</si>
  <si>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</si>
  <si>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</si>
  <si>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</si>
  <si>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</si>
  <si>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</si>
  <si>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</si>
  <si>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</si>
  <si>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</si>
  <si>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</si>
  <si>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</si>
  <si>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</si>
  <si>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</si>
  <si>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</si>
  <si>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</si>
  <si>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</si>
  <si>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</si>
  <si>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</si>
  <si>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</si>
  <si>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</si>
  <si>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</si>
  <si>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</si>
  <si>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</si>
  <si>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</si>
  <si>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</si>
  <si>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</si>
  <si>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</si>
  <si>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</si>
  <si>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</si>
  <si>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</si>
  <si>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</si>
  <si>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</si>
  <si>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</si>
  <si>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</si>
  <si>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2021-1</t>
    <phoneticPr fontId="4" type="noConversion"/>
  </si>
  <si>
    <t>2020-4</t>
    <phoneticPr fontId="4" type="noConversion"/>
  </si>
  <si>
    <t>出让</t>
  </si>
  <si>
    <t>市场价格</t>
  </si>
  <si>
    <t>企业</t>
  </si>
  <si>
    <t>一致</t>
  </si>
  <si>
    <t>地上</t>
  </si>
  <si>
    <t>标准厂房</t>
  </si>
  <si>
    <t>十一级</t>
  </si>
  <si>
    <t>交通用地</t>
  </si>
  <si>
    <t>宗地容积率</t>
  </si>
  <si>
    <t>按公示增长率计算</t>
  </si>
  <si>
    <t>容积率修正</t>
  </si>
  <si>
    <t>土地储备开发项目成本预审会项目表</t>
  </si>
  <si>
    <t>年度</t>
  </si>
  <si>
    <t>会期</t>
  </si>
  <si>
    <t>月份</t>
  </si>
  <si>
    <t>区县</t>
  </si>
  <si>
    <t>供地方式</t>
  </si>
  <si>
    <t>项目名称</t>
  </si>
  <si>
    <t>开发主体</t>
  </si>
  <si>
    <t>项目类型</t>
  </si>
  <si>
    <t>规划用途</t>
  </si>
  <si>
    <t>市政条件</t>
  </si>
  <si>
    <t>总用地面积（公顷）</t>
  </si>
  <si>
    <t>建设用地面积</t>
  </si>
  <si>
    <t>建筑规模</t>
  </si>
  <si>
    <t>土地开发成本</t>
  </si>
  <si>
    <t>土地开发成本构成情况</t>
  </si>
  <si>
    <t>备注</t>
  </si>
  <si>
    <t>实物补偿（对外发送时删除）</t>
  </si>
  <si>
    <t>代拆及同步整理区域（对外发送时删除）</t>
  </si>
  <si>
    <t>征地补偿及相关税费（万元）（对外发送时删除）</t>
  </si>
  <si>
    <t>拆迁补偿及相关税费（万元）（对外发送时删除）</t>
  </si>
  <si>
    <t>市政基础设施建设费用</t>
  </si>
  <si>
    <t>总单价（征地补偿及相关税费单价+拆迁补偿及相关税费单价）（元/平方米）</t>
  </si>
  <si>
    <t>征地补偿及相关税费单价（元/平方米）</t>
  </si>
  <si>
    <t>拆迁补偿及相关税费单价（元/平方米）</t>
  </si>
  <si>
    <t>土地级别（对外发送时删除）</t>
  </si>
  <si>
    <t>4月</t>
  </si>
  <si>
    <t>平谷</t>
  </si>
  <si>
    <t>公开出让</t>
  </si>
  <si>
    <t>金海湖小镇土地一级开发项目A地块</t>
  </si>
  <si>
    <t>北京市土地整理储备中心平谷区分中心</t>
  </si>
  <si>
    <t>一级开发</t>
  </si>
  <si>
    <t>商业用地、文化设施用地、地面公共交通场站用地、行政办公用地</t>
  </si>
  <si>
    <t>市政建设程度为临时三通（通施工临时用水、通施工临时用电、通可供施工车辆通行的道路）和场地自然平整，由首创嘉铭新城镇投资发展有限公司负责于该地块入市前完成。</t>
  </si>
  <si>
    <t>一、该项目成本经2016年第三期成本预审会审议为180289.59万元，其中财务成本预估至2017年3月，考虑到项目的供应时序，此次申请增加财务费用至2018年3月，增加4834.9万元。
二、本次提请成本会审议的A地块分摊土地开发成本为81961.52万元，其中商业用地分摊成本为60120.45万元，文化设施用地分摊成本为21667.57，行政办公用地分摊成本为173.50万元，地面公共交通场站用地分摊成本0万元。</t>
  </si>
  <si>
    <t>本次审核地块已取得征地批复、征地结案，拆迁工作全部完成。</t>
  </si>
  <si>
    <t>无</t>
  </si>
  <si>
    <t>马坊镇中心区北区土地一级开发项目B08-01地块</t>
  </si>
  <si>
    <t>北京市土地整理储备中心、北京市土地整理储备中心平谷区分中心</t>
  </si>
  <si>
    <t>居住</t>
  </si>
  <si>
    <t>市政建设程度为项目红线范围内城市支路的五通（通路、通上水（自来水、中水）、通下水（雨水、污水）、通电力(管沟、电缆)、通热力）和场地自然平整，上述工作由马坊镇政府和北京倚基土地开发有限公司负责于二级竣工验收前完成。</t>
  </si>
  <si>
    <t>夏各庄新城土地一级开发项目3号、4号地块</t>
  </si>
  <si>
    <t>居住、商业、公建混合住宅、社会停车场库、托幼用地</t>
  </si>
  <si>
    <t>市政建设程度为项目红线范围内城市支路的四通（通路、通上水（自来水、中水）、通下水（雨水、污水）、通电力(管沟、电缆)和场地自然平整，以上工作由夏各庄镇政府和北京绿都基础设施投资有限公司负责于二级竣工验收前完成。</t>
  </si>
  <si>
    <t xml:space="preserve">525.68（其中储备用地329.13公顷，同步整理用地196.55公顷）
</t>
  </si>
  <si>
    <r>
      <rPr>
        <sz val="11"/>
        <rFont val="宋体"/>
        <family val="3"/>
        <charset val="134"/>
        <scheme val="minor"/>
      </rPr>
      <t>一、该项目提请2016年第四期成本预审会审议成本为591712.03万元，经审议，核减主环路电力管井工程及二类投资费用、电信、燃气工程投资费用后土地开发成本为585882.37万元</t>
    </r>
    <r>
      <rPr>
        <sz val="11"/>
        <rFont val="宋体"/>
        <family val="3"/>
        <charset val="134"/>
      </rPr>
      <t>。
二、本次提请审核地块夏各庄新城土地一级开发项目3号、4号地土地开发成本212637.98万元。依据地块控规，项目3、4号地共分15个地块，各地块成本分摊如下：3-01地块分摊成本13959.15万元;3-04地块分摊成本18580.33万元;3-11地块分摊成本9529.19万元;3-12地块分摊成本19759.52万元;3-13地块分摊成本17433.00万元;3-14地块分摊成本194.41万元;3-16地块分摊成本14978.99  万元;PG11-0100-6055地块分摊成本0万元;PG11-0100-6056地块分摊成本1051.72万元;PG11-0100-6057地块分摊成本21193.68 万元;PG11-0100-6058地块分摊成本672.46万元;PG11-0100-6059地块分摊成本47550.34万元;PG11-0100-6063地块分摊成本89.24万元;PG11-0100-6064地块分摊成本25049.98万元;PG11-0100-6065地块分摊成本22595.97万元。
    其中3-14地块为托幼用地、PG11-0100-6058地块为社区综合服务设施用地、PG11-0100-6063地块为供水用地，均按经营性用地楼面单价（3187.02元/平方米）的10%予以核算。另PG11-0100-6055地块规划用途为地面公共交通场站用地，不予分摊成本。</t>
    </r>
  </si>
  <si>
    <t>有</t>
  </si>
  <si>
    <t>怎么摊到本体上忘了</t>
  </si>
  <si>
    <t>R2二类居住用地</t>
  </si>
  <si>
    <t>市政建设程度为项目红线范围内城市支路的四通（通路、通上水（自来水、中水）、通下水（雨水、污水）、通电力(管沟)）和场地基本平整，以上工作由绿都公司负责于二级竣工验收前完成。</t>
  </si>
  <si>
    <t>本次审核地块已取得征地批复及征地结案，拆迁工作已完成。</t>
  </si>
  <si>
    <t>平谷区</t>
  </si>
  <si>
    <t>R2二类居住用地、B1商业用地、A33基础教育用地</t>
  </si>
  <si>
    <t xml:space="preserve">    市政建设程度为项目红线范围内城市支路的四通（通路、通上水（自来水、中水）、通下水（雨水、污水）、通电力（仅管沟））和场地自然平整，以上工作由金海湖镇政府和首创嘉铭公司负责于二级竣工验收前完成。</t>
  </si>
  <si>
    <t>本次审核地块已取得征地批复、征地结案，拆迁工作基本完成。</t>
  </si>
  <si>
    <t>二类居住用地、社会停车场用地、多功能用地、商业用地</t>
  </si>
  <si>
    <t>市政建设程度为项目红线范围内城市支路的四通（通路、通上水（自来水、中水）、通下水（雨水、污水）、通电力(仅管沟)）和场地自然平整，以上工作由夏各庄镇政府和北京绿都基础设施投资有限公司负责于二级竣工验收前完成。</t>
  </si>
  <si>
    <t>525.68（其中储备用地329.13公顷，同步整理用地196.55公顷）</t>
  </si>
  <si>
    <t>本次审核地块已取得征地批复、征地结案，已完成拆迁工作。</t>
  </si>
  <si>
    <r>
      <t>一、经平谷区区政府审核，平谷区马坊镇中心区北区土地一级开发成本为</t>
    </r>
    <r>
      <rPr>
        <sz val="11"/>
        <color rgb="FFFF0000"/>
        <rFont val="宋体"/>
        <family val="3"/>
        <charset val="134"/>
        <scheme val="minor"/>
      </rPr>
      <t>198807.40</t>
    </r>
    <r>
      <rPr>
        <sz val="11"/>
        <rFont val="宋体"/>
        <family val="3"/>
        <charset val="134"/>
        <scheme val="minor"/>
      </rPr>
      <t>万元，其中：前期费用345.27万元，征地补偿及相关税费27680.83万元，拆迁补偿费及相关费用</t>
    </r>
    <r>
      <rPr>
        <sz val="11"/>
        <color rgb="FFFF0000"/>
        <rFont val="宋体"/>
        <family val="3"/>
        <charset val="134"/>
        <scheme val="minor"/>
      </rPr>
      <t>141251.34</t>
    </r>
    <r>
      <rPr>
        <sz val="11"/>
        <rFont val="宋体"/>
        <family val="3"/>
        <charset val="134"/>
        <scheme val="minor"/>
      </rPr>
      <t xml:space="preserve"> 万元，市政基础设施建设费12547.83万元，其他费用12.58万元，财务费用12728.70万元，利润3636.76万元，审计费263.94万元、委托入市交易服务费273.45万元、地价评估费66.70万元，项目总成本为198807.40万元。
二、扣除已收回成本170963.14万元，剩余地块土地开发成本27844.26万元。
三、本次审核的马坊中心区北区平谷区B08-01地块开发成本为27844.26万元，其中B08-01地块（居住地块）土地开发成本为27708.57万元，B08-01地块（供热地块）土地开发成本为135.69万元。</t>
    </r>
    <phoneticPr fontId="229" type="noConversion"/>
  </si>
  <si>
    <t>工业</t>
    <phoneticPr fontId="8" type="noConversion"/>
  </si>
  <si>
    <t>成本逼近法</t>
  </si>
  <si>
    <t>项目全部</t>
  </si>
  <si>
    <t>基准地价</t>
  </si>
  <si>
    <t>与级别开发程度不一致</t>
  </si>
  <si>
    <t>通电</t>
  </si>
  <si>
    <t>通路</t>
  </si>
  <si>
    <t>一般</t>
  </si>
  <si>
    <t>较好</t>
  </si>
  <si>
    <t>较差</t>
  </si>
  <si>
    <t>平整</t>
  </si>
  <si>
    <t>正常</t>
  </si>
  <si>
    <t>四通一平</t>
  </si>
  <si>
    <t>四通一平</t>
    <phoneticPr fontId="29" type="noConversion"/>
  </si>
  <si>
    <t>通上水</t>
  </si>
  <si>
    <t>评估结果一览表</t>
  </si>
  <si>
    <t>价格（万元）</t>
  </si>
  <si>
    <t>建筑物</t>
  </si>
  <si>
    <t>附属物</t>
  </si>
  <si>
    <t>无法恢复使用的设施设备补偿价</t>
  </si>
  <si>
    <t>停产停业补助费</t>
  </si>
  <si>
    <t>因土地收购造成的停产停业损失补偿费用</t>
  </si>
  <si>
    <t>搬迁补助费</t>
  </si>
  <si>
    <t>补偿费用参照《关于国有土地上房屋征收与补偿中有关事项的通
知》[京建法（2012）19号]确定。非住宅按50元/建筑平方米搬迁、临时安置补偿费确定，需要搬迁重新安装的空调、电话移机费。</t>
  </si>
  <si>
    <t>单价（元/平方米）</t>
  </si>
  <si>
    <t>亩</t>
  </si>
  <si>
    <t>土地使用权</t>
    <phoneticPr fontId="229" type="noConversion"/>
  </si>
  <si>
    <t>地块名称</t>
  </si>
  <si>
    <t>用地性质</t>
  </si>
  <si>
    <t>建设用地面积(㎡)</t>
  </si>
  <si>
    <t>规划建筑面积(㎡)</t>
  </si>
  <si>
    <t>出让方式</t>
  </si>
  <si>
    <t>详细规划</t>
  </si>
  <si>
    <t>截止日期</t>
  </si>
  <si>
    <t>成交日期</t>
  </si>
  <si>
    <t>起始价(万元)</t>
  </si>
  <si>
    <t>成交价(万元)</t>
  </si>
  <si>
    <t>成交楼面价(元/㎡)</t>
  </si>
  <si>
    <t>北京市平谷新城北部产业用地F05-05地块M2工业用地</t>
  </si>
  <si>
    <t>工业用地</t>
  </si>
  <si>
    <t>≤1</t>
  </si>
  <si>
    <t>挂牌</t>
  </si>
  <si>
    <t>M2工业用地</t>
  </si>
  <si>
    <t>2020-02-17</t>
  </si>
  <si>
    <t>平谷区新城北部产业用地F05-04地块工业用地</t>
  </si>
  <si>
    <t>2019-11-28</t>
  </si>
  <si>
    <t>平谷区新城北部产业用地F05-02地块工业用地</t>
  </si>
  <si>
    <t>2019-01-03</t>
  </si>
  <si>
    <t>平谷区新城北部产业用地F05-03地块工业用地</t>
  </si>
  <si>
    <t>土地开发补偿费（万元）</t>
    <phoneticPr fontId="229" type="noConversion"/>
  </si>
  <si>
    <t>差额</t>
    <phoneticPr fontId="229" type="noConversion"/>
  </si>
  <si>
    <t>收益率</t>
    <phoneticPr fontId="229" type="noConversion"/>
  </si>
  <si>
    <t>(平方米)</t>
  </si>
  <si>
    <t>建设用地面积(平方米)</t>
  </si>
  <si>
    <t>成交价</t>
  </si>
  <si>
    <t>（万元）</t>
  </si>
  <si>
    <t>其中土地开发补偿费（万元）</t>
  </si>
  <si>
    <t>其中政府土地出让收益（万元）</t>
  </si>
  <si>
    <t>楼面单价</t>
  </si>
  <si>
    <t>地面单价</t>
  </si>
  <si>
    <t>土地增值率（%）</t>
  </si>
  <si>
    <t>M2工业</t>
  </si>
  <si>
    <t>北京市平谷区新城北部产业用地F05-04地块</t>
  </si>
  <si>
    <t>平谷工业土地增值收益率小计</t>
  </si>
  <si>
    <t>平谷夏各庄新城土地一级开发项目7号地块PG11-0100-6103、6107地块</t>
    <phoneticPr fontId="229" type="noConversion"/>
  </si>
  <si>
    <t xml:space="preserve">    一、经平谷区政府审核，夏各庄新城土地一级开发项目土地开发成本为585882.37万元，其中，前期费用4179.12万元，征地补偿及相关税费78903.50万元，拆迁补偿费及相关税费365234.84万元，市政基础设施建设费30267.35万元，其他费用1455.95万元，财务费用95010.99万元，管理费9600.81万元，审计费600万元、委托入市交易费600万元、地价评估费29.80万元。
    二、本次审核平谷夏各庄PG11-0100-6103、6107地块的土地开发总成本为51100.98万元。其中PG11-0100-6103地块分摊成本30229.76万元，PG11-0100-6107地块分摊成本20871.22万元。</t>
    <phoneticPr fontId="229" type="noConversion"/>
  </si>
  <si>
    <t>一、经平谷区政府审核，金海湖小镇A、B地块土地一级开发项目土地开发成本为193286.28万元，其中，前期费用1402.17万元，征地补偿及相关税费25804.77万元，拆迁补偿费及相关税费108567.45万元，市政基础设施建设费7908.64万元，其他费用1534.75万元，财务费用36107.99万元，管理费11617.42万元，审计费193.09万元、委托入市交易费150万元。
二、扣除已收回成本81961.52万元，剩余地块土地开发成本111324.76万元。
三、 本次提请审核地块金海湖B地块PG06-0100-6008、6009、6014、6019、6020、6021、6023、6024地块土地开发成本111324.76万元。依据地块控规，各地块成本分摊如下：PG06-0100-6008地块土地开发成本为16346.80万元；PG06-0100-6009地块土地开发成本为9817.09万元；PG06-0100-6014地块土地开发成本为26659.24万元；PG06-0100-6019地块土地开发成本为4458.22万元；PG06-0100-6020地块土地开发成本为17472.61万元；PG06-0100-6021地块土地开发成本为21300.37万元；PG06-0100-6023地块土地开发成本为184.54万元；PG06-0100-6024地块土地开发成本为15085.89万元。
其中PG06-0100-6019地块为商业用地、PG06-0100-6008、6009、6014、6020、6021、6024地块为二类居住用地，均按经营性用地楼面单价（4503.25元/平方米）分摊成本。PG06-0100-6023地块按经营性用地楼面单价的10%分摊成本。</t>
    <phoneticPr fontId="229" type="noConversion"/>
  </si>
  <si>
    <t>平谷区夏各庄新城土地一级开发项目7号地PG11-0100-6110、6115、6116、6121、6126地块</t>
    <phoneticPr fontId="229" type="noConversion"/>
  </si>
  <si>
    <t>五通一平</t>
    <phoneticPr fontId="29" type="noConversion"/>
  </si>
  <si>
    <t>三通一平</t>
  </si>
  <si>
    <t>三通一平</t>
    <phoneticPr fontId="29" type="noConversion"/>
  </si>
  <si>
    <t xml:space="preserve"> 一、经平谷区政府审核，夏各庄新城土地一级开发项目土地开发成本为585882.37万元，其中，前期费用4179.12万元，征地补偿及相关税费78903.50万元，拆迁补偿费及相关税费365234.84万元，市政基础设施建设费30267.35万元，其他费用1455.95万元，财务费用95010.99万元，管理费9600.82万元，审计费600万元、委托入市交易费600万元、地价评估费29.80万元。
二、扣除已收回成本256618.82万元，剩余地块土地开发成本329263.55万元。
三、 本次提请审核地块夏各庄新城土地一级开发项目7号地PG11-0100-6110、6115、6116、6121、6126土地开发成本76095万元。其中：PG11-0100-6110地块分摊成本为46495万元，PG11-0100-6115地块分摊成本为12235万元，PG11-0100-6116地块分摊成本为644万元，PG11-0100-6121地块分摊成本为8119万元，PG11-0100-6126地块分摊成本为8602万元。</t>
    <phoneticPr fontId="229" type="noConversion"/>
  </si>
  <si>
    <t>平谷区2土地一级开发项目PG06-0100-6008等地块</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</si>
</sst>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 numFmtId="196" formatCode="0.0000"/>
  </numFmts>
  <fonts count="29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2"/>
      <name val="华文宋体"/>
      <family val="3"/>
      <charset val="134"/>
    </font>
    <font>
      <b/>
      <sz val="9"/>
      <name val="宋体"/>
      <family val="3"/>
      <charset val="134"/>
      <scheme val="major"/>
    </font>
    <font>
      <b/>
      <sz val="9"/>
      <name val="宋体"/>
      <family val="3"/>
      <charset val="134"/>
      <scheme val="minor"/>
    </font>
    <font>
      <b/>
      <sz val="9"/>
      <color rgb="FFFF0000"/>
      <name val="宋体"/>
      <family val="3"/>
      <charset val="134"/>
      <scheme val="major"/>
    </font>
    <font>
      <sz val="10"/>
      <name val="宋体"/>
      <family val="3"/>
      <charset val="134"/>
      <scheme val="minor"/>
    </font>
    <font>
      <sz val="11"/>
      <name val="宋体"/>
      <family val="3"/>
      <charset val="134"/>
      <scheme val="minor"/>
    </font>
    <font>
      <sz val="10"/>
      <color indexed="8"/>
      <name val="宋体"/>
      <family val="3"/>
      <charset val="134"/>
      <scheme val="minor"/>
    </font>
    <font>
      <sz val="12"/>
      <color theme="1"/>
      <name val="楷体_GB2312"/>
      <charset val="134"/>
    </font>
    <font>
      <sz val="10"/>
      <color rgb="FF404040"/>
      <name val="Arial"/>
      <family val="2"/>
    </font>
    <font>
      <sz val="10"/>
      <color rgb="FF404040"/>
      <name val="仿宋"/>
      <family val="3"/>
      <charset val="134"/>
    </font>
    <font>
      <b/>
      <sz val="10"/>
      <color rgb="FFFFFFFF"/>
      <name val="仿宋"/>
      <family val="3"/>
      <charset val="134"/>
    </font>
    <font>
      <b/>
      <sz val="10"/>
      <color rgb="FFFFFFFF"/>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F2F2F2"/>
        <bgColor indexed="64"/>
      </patternFill>
    </fill>
    <fill>
      <patternFill patternType="solid">
        <fgColor rgb="FF848587"/>
        <bgColor indexed="64"/>
      </patternFill>
    </fill>
    <fill>
      <patternFill patternType="solid">
        <fgColor theme="5" tint="0.59999389629810485"/>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FFFFFF"/>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style="thick">
        <color rgb="FF848587"/>
      </top>
      <bottom/>
      <diagonal/>
    </border>
    <border>
      <left style="dotted">
        <color rgb="FFFFFFFF"/>
      </left>
      <right style="dotted">
        <color rgb="FFFFFFFF"/>
      </right>
      <top/>
      <bottom style="thick">
        <color rgb="FF848587"/>
      </bottom>
      <diagonal/>
    </border>
    <border>
      <left style="dotted">
        <color rgb="FFFFFFFF"/>
      </left>
      <right style="thick">
        <color rgb="FF848587"/>
      </right>
      <top style="thick">
        <color rgb="FF848587"/>
      </top>
      <bottom/>
      <diagonal/>
    </border>
    <border>
      <left style="dotted">
        <color rgb="FFFFFFFF"/>
      </left>
      <right style="thick">
        <color rgb="FF848587"/>
      </right>
      <top/>
      <bottom style="thick">
        <color rgb="FF848587"/>
      </bottom>
      <diagonal/>
    </border>
    <border>
      <left style="thick">
        <color rgb="FF848587"/>
      </left>
      <right/>
      <top style="dotted">
        <color rgb="FF848587"/>
      </top>
      <bottom style="thick">
        <color rgb="FF848587"/>
      </bottom>
      <diagonal/>
    </border>
    <border>
      <left/>
      <right/>
      <top style="dotted">
        <color rgb="FF848587"/>
      </top>
      <bottom style="thick">
        <color rgb="FF848587"/>
      </bottom>
      <diagonal/>
    </border>
    <border>
      <left/>
      <right style="dotted">
        <color rgb="FF848587"/>
      </right>
      <top style="dotted">
        <color rgb="FF848587"/>
      </top>
      <bottom style="thick">
        <color rgb="FF848587"/>
      </bottom>
      <diagonal/>
    </border>
    <border>
      <left style="dotted">
        <color rgb="FF848587"/>
      </left>
      <right style="thick">
        <color rgb="FF848587"/>
      </right>
      <top style="dotted">
        <color rgb="FF848587"/>
      </top>
      <bottom style="thick">
        <color rgb="FF848587"/>
      </bottom>
      <diagonal/>
    </border>
  </borders>
  <cellStyleXfs count="23">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288" fillId="0" borderId="0">
      <alignment vertical="center"/>
    </xf>
    <xf numFmtId="0" fontId="288" fillId="0" borderId="0">
      <alignment vertical="center"/>
    </xf>
    <xf numFmtId="0" fontId="288" fillId="0" borderId="0">
      <alignment vertical="center"/>
    </xf>
    <xf numFmtId="0" fontId="146" fillId="0" borderId="0"/>
    <xf numFmtId="0" fontId="82" fillId="0" borderId="0">
      <alignment vertical="center"/>
    </xf>
    <xf numFmtId="0" fontId="1" fillId="0" borderId="0">
      <alignment vertical="center"/>
    </xf>
    <xf numFmtId="0" fontId="82" fillId="0" borderId="0">
      <alignment vertical="center"/>
    </xf>
  </cellStyleXfs>
  <cellXfs count="3671">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180" fontId="12" fillId="0" borderId="2" xfId="0" applyNumberFormat="1" applyFont="1" applyBorder="1" applyAlignment="1" applyProtection="1">
      <alignment vertical="center" wrapText="1"/>
      <protection locked="0"/>
    </xf>
    <xf numFmtId="0" fontId="285" fillId="0" borderId="2" xfId="0" applyNumberFormat="1" applyFont="1" applyFill="1" applyBorder="1" applyAlignment="1">
      <alignment horizontal="center" vertical="center" wrapText="1"/>
    </xf>
    <xf numFmtId="0" fontId="171" fillId="6" borderId="2" xfId="0" applyNumberFormat="1" applyFont="1" applyFill="1" applyBorder="1" applyAlignment="1">
      <alignment horizontal="center" vertical="center" wrapText="1"/>
    </xf>
    <xf numFmtId="0" fontId="281" fillId="0" borderId="2" xfId="2" applyNumberFormat="1" applyFont="1" applyFill="1" applyBorder="1" applyAlignment="1">
      <alignment horizontal="center" vertical="center" wrapText="1"/>
    </xf>
    <xf numFmtId="0" fontId="282" fillId="0" borderId="2" xfId="3" applyNumberFormat="1" applyFont="1" applyFill="1" applyBorder="1" applyAlignment="1">
      <alignment horizontal="center" vertical="center" wrapText="1"/>
    </xf>
    <xf numFmtId="0" fontId="283" fillId="0" borderId="2" xfId="0" applyNumberFormat="1" applyFont="1" applyFill="1" applyBorder="1" applyAlignment="1">
      <alignment horizontal="center" vertical="center" wrapText="1"/>
    </xf>
    <xf numFmtId="0" fontId="284" fillId="0" borderId="2" xfId="3" applyNumberFormat="1" applyFont="1" applyFill="1" applyBorder="1" applyAlignment="1">
      <alignment horizontal="center" vertical="center" wrapText="1"/>
    </xf>
    <xf numFmtId="0" fontId="286" fillId="0" borderId="2" xfId="0" applyNumberFormat="1" applyFont="1" applyFill="1" applyBorder="1" applyAlignment="1">
      <alignment horizontal="center" vertical="center" wrapText="1"/>
    </xf>
    <xf numFmtId="0" fontId="286" fillId="0" borderId="2" xfId="0" applyNumberFormat="1" applyFont="1" applyFill="1" applyBorder="1" applyAlignment="1">
      <alignment horizontal="left" vertical="center" wrapText="1"/>
    </xf>
    <xf numFmtId="0" fontId="128" fillId="0" borderId="2" xfId="0" applyNumberFormat="1" applyFont="1" applyFill="1" applyBorder="1" applyAlignment="1">
      <alignment horizontal="center" vertical="center" wrapText="1"/>
    </xf>
    <xf numFmtId="0" fontId="128" fillId="6" borderId="2" xfId="0" applyNumberFormat="1" applyFont="1" applyFill="1" applyBorder="1" applyAlignment="1">
      <alignment horizontal="center" vertical="center" wrapText="1"/>
    </xf>
    <xf numFmtId="0" fontId="286" fillId="0" borderId="2" xfId="0" applyNumberFormat="1" applyFont="1" applyFill="1" applyBorder="1" applyAlignment="1">
      <alignment vertical="center" wrapText="1"/>
    </xf>
    <xf numFmtId="0" fontId="145" fillId="0" borderId="2" xfId="0" applyNumberFormat="1" applyFont="1" applyFill="1" applyBorder="1" applyAlignment="1">
      <alignment horizontal="center" vertical="center" wrapText="1"/>
    </xf>
    <xf numFmtId="0" fontId="83" fillId="0" borderId="2" xfId="0" applyNumberFormat="1" applyFont="1" applyFill="1" applyBorder="1" applyAlignment="1">
      <alignment horizontal="center" vertical="center" wrapText="1"/>
    </xf>
    <xf numFmtId="0" fontId="165" fillId="0" borderId="2" xfId="0" applyNumberFormat="1" applyFont="1" applyFill="1" applyBorder="1" applyAlignment="1">
      <alignment horizontal="center" vertical="center" wrapText="1"/>
    </xf>
    <xf numFmtId="0" fontId="287" fillId="0" borderId="2" xfId="0" applyNumberFormat="1" applyFont="1" applyFill="1" applyBorder="1" applyAlignment="1">
      <alignment horizontal="center" vertical="center" wrapText="1"/>
    </xf>
    <xf numFmtId="0" fontId="229" fillId="0" borderId="2" xfId="0" applyNumberFormat="1" applyFont="1" applyFill="1" applyBorder="1" applyAlignment="1">
      <alignment horizontal="center" vertical="center" wrapText="1"/>
    </xf>
    <xf numFmtId="0" fontId="229" fillId="0" borderId="2" xfId="0" applyNumberFormat="1" applyFont="1" applyFill="1" applyBorder="1" applyAlignment="1">
      <alignment vertical="center" wrapText="1"/>
    </xf>
    <xf numFmtId="0" fontId="229" fillId="0" borderId="0" xfId="0" applyNumberFormat="1" applyFont="1" applyFill="1" applyBorder="1" applyAlignment="1">
      <alignment vertical="center" wrapText="1"/>
    </xf>
    <xf numFmtId="0" fontId="229" fillId="0" borderId="0" xfId="0" applyNumberFormat="1" applyFont="1" applyFill="1" applyBorder="1" applyAlignment="1">
      <alignment horizontal="center" vertical="center" wrapText="1"/>
    </xf>
    <xf numFmtId="0" fontId="0" fillId="0" borderId="2" xfId="0" applyNumberFormat="1" applyFill="1" applyBorder="1" applyAlignment="1">
      <alignment horizontal="center" vertical="center" wrapText="1"/>
    </xf>
    <xf numFmtId="0" fontId="0" fillId="0" borderId="0" xfId="0" applyNumberFormat="1" applyFill="1" applyBorder="1" applyAlignment="1">
      <alignment wrapText="1"/>
    </xf>
    <xf numFmtId="0" fontId="0" fillId="0" borderId="0" xfId="0" applyNumberFormat="1" applyFill="1" applyAlignment="1">
      <alignment wrapText="1"/>
    </xf>
    <xf numFmtId="0" fontId="0" fillId="0" borderId="2" xfId="0" applyNumberFormat="1" applyFill="1" applyBorder="1" applyAlignment="1">
      <alignment wrapText="1"/>
    </xf>
    <xf numFmtId="0" fontId="287" fillId="6" borderId="2" xfId="0" applyNumberFormat="1" applyFont="1" applyFill="1" applyBorder="1" applyAlignment="1">
      <alignment horizontal="center" vertical="center" wrapText="1"/>
    </xf>
    <xf numFmtId="0" fontId="165" fillId="6" borderId="2" xfId="0" applyNumberFormat="1" applyFont="1" applyFill="1" applyBorder="1" applyAlignment="1">
      <alignment horizontal="center" vertical="center" wrapText="1"/>
    </xf>
    <xf numFmtId="0" fontId="171" fillId="0" borderId="2" xfId="0" applyNumberFormat="1" applyFont="1" applyFill="1" applyBorder="1" applyAlignment="1">
      <alignment horizontal="center" vertical="center" wrapText="1"/>
    </xf>
    <xf numFmtId="0" fontId="0" fillId="0" borderId="0" xfId="0" applyNumberFormat="1" applyAlignment="1">
      <alignment vertical="center" wrapText="1"/>
    </xf>
    <xf numFmtId="0" fontId="237" fillId="6" borderId="128" xfId="10" applyFont="1" applyFill="1" applyBorder="1" applyAlignment="1" applyProtection="1">
      <alignment horizontal="left" vertical="center" wrapText="1"/>
    </xf>
    <xf numFmtId="180" fontId="72" fillId="0" borderId="67" xfId="0" applyNumberFormat="1" applyFont="1" applyFill="1" applyBorder="1" applyAlignment="1" applyProtection="1">
      <alignment horizontal="center" vertical="center" wrapText="1"/>
      <protection locked="0"/>
    </xf>
    <xf numFmtId="180" fontId="72" fillId="0" borderId="55"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protection locked="0"/>
    </xf>
    <xf numFmtId="178" fontId="159" fillId="9" borderId="2" xfId="2" applyNumberFormat="1" applyFont="1" applyFill="1" applyBorder="1" applyAlignment="1" applyProtection="1">
      <alignment horizontal="center" vertical="center"/>
      <protection locked="0"/>
    </xf>
    <xf numFmtId="195" fontId="146" fillId="0" borderId="2" xfId="1" applyNumberFormat="1" applyBorder="1" applyAlignment="1">
      <alignment horizontal="center" vertical="center" wrapText="1"/>
    </xf>
    <xf numFmtId="196" fontId="146" fillId="0" borderId="2" xfId="1" applyNumberFormat="1" applyBorder="1" applyAlignment="1">
      <alignment horizontal="center" vertical="center" wrapText="1"/>
    </xf>
    <xf numFmtId="0" fontId="146" fillId="0" borderId="2" xfId="1" applyBorder="1" applyAlignment="1">
      <alignment horizontal="center" vertical="center" wrapText="1"/>
    </xf>
    <xf numFmtId="0" fontId="146" fillId="0" borderId="2" xfId="1" applyFont="1" applyBorder="1" applyAlignment="1">
      <alignment horizontal="center" vertical="center" wrapText="1"/>
    </xf>
    <xf numFmtId="0" fontId="146" fillId="0" borderId="0" xfId="1" applyAlignment="1">
      <alignment vertical="center" wrapText="1"/>
    </xf>
    <xf numFmtId="0" fontId="0" fillId="0" borderId="0" xfId="0" applyAlignment="1">
      <alignment horizontal="center" vertical="center" wrapText="1"/>
    </xf>
    <xf numFmtId="0" fontId="0" fillId="0" borderId="2" xfId="0" applyBorder="1" applyAlignment="1">
      <alignment horizontal="center" vertical="center" wrapText="1"/>
    </xf>
    <xf numFmtId="0" fontId="146" fillId="0" borderId="2" xfId="0" applyFont="1" applyBorder="1" applyAlignment="1">
      <alignment horizontal="center" vertical="center" wrapText="1"/>
    </xf>
    <xf numFmtId="182" fontId="96" fillId="0" borderId="5" xfId="2" applyNumberFormat="1" applyFont="1" applyFill="1" applyBorder="1" applyAlignment="1" applyProtection="1">
      <alignment horizontal="center" vertical="center"/>
      <protection locked="0"/>
    </xf>
    <xf numFmtId="0" fontId="291" fillId="21" borderId="165" xfId="0" applyFont="1" applyFill="1" applyBorder="1" applyAlignment="1">
      <alignment horizontal="center" vertical="center" wrapText="1" readingOrder="1"/>
    </xf>
    <xf numFmtId="0" fontId="292" fillId="21" borderId="166" xfId="0" applyFont="1" applyFill="1" applyBorder="1" applyAlignment="1">
      <alignment horizontal="center" vertical="center" wrapText="1" readingOrder="1"/>
    </xf>
    <xf numFmtId="0" fontId="291" fillId="21" borderId="166" xfId="0" applyFont="1" applyFill="1" applyBorder="1" applyAlignment="1">
      <alignment horizontal="center" vertical="center" wrapText="1" readingOrder="1"/>
    </xf>
    <xf numFmtId="0" fontId="289" fillId="20" borderId="157" xfId="0" applyFont="1" applyFill="1" applyBorder="1" applyAlignment="1">
      <alignment horizontal="center" vertical="center" wrapText="1" readingOrder="1"/>
    </xf>
    <xf numFmtId="0" fontId="290" fillId="20" borderId="158" xfId="0" applyFont="1" applyFill="1" applyBorder="1" applyAlignment="1">
      <alignment horizontal="center" vertical="center" wrapText="1" readingOrder="1"/>
    </xf>
    <xf numFmtId="0" fontId="289" fillId="20" borderId="158" xfId="0" applyFont="1" applyFill="1" applyBorder="1" applyAlignment="1">
      <alignment horizontal="center" vertical="center" wrapText="1" readingOrder="1"/>
    </xf>
    <xf numFmtId="31" fontId="289" fillId="20" borderId="158" xfId="0" applyNumberFormat="1" applyFont="1" applyFill="1" applyBorder="1" applyAlignment="1">
      <alignment horizontal="center" vertical="center" wrapText="1" readingOrder="1"/>
    </xf>
    <xf numFmtId="9" fontId="289" fillId="20" borderId="159" xfId="0" applyNumberFormat="1" applyFont="1" applyFill="1" applyBorder="1" applyAlignment="1">
      <alignment horizontal="center" vertical="center" wrapText="1" readingOrder="1"/>
    </xf>
    <xf numFmtId="0" fontId="289" fillId="0" borderId="160" xfId="0" applyFont="1" applyBorder="1" applyAlignment="1">
      <alignment horizontal="center" vertical="center" wrapText="1" readingOrder="1"/>
    </xf>
    <xf numFmtId="0" fontId="290" fillId="0" borderId="161" xfId="0" applyFont="1" applyBorder="1" applyAlignment="1">
      <alignment horizontal="center" vertical="center" wrapText="1" readingOrder="1"/>
    </xf>
    <xf numFmtId="0" fontId="289" fillId="0" borderId="161" xfId="0" applyFont="1" applyBorder="1" applyAlignment="1">
      <alignment horizontal="center" vertical="center" wrapText="1" readingOrder="1"/>
    </xf>
    <xf numFmtId="31" fontId="289" fillId="0" borderId="161" xfId="0" applyNumberFormat="1" applyFont="1" applyBorder="1" applyAlignment="1">
      <alignment horizontal="center" vertical="center" wrapText="1" readingOrder="1"/>
    </xf>
    <xf numFmtId="9" fontId="289" fillId="0" borderId="162" xfId="0" applyNumberFormat="1" applyFont="1" applyBorder="1" applyAlignment="1">
      <alignment horizontal="center" vertical="center" wrapText="1" readingOrder="1"/>
    </xf>
    <xf numFmtId="0" fontId="289" fillId="20" borderId="160" xfId="0" applyFont="1" applyFill="1" applyBorder="1" applyAlignment="1">
      <alignment horizontal="center" vertical="center" wrapText="1" readingOrder="1"/>
    </xf>
    <xf numFmtId="0" fontId="290" fillId="20" borderId="161" xfId="0" applyFont="1" applyFill="1" applyBorder="1" applyAlignment="1">
      <alignment horizontal="center" vertical="center" wrapText="1" readingOrder="1"/>
    </xf>
    <xf numFmtId="0" fontId="289" fillId="20" borderId="161" xfId="0" applyFont="1" applyFill="1" applyBorder="1" applyAlignment="1">
      <alignment horizontal="center" vertical="center" wrapText="1" readingOrder="1"/>
    </xf>
    <xf numFmtId="31" fontId="289" fillId="20" borderId="161" xfId="0" applyNumberFormat="1" applyFont="1" applyFill="1" applyBorder="1" applyAlignment="1">
      <alignment horizontal="center" vertical="center" wrapText="1" readingOrder="1"/>
    </xf>
    <xf numFmtId="9" fontId="289" fillId="20" borderId="162" xfId="0" applyNumberFormat="1" applyFont="1" applyFill="1" applyBorder="1" applyAlignment="1">
      <alignment horizontal="center" vertical="center" wrapText="1" readingOrder="1"/>
    </xf>
    <xf numFmtId="10" fontId="280" fillId="20" borderId="172" xfId="0" applyNumberFormat="1" applyFont="1" applyFill="1" applyBorder="1" applyAlignment="1">
      <alignment horizontal="center" vertical="center" wrapText="1" readingOrder="1"/>
    </xf>
    <xf numFmtId="0" fontId="285" fillId="6" borderId="2" xfId="0" applyNumberFormat="1" applyFont="1" applyFill="1" applyBorder="1" applyAlignment="1">
      <alignment horizontal="center" vertical="center" wrapText="1"/>
    </xf>
    <xf numFmtId="0" fontId="145" fillId="6" borderId="2" xfId="0" applyNumberFormat="1" applyFont="1" applyFill="1" applyBorder="1" applyAlignment="1">
      <alignment horizontal="center" vertical="center" wrapText="1"/>
    </xf>
    <xf numFmtId="0" fontId="145" fillId="6" borderId="2" xfId="0" applyNumberFormat="1" applyFont="1" applyFill="1" applyBorder="1" applyAlignment="1">
      <alignment horizontal="left" vertical="center" wrapText="1"/>
    </xf>
    <xf numFmtId="0" fontId="83" fillId="6" borderId="2" xfId="0" applyNumberFormat="1" applyFont="1" applyFill="1" applyBorder="1" applyAlignment="1">
      <alignment horizontal="center" vertical="center" wrapText="1"/>
    </xf>
    <xf numFmtId="0" fontId="0" fillId="6" borderId="0" xfId="0" applyNumberFormat="1" applyFill="1" applyBorder="1" applyAlignment="1">
      <alignment wrapText="1"/>
    </xf>
    <xf numFmtId="0" fontId="0" fillId="6" borderId="0" xfId="0" applyNumberFormat="1" applyFill="1" applyAlignment="1">
      <alignment wrapText="1"/>
    </xf>
    <xf numFmtId="0" fontId="0" fillId="6" borderId="2" xfId="0" applyNumberFormat="1" applyFill="1" applyBorder="1" applyAlignment="1">
      <alignment wrapText="1"/>
    </xf>
    <xf numFmtId="180" fontId="87" fillId="0" borderId="2" xfId="2" applyNumberFormat="1" applyFont="1" applyFill="1" applyBorder="1" applyAlignment="1" applyProtection="1">
      <alignment horizontal="center" vertical="center"/>
      <protection locked="0"/>
    </xf>
    <xf numFmtId="178" fontId="77" fillId="5" borderId="0" xfId="0" applyNumberFormat="1" applyFont="1" applyFill="1" applyProtection="1">
      <alignment vertical="center"/>
      <protection locked="0"/>
    </xf>
    <xf numFmtId="178" fontId="258" fillId="0" borderId="10" xfId="14" applyNumberFormat="1" applyFont="1" applyFill="1" applyBorder="1" applyAlignment="1" applyProtection="1">
      <alignment horizontal="left" vertical="center" wrapText="1"/>
      <protection locked="0"/>
    </xf>
    <xf numFmtId="178" fontId="258" fillId="5" borderId="2" xfId="14" applyNumberFormat="1" applyFont="1" applyFill="1" applyBorder="1" applyAlignment="1" applyProtection="1">
      <alignment horizontal="left" vertical="center" wrapText="1"/>
    </xf>
    <xf numFmtId="186" fontId="146" fillId="0" borderId="2" xfId="1" applyNumberFormat="1" applyBorder="1" applyAlignment="1">
      <alignment horizontal="center" vertical="center" wrapText="1"/>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237" fillId="12" borderId="12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237" fillId="12" borderId="119"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81" fillId="0" borderId="2" xfId="2" applyNumberFormat="1" applyFont="1" applyFill="1" applyBorder="1" applyAlignment="1">
      <alignment horizontal="center" vertical="center" wrapText="1"/>
    </xf>
    <xf numFmtId="0" fontId="147" fillId="22" borderId="2" xfId="1" applyFont="1" applyFill="1" applyBorder="1" applyAlignment="1">
      <alignment horizontal="center" vertical="center" wrapText="1"/>
    </xf>
    <xf numFmtId="0" fontId="146" fillId="0" borderId="2" xfId="1" applyFont="1" applyBorder="1" applyAlignment="1">
      <alignment horizontal="center" vertical="center" wrapText="1"/>
    </xf>
    <xf numFmtId="0" fontId="291" fillId="21" borderId="167" xfId="0" applyFont="1" applyFill="1" applyBorder="1" applyAlignment="1">
      <alignment horizontal="center" vertical="center" wrapText="1" readingOrder="1"/>
    </xf>
    <xf numFmtId="0" fontId="291" fillId="21" borderId="168" xfId="0" applyFont="1" applyFill="1" applyBorder="1" applyAlignment="1">
      <alignment horizontal="center" vertical="center" wrapText="1" readingOrder="1"/>
    </xf>
    <xf numFmtId="0" fontId="290" fillId="20" borderId="169" xfId="0" applyFont="1" applyFill="1" applyBorder="1" applyAlignment="1">
      <alignment horizontal="center" vertical="center" wrapText="1" readingOrder="1"/>
    </xf>
    <xf numFmtId="0" fontId="290" fillId="20" borderId="170" xfId="0" applyFont="1" applyFill="1" applyBorder="1" applyAlignment="1">
      <alignment horizontal="center" vertical="center" wrapText="1" readingOrder="1"/>
    </xf>
    <xf numFmtId="0" fontId="290" fillId="20" borderId="171" xfId="0" applyFont="1" applyFill="1" applyBorder="1" applyAlignment="1">
      <alignment horizontal="center" vertical="center" wrapText="1" readingOrder="1"/>
    </xf>
    <xf numFmtId="0" fontId="291" fillId="21" borderId="163" xfId="0" applyFont="1" applyFill="1" applyBorder="1" applyAlignment="1">
      <alignment horizontal="center" vertical="center" wrapText="1" readingOrder="1"/>
    </xf>
    <xf numFmtId="0" fontId="291" fillId="21" borderId="164" xfId="0" applyFont="1" applyFill="1" applyBorder="1" applyAlignment="1">
      <alignment horizontal="center" vertical="center" wrapText="1" readingOrder="1"/>
    </xf>
    <xf numFmtId="0" fontId="291" fillId="21" borderId="165" xfId="0" applyFont="1" applyFill="1" applyBorder="1" applyAlignment="1">
      <alignment horizontal="center" vertical="center" wrapText="1" readingOrder="1"/>
    </xf>
    <xf numFmtId="0" fontId="291" fillId="21" borderId="166" xfId="0" applyFont="1" applyFill="1" applyBorder="1" applyAlignment="1">
      <alignment horizontal="center" vertical="center" wrapText="1" readingOrder="1"/>
    </xf>
  </cellXfs>
  <cellStyles count="23">
    <cellStyle name="百分比 2" xfId="11"/>
    <cellStyle name="常规" xfId="0" builtinId="0"/>
    <cellStyle name="常规 10" xfId="21"/>
    <cellStyle name="常规 16" xfId="1"/>
    <cellStyle name="常规 2" xfId="2"/>
    <cellStyle name="常规 2 2" xfId="3"/>
    <cellStyle name="常规 2 2 2" xfId="22"/>
    <cellStyle name="常规 2 2 2 2 3" xfId="12"/>
    <cellStyle name="常规 2 3" xfId="20"/>
    <cellStyle name="常规 3" xfId="4"/>
    <cellStyle name="常规 3 2" xfId="5"/>
    <cellStyle name="常规 4" xfId="6"/>
    <cellStyle name="常规 5" xfId="7"/>
    <cellStyle name="常规 6" xfId="8"/>
    <cellStyle name="常规 6 2" xfId="10"/>
    <cellStyle name="常规 6 2 2" xfId="13"/>
    <cellStyle name="常规 6 2 2 2" xfId="17"/>
    <cellStyle name="常规 6 2 3" xfId="16"/>
    <cellStyle name="常规 7" xfId="9"/>
    <cellStyle name="常规 8" xfId="15"/>
    <cellStyle name="常规 8 2" xfId="18"/>
    <cellStyle name="常规 9" xfId="14"/>
    <cellStyle name="常规 9 2" xfId="19"/>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76200</xdr:rowOff>
    </xdr:from>
    <xdr:to>
      <xdr:col>7</xdr:col>
      <xdr:colOff>266060</xdr:colOff>
      <xdr:row>41</xdr:row>
      <xdr:rowOff>94648</xdr:rowOff>
    </xdr:to>
    <xdr:pic>
      <xdr:nvPicPr>
        <xdr:cNvPr id="2" name="图片 1">
          <a:extLst>
            <a:ext uri="{FF2B5EF4-FFF2-40B4-BE49-F238E27FC236}">
              <a16:creationId xmlns:a16="http://schemas.microsoft.com/office/drawing/2014/main" xmlns="" id="{00000000-0008-0000-2800-000002000000}"/>
            </a:ext>
          </a:extLst>
        </xdr:cNvPr>
        <xdr:cNvPicPr>
          <a:picLocks noChangeAspect="1"/>
        </xdr:cNvPicPr>
      </xdr:nvPicPr>
      <xdr:blipFill>
        <a:blip xmlns:r="http://schemas.openxmlformats.org/officeDocument/2006/relationships" r:embed="rId1"/>
        <a:stretch>
          <a:fillRect/>
        </a:stretch>
      </xdr:blipFill>
      <xdr:spPr>
        <a:xfrm>
          <a:off x="0" y="15068550"/>
          <a:ext cx="5123810" cy="4819048"/>
        </a:xfrm>
        <a:prstGeom prst="rect">
          <a:avLst/>
        </a:prstGeom>
      </xdr:spPr>
    </xdr:pic>
    <xdr:clientData/>
  </xdr:twoCellAnchor>
  <xdr:twoCellAnchor editAs="oneCell">
    <xdr:from>
      <xdr:col>8</xdr:col>
      <xdr:colOff>76200</xdr:colOff>
      <xdr:row>31</xdr:row>
      <xdr:rowOff>19050</xdr:rowOff>
    </xdr:from>
    <xdr:to>
      <xdr:col>15</xdr:col>
      <xdr:colOff>158</xdr:colOff>
      <xdr:row>54</xdr:row>
      <xdr:rowOff>161415</xdr:rowOff>
    </xdr:to>
    <xdr:pic>
      <xdr:nvPicPr>
        <xdr:cNvPr id="3" name="图片 2">
          <a:extLst>
            <a:ext uri="{FF2B5EF4-FFF2-40B4-BE49-F238E27FC236}">
              <a16:creationId xmlns:a16="http://schemas.microsoft.com/office/drawing/2014/main" xmlns="" id="{00000000-0008-0000-2800-000003000000}"/>
            </a:ext>
          </a:extLst>
        </xdr:cNvPr>
        <xdr:cNvPicPr>
          <a:picLocks noChangeAspect="1"/>
        </xdr:cNvPicPr>
      </xdr:nvPicPr>
      <xdr:blipFill>
        <a:blip xmlns:r="http://schemas.openxmlformats.org/officeDocument/2006/relationships" r:embed="rId2"/>
        <a:stretch>
          <a:fillRect/>
        </a:stretch>
      </xdr:blipFill>
      <xdr:spPr>
        <a:xfrm>
          <a:off x="5619750" y="18097500"/>
          <a:ext cx="9619048" cy="4085715"/>
        </a:xfrm>
        <a:prstGeom prst="rect">
          <a:avLst/>
        </a:prstGeom>
      </xdr:spPr>
    </xdr:pic>
    <xdr:clientData/>
  </xdr:twoCellAnchor>
  <xdr:twoCellAnchor editAs="oneCell">
    <xdr:from>
      <xdr:col>7</xdr:col>
      <xdr:colOff>371475</xdr:colOff>
      <xdr:row>14</xdr:row>
      <xdr:rowOff>0</xdr:rowOff>
    </xdr:from>
    <xdr:to>
      <xdr:col>13</xdr:col>
      <xdr:colOff>517070</xdr:colOff>
      <xdr:row>30</xdr:row>
      <xdr:rowOff>152400</xdr:rowOff>
    </xdr:to>
    <xdr:pic>
      <xdr:nvPicPr>
        <xdr:cNvPr id="4" name="图片 3">
          <a:extLst>
            <a:ext uri="{FF2B5EF4-FFF2-40B4-BE49-F238E27FC236}">
              <a16:creationId xmlns:a16="http://schemas.microsoft.com/office/drawing/2014/main" xmlns="" id="{00000000-0008-0000-2800-000004000000}"/>
            </a:ext>
          </a:extLst>
        </xdr:cNvPr>
        <xdr:cNvPicPr>
          <a:picLocks noChangeAspect="1"/>
        </xdr:cNvPicPr>
      </xdr:nvPicPr>
      <xdr:blipFill>
        <a:blip xmlns:r="http://schemas.openxmlformats.org/officeDocument/2006/relationships" r:embed="rId3"/>
        <a:stretch>
          <a:fillRect/>
        </a:stretch>
      </xdr:blipFill>
      <xdr:spPr>
        <a:xfrm>
          <a:off x="5229225" y="15411450"/>
          <a:ext cx="5165270" cy="2781300"/>
        </a:xfrm>
        <a:prstGeom prst="rect">
          <a:avLst/>
        </a:prstGeom>
      </xdr:spPr>
    </xdr:pic>
    <xdr:clientData/>
  </xdr:twoCellAnchor>
  <xdr:twoCellAnchor editAs="oneCell">
    <xdr:from>
      <xdr:col>0</xdr:col>
      <xdr:colOff>0</xdr:colOff>
      <xdr:row>42</xdr:row>
      <xdr:rowOff>0</xdr:rowOff>
    </xdr:from>
    <xdr:to>
      <xdr:col>9</xdr:col>
      <xdr:colOff>694460</xdr:colOff>
      <xdr:row>69</xdr:row>
      <xdr:rowOff>47041</xdr:rowOff>
    </xdr:to>
    <xdr:pic>
      <xdr:nvPicPr>
        <xdr:cNvPr id="5" name="图片 4">
          <a:extLst>
            <a:ext uri="{FF2B5EF4-FFF2-40B4-BE49-F238E27FC236}">
              <a16:creationId xmlns:a16="http://schemas.microsoft.com/office/drawing/2014/main" xmlns="" id="{00000000-0008-0000-2800-000005000000}"/>
            </a:ext>
          </a:extLst>
        </xdr:cNvPr>
        <xdr:cNvPicPr>
          <a:picLocks noChangeAspect="1"/>
        </xdr:cNvPicPr>
      </xdr:nvPicPr>
      <xdr:blipFill>
        <a:blip xmlns:r="http://schemas.openxmlformats.org/officeDocument/2006/relationships" r:embed="rId4"/>
        <a:stretch>
          <a:fillRect/>
        </a:stretch>
      </xdr:blipFill>
      <xdr:spPr>
        <a:xfrm>
          <a:off x="0" y="20097750"/>
          <a:ext cx="6923810" cy="4676191"/>
        </a:xfrm>
        <a:prstGeom prst="rect">
          <a:avLst/>
        </a:prstGeom>
      </xdr:spPr>
    </xdr:pic>
    <xdr:clientData/>
  </xdr:twoCellAnchor>
  <xdr:twoCellAnchor editAs="oneCell">
    <xdr:from>
      <xdr:col>1</xdr:col>
      <xdr:colOff>0</xdr:colOff>
      <xdr:row>73</xdr:row>
      <xdr:rowOff>0</xdr:rowOff>
    </xdr:from>
    <xdr:to>
      <xdr:col>7</xdr:col>
      <xdr:colOff>142338</xdr:colOff>
      <xdr:row>96</xdr:row>
      <xdr:rowOff>56650</xdr:rowOff>
    </xdr:to>
    <xdr:pic>
      <xdr:nvPicPr>
        <xdr:cNvPr id="6" name="图片 5"/>
        <xdr:cNvPicPr>
          <a:picLocks noChangeAspect="1"/>
        </xdr:cNvPicPr>
      </xdr:nvPicPr>
      <xdr:blipFill>
        <a:blip xmlns:r="http://schemas.openxmlformats.org/officeDocument/2006/relationships" r:embed="rId5"/>
        <a:stretch>
          <a:fillRect/>
        </a:stretch>
      </xdr:blipFill>
      <xdr:spPr>
        <a:xfrm>
          <a:off x="704850" y="25412700"/>
          <a:ext cx="4295238" cy="4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15</xdr:col>
      <xdr:colOff>370039</xdr:colOff>
      <xdr:row>17</xdr:row>
      <xdr:rowOff>142622</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
        <a:stretch>
          <a:fillRect/>
        </a:stretch>
      </xdr:blipFill>
      <xdr:spPr>
        <a:xfrm>
          <a:off x="2667000" y="1885950"/>
          <a:ext cx="11495239" cy="20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5151;&#23627;&#21450;&#38468;&#23646;&#29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沥青厂"/>
      <sheetName val="系统读取表"/>
      <sheetName val="分值"/>
      <sheetName val="附属物"/>
      <sheetName val="无证房屋汇总表"/>
      <sheetName val="Sheet1"/>
    </sheetNames>
    <sheetDataSet>
      <sheetData sheetId="0"/>
      <sheetData sheetId="1"/>
      <sheetData sheetId="2"/>
      <sheetData sheetId="3"/>
      <sheetData sheetId="4"/>
      <sheetData sheetId="5"/>
      <sheetData sheetId="6">
        <row r="5">
          <cell r="D5">
            <v>1059.6999999999998</v>
          </cell>
          <cell r="F5">
            <v>1478076.1788000001</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北京市出让国有建设用地使用权市场价格预评估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受贵公司委托，我公司对北京市出让国有建设用地使用权市场价格进行了预评估。</v>
      </c>
      <c r="AM6" s="2619"/>
    </row>
    <row r="7" spans="1:55" s="2593" customFormat="1">
      <c r="A7" s="2594" t="s">
        <v>2638</v>
      </c>
      <c r="B7" s="2595" t="str">
        <f>'预评函-1'!A6</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本次评估为委托估价方了解标的物之市场价格提供参考依据而评估出让国有建设用地使用权市场价格。</v>
      </c>
    </row>
    <row r="10" spans="1:55" s="2593" customFormat="1">
      <c r="A10" s="2594" t="s">
        <v>2640</v>
      </c>
      <c r="B10" s="2595" t="str">
        <f>'预评函-1'!A11</f>
        <v>2021年1月5日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根据《国有土地使用证》[]，估价对象（分摊）出让国有建设用地使用权面积为44852.26平方米。根据《建设工程规划许可证》[]、《出让合同》[]，估价对象规划建筑面积为44852.26平方米。</v>
      </c>
    </row>
    <row r="16" spans="1:55" s="2593" customFormat="1">
      <c r="A16" s="2594" t="s">
        <v>2650</v>
      </c>
      <c r="B16" s="2595" t="str">
        <f>'预评函-1'!A22</f>
        <v>本次估价对象为出让国有建设用地使用权，《国有土地使用证》[]证载土地终止日期为工业2061年8月4日。截至估价期日，出让国有建设用地使用权剩余土地使用年限为。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估价期日：2021年1月5日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44852.26</v>
      </c>
    </row>
    <row r="44" spans="1:2">
      <c r="A44" s="2594" t="s">
        <v>2721</v>
      </c>
      <c r="B44" s="2595" t="str">
        <f>'预评函-2'!O3</f>
        <v>规划建筑面积/㎡</v>
      </c>
    </row>
    <row r="45" spans="1:2">
      <c r="A45" s="2594" t="s">
        <v>2703</v>
      </c>
      <c r="B45" s="2595">
        <f>'预评函-2'!O5</f>
        <v>44852.26</v>
      </c>
    </row>
    <row r="46" spans="1:2">
      <c r="A46" s="2594" t="s">
        <v>2704</v>
      </c>
      <c r="B46" s="2595">
        <f ca="1">'预评函-2'!P5</f>
        <v>1486</v>
      </c>
    </row>
    <row r="47" spans="1:2">
      <c r="A47" s="2594" t="s">
        <v>2705</v>
      </c>
      <c r="B47" s="2595">
        <f ca="1">'预评函-2'!Q5</f>
        <v>1486</v>
      </c>
    </row>
    <row r="48" spans="1:2">
      <c r="A48" s="2594" t="s">
        <v>2706</v>
      </c>
      <c r="B48" s="2595">
        <f ca="1">'预评函-2'!R5</f>
        <v>6666</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zoomScaleNormal="100" zoomScaleSheetLayoutView="70" workbookViewId="0">
      <selection activeCell="G6" sqref="G6"/>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86" t="str">
        <f>IF(B10="北京市","北京市",C10)&amp;F10&amp;B16&amp;"国有建设用地使用权"&amp;B9&amp;"预评估"</f>
        <v>北京市出让国有建设用地使用权市场价格预评估</v>
      </c>
      <c r="C1" s="3387"/>
      <c r="D1" s="3387"/>
      <c r="E1" s="3387"/>
      <c r="F1" s="3387"/>
      <c r="G1" s="3387"/>
      <c r="H1" s="3387"/>
      <c r="I1" s="3388"/>
      <c r="J1" s="3073"/>
      <c r="K1" s="2309"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c r="C3" s="2996" t="s">
        <v>1984</v>
      </c>
      <c r="D3" s="1589">
        <v>44201</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2868</v>
      </c>
      <c r="C4" s="1758">
        <f>SUMIF(土地估价师,B4,估价师及机构信息!E3:E16)</f>
        <v>0</v>
      </c>
      <c r="D4" s="1755" t="s">
        <v>2868</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3001</v>
      </c>
      <c r="C8" s="1598"/>
      <c r="D8" s="3392"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3002</v>
      </c>
      <c r="C9" s="1601"/>
      <c r="D9" s="3393"/>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3003</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89"/>
      <c r="C12" s="3390"/>
      <c r="D12" s="3391"/>
      <c r="E12" s="1620" t="s">
        <v>2050</v>
      </c>
      <c r="F12" s="3407" t="s">
        <v>2869</v>
      </c>
      <c r="G12" s="3408"/>
      <c r="H12" s="3408"/>
      <c r="I12" s="3409"/>
      <c r="J12" s="3073"/>
      <c r="K12" s="3056"/>
      <c r="L12" s="3052"/>
      <c r="M12" s="3052"/>
      <c r="N12" s="3053"/>
      <c r="O12" s="3054"/>
      <c r="P12" s="3053"/>
      <c r="Q12" s="3053"/>
      <c r="R12" s="3053"/>
      <c r="S12" s="3053"/>
      <c r="T12" s="3053"/>
      <c r="U12" s="3053"/>
    </row>
    <row r="13" spans="1:21">
      <c r="A13" s="1611" t="s">
        <v>2048</v>
      </c>
      <c r="B13" s="3389"/>
      <c r="C13" s="3390"/>
      <c r="D13" s="3391"/>
      <c r="E13" s="1620" t="s">
        <v>2050</v>
      </c>
      <c r="F13" s="3407" t="s">
        <v>2870</v>
      </c>
      <c r="G13" s="3408"/>
      <c r="H13" s="3408"/>
      <c r="I13" s="3409"/>
      <c r="J13" s="3073"/>
      <c r="K13" s="3056"/>
      <c r="L13" s="3052"/>
      <c r="M13" s="3052"/>
      <c r="N13" s="3053"/>
      <c r="O13" s="3054"/>
      <c r="P13" s="3053"/>
      <c r="Q13" s="3053"/>
      <c r="R13" s="3053"/>
      <c r="S13" s="3053"/>
      <c r="T13" s="3053"/>
      <c r="U13" s="3053"/>
    </row>
    <row r="14" spans="1:21">
      <c r="A14" s="1588" t="s">
        <v>2051</v>
      </c>
      <c r="B14" s="1620"/>
      <c r="C14" s="1757" t="s">
        <v>3004</v>
      </c>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ht="28.5">
      <c r="A16" s="3001" t="s">
        <v>1936</v>
      </c>
      <c r="B16" s="1606" t="s">
        <v>3001</v>
      </c>
      <c r="C16" s="1620" t="s">
        <v>1937</v>
      </c>
      <c r="D16" s="2487" t="s">
        <v>1938</v>
      </c>
      <c r="E16" s="1642"/>
      <c r="F16" s="1642"/>
      <c r="G16" s="1642"/>
      <c r="H16" s="1642"/>
      <c r="I16" s="1610" t="s">
        <v>1943</v>
      </c>
      <c r="J16" s="3073"/>
      <c r="K16" s="2310" t="str">
        <f>IF(D17="","",D16&amp;TEXT(D17,"yyyy年m月d日;;"))</f>
        <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工业2061年8月4日</v>
      </c>
    </row>
    <row r="17" spans="1:21">
      <c r="A17" s="1679"/>
      <c r="B17" s="1607"/>
      <c r="C17" s="3002" t="s">
        <v>1944</v>
      </c>
      <c r="D17" s="3277"/>
      <c r="E17" s="3277"/>
      <c r="F17" s="3277"/>
      <c r="G17" s="3277"/>
      <c r="H17" s="3277"/>
      <c r="I17" s="3277">
        <v>59022</v>
      </c>
      <c r="J17" s="3073"/>
      <c r="K17" s="3051" t="str">
        <f>CONCATENATE(K16,L16,M16,N16,O16,P16,Q16,R16,S16,T16,,U16)</f>
        <v>工业2061年8月4日</v>
      </c>
      <c r="L17" s="3052"/>
      <c r="M17" s="3052"/>
      <c r="N17" s="3053"/>
      <c r="O17" s="3054"/>
      <c r="P17" s="3053"/>
      <c r="Q17" s="3053"/>
      <c r="R17" s="3053"/>
      <c r="S17" s="3053"/>
      <c r="T17" s="3053"/>
      <c r="U17" s="3053"/>
    </row>
    <row r="18" spans="1:21">
      <c r="A18" s="1679"/>
      <c r="B18" s="1607"/>
      <c r="C18" s="3002" t="s">
        <v>1945</v>
      </c>
      <c r="D18" s="1608"/>
      <c r="E18" s="1608"/>
      <c r="F18" s="1608"/>
      <c r="G18" s="1608"/>
      <c r="H18" s="1608"/>
      <c r="I18" s="1608">
        <v>50</v>
      </c>
      <c r="J18" s="3073"/>
      <c r="K18" s="3056"/>
      <c r="L18" s="3052"/>
      <c r="M18" s="3052"/>
      <c r="N18" s="3053"/>
      <c r="O18" s="3054"/>
      <c r="P18" s="3053"/>
      <c r="Q18" s="3053"/>
      <c r="R18" s="3053"/>
      <c r="S18" s="3053"/>
      <c r="T18" s="3053"/>
      <c r="U18" s="3053"/>
    </row>
    <row r="19" spans="1:21">
      <c r="A19" s="1679"/>
      <c r="B19" s="1607"/>
      <c r="C19" s="1587" t="s">
        <v>1946</v>
      </c>
      <c r="D19" s="1674" t="str">
        <f>IF(B16="出让",IF(D17="","",ROUNDDOWN(MIN((D17-$D$3)/365,D18),2)),D18)</f>
        <v/>
      </c>
      <c r="E19" s="1609" t="str">
        <f>IF(B16="出让",IF(E17="","",ROUNDDOWN(MIN((E17-$D$3)/365,E18),2)),E18)</f>
        <v/>
      </c>
      <c r="F19" s="1609" t="str">
        <f>IF(B16="出让",IF(F17="","",ROUNDDOWN(MIN((F17-$D$3)/365,F18),2)),F18)</f>
        <v/>
      </c>
      <c r="G19" s="1609" t="str">
        <f>IF(B16="出让",IF(G17="","",ROUNDDOWN(MIN((G17-$D$3)/365,G18),2)),G18)</f>
        <v/>
      </c>
      <c r="H19" s="1609" t="str">
        <f>IF(B16="出让",IF(H17="","",ROUNDDOWN(MIN((H17-$D$3)/365,H18),2)),H18)</f>
        <v/>
      </c>
      <c r="I19" s="1609">
        <f>IF(B16="出让",IF(I17="","",ROUNDDOWN(MIN((I17-$D$3)/365,I18),2)),I18)</f>
        <v>40.6</v>
      </c>
      <c r="J19" s="3073"/>
      <c r="K19" s="3056"/>
      <c r="L19" s="3052"/>
      <c r="M19" s="3052"/>
      <c r="N19" s="3053"/>
      <c r="O19" s="3054"/>
      <c r="P19" s="3053"/>
      <c r="Q19" s="3053"/>
      <c r="R19" s="3053"/>
      <c r="S19" s="3053"/>
      <c r="T19" s="3053"/>
      <c r="U19" s="3053"/>
    </row>
    <row r="20" spans="1:21">
      <c r="A20" s="1699"/>
      <c r="B20" s="1700"/>
      <c r="C20" s="1701" t="s">
        <v>2049</v>
      </c>
      <c r="D20" s="3404"/>
      <c r="E20" s="3405"/>
      <c r="F20" s="3405"/>
      <c r="G20" s="3405"/>
      <c r="H20" s="3405"/>
      <c r="I20" s="3406"/>
      <c r="J20" s="3073"/>
      <c r="K20" s="3056"/>
      <c r="L20" s="3052"/>
      <c r="M20" s="3052"/>
      <c r="N20" s="3053"/>
      <c r="O20" s="3054"/>
      <c r="P20" s="3053"/>
      <c r="Q20" s="3053"/>
      <c r="R20" s="3053"/>
      <c r="S20" s="3053"/>
      <c r="T20" s="3053"/>
      <c r="U20" s="3053"/>
    </row>
    <row r="21" spans="1:21">
      <c r="A21" s="1679" t="s">
        <v>1947</v>
      </c>
      <c r="B21" s="1680" t="s">
        <v>1948</v>
      </c>
      <c r="C21" s="1675">
        <f>'数据-汇总表'!E3</f>
        <v>44852.26</v>
      </c>
      <c r="D21" s="1676" t="s">
        <v>1949</v>
      </c>
      <c r="E21" s="3394" t="s">
        <v>1987</v>
      </c>
      <c r="F21" s="3395"/>
      <c r="G21" s="3395"/>
      <c r="H21" s="3395"/>
      <c r="I21" s="3396"/>
      <c r="J21" s="3073"/>
      <c r="K21" s="3056"/>
      <c r="L21" s="3052"/>
      <c r="M21" s="3052"/>
      <c r="N21" s="3053"/>
      <c r="O21" s="3054"/>
      <c r="P21" s="3053"/>
      <c r="Q21" s="3053"/>
      <c r="R21" s="3053"/>
      <c r="S21" s="3053"/>
      <c r="T21" s="3053"/>
      <c r="U21" s="3053"/>
    </row>
    <row r="22" spans="1:21">
      <c r="A22" s="2801" t="s">
        <v>943</v>
      </c>
      <c r="B22" s="1588" t="s">
        <v>1950</v>
      </c>
      <c r="C22" s="1610">
        <f>'数据-汇总表'!D3</f>
        <v>44852.26</v>
      </c>
      <c r="D22" s="1611" t="s">
        <v>1949</v>
      </c>
      <c r="E22" s="3394" t="s">
        <v>2871</v>
      </c>
      <c r="F22" s="3395"/>
      <c r="G22" s="3395"/>
      <c r="H22" s="3395"/>
      <c r="I22" s="3396"/>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97" t="s">
        <v>1955</v>
      </c>
      <c r="C24" s="3398"/>
      <c r="D24" s="3399" t="s">
        <v>1956</v>
      </c>
      <c r="E24" s="3400"/>
      <c r="F24" s="1628" t="s">
        <v>1957</v>
      </c>
      <c r="G24" s="3073"/>
      <c r="H24" s="3073"/>
      <c r="I24" s="3077"/>
      <c r="J24" s="3073"/>
      <c r="K24" s="3385"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85"/>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85"/>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412" t="s">
        <v>1990</v>
      </c>
      <c r="B31" s="1680" t="s">
        <v>1991</v>
      </c>
      <c r="C31" s="3410"/>
      <c r="D31" s="3411"/>
      <c r="E31" s="3073"/>
      <c r="F31" s="3073"/>
      <c r="G31" s="3073"/>
      <c r="H31" s="3073"/>
      <c r="I31" s="3077"/>
      <c r="J31" s="3073"/>
      <c r="K31" s="3059"/>
      <c r="L31" s="3053"/>
      <c r="M31" s="3053"/>
      <c r="N31" s="3053"/>
      <c r="O31" s="3053"/>
      <c r="P31" s="3053"/>
      <c r="Q31" s="3053"/>
      <c r="R31" s="3053"/>
      <c r="S31" s="3053"/>
      <c r="T31" s="3053"/>
      <c r="U31" s="3053"/>
    </row>
    <row r="32" spans="1:21">
      <c r="A32" s="3412"/>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412"/>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413"/>
      <c r="B34" s="1588" t="s">
        <v>1994</v>
      </c>
      <c r="C34" s="3414"/>
      <c r="D34" s="3415"/>
      <c r="E34" s="3073"/>
      <c r="F34" s="3073"/>
      <c r="G34" s="3073"/>
      <c r="H34" s="3073"/>
      <c r="I34" s="3077"/>
      <c r="J34" s="3073"/>
      <c r="K34" s="3059"/>
      <c r="L34" s="3053"/>
      <c r="M34" s="3053"/>
      <c r="N34" s="3053"/>
      <c r="O34" s="3053"/>
      <c r="P34" s="3053"/>
      <c r="Q34" s="3053"/>
      <c r="R34" s="3053"/>
      <c r="S34" s="3053"/>
      <c r="T34" s="3053"/>
      <c r="U34" s="3053"/>
    </row>
    <row r="35" spans="1:28">
      <c r="A35" s="3416" t="s">
        <v>839</v>
      </c>
      <c r="B35" s="1642"/>
      <c r="C35" s="1689" t="str">
        <f>IF(B35="场地平整","——","具体情况：")</f>
        <v>具体情况：</v>
      </c>
      <c r="D35" s="3418"/>
      <c r="E35" s="3419"/>
      <c r="F35" s="3419"/>
      <c r="G35" s="3419"/>
      <c r="H35" s="3419"/>
      <c r="I35" s="3420"/>
      <c r="J35" s="3073"/>
      <c r="K35" s="3060"/>
      <c r="L35" s="3052"/>
      <c r="M35" s="3052"/>
      <c r="N35" s="3053"/>
      <c r="O35" s="3054"/>
      <c r="P35" s="3053"/>
      <c r="Q35" s="3053"/>
      <c r="R35" s="3053"/>
      <c r="S35" s="3053"/>
      <c r="T35" s="3053"/>
      <c r="U35" s="3053"/>
    </row>
    <row r="36" spans="1:28">
      <c r="A36" s="3412"/>
      <c r="B36" s="3421" t="s">
        <v>2043</v>
      </c>
      <c r="C36" s="3422"/>
      <c r="D36" s="1705"/>
      <c r="E36" s="3423"/>
      <c r="F36" s="3423"/>
      <c r="G36" s="1611" t="str">
        <f>IF(B35="场地未平整","估价结果处理","")</f>
        <v/>
      </c>
      <c r="H36" s="3424"/>
      <c r="I36" s="3424"/>
      <c r="J36" s="3073"/>
      <c r="K36" s="3060"/>
      <c r="L36" s="3052"/>
      <c r="M36" s="3052"/>
      <c r="N36" s="3053"/>
      <c r="O36" s="3054"/>
      <c r="P36" s="3053"/>
      <c r="Q36" s="3053"/>
      <c r="R36" s="3053"/>
      <c r="S36" s="3053"/>
      <c r="T36" s="3053"/>
      <c r="U36" s="3053"/>
    </row>
    <row r="37" spans="1:28" ht="28.5">
      <c r="A37" s="3412"/>
      <c r="B37" s="3401"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412"/>
      <c r="B38" s="3402"/>
      <c r="C38" s="1596" t="s">
        <v>842</v>
      </c>
      <c r="D38" s="1704">
        <f>ROUNDDOWN(MIN(('数据-取费表'!$B$2-D37)/365,D34),1)</f>
        <v>121</v>
      </c>
      <c r="E38" s="1647" t="s">
        <v>843</v>
      </c>
      <c r="F38" s="3073"/>
      <c r="G38" s="3073"/>
      <c r="H38" s="3073"/>
      <c r="I38" s="3077"/>
      <c r="J38" s="3073"/>
      <c r="K38" s="3060"/>
      <c r="L38" s="3053"/>
      <c r="M38" s="3053"/>
      <c r="N38" s="3053"/>
      <c r="O38" s="3053"/>
      <c r="P38" s="3053"/>
      <c r="Q38" s="3053"/>
      <c r="R38" s="3053"/>
      <c r="S38" s="3053"/>
      <c r="T38" s="3053"/>
      <c r="U38" s="3053"/>
    </row>
    <row r="39" spans="1:28">
      <c r="A39" s="3413"/>
      <c r="B39" s="3403"/>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84" t="s">
        <v>1974</v>
      </c>
      <c r="T40" s="1651" t="str">
        <f>NUMBERSTRING(7-K40,1)&amp;"通"</f>
        <v>七通</v>
      </c>
      <c r="U40" s="3053"/>
    </row>
    <row r="41" spans="1:28">
      <c r="A41" s="1590"/>
      <c r="B41" s="3417" t="s">
        <v>1712</v>
      </c>
      <c r="C41" s="3417"/>
      <c r="D41" s="3417"/>
      <c r="E41" s="3417"/>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84"/>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t="s">
        <v>3007</v>
      </c>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t="s">
        <v>1187</v>
      </c>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2872</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28" sqref="A2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44852.26</v>
      </c>
      <c r="B3" s="22">
        <f>IF(C3="否",G5-AT5,G5)</f>
        <v>44852.26</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44852.26</v>
      </c>
      <c r="H5" s="27">
        <f t="shared" ref="H5:AT5" si="0">SUM(H13:H641)</f>
        <v>44852.26</v>
      </c>
      <c r="I5" s="27">
        <f t="shared" si="0"/>
        <v>44852.26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44852.26</v>
      </c>
      <c r="BA5" s="29">
        <f t="shared" si="1"/>
        <v>44852.26</v>
      </c>
      <c r="BB5" s="29">
        <f t="shared" si="1"/>
        <v>44852.26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44852.26</v>
      </c>
      <c r="F6" s="27" t="s">
        <v>1</v>
      </c>
      <c r="G6" s="27" t="s">
        <v>2</v>
      </c>
      <c r="H6" s="33">
        <f>SUMIF(I$12:AB$12,"总值",I6:AB6)</f>
        <v>44852.26</v>
      </c>
      <c r="I6" s="27">
        <f t="shared" ref="I6:AB6" si="2">ROUND($A$3*I5/$B$3,2)</f>
        <v>44852.26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44852.26</v>
      </c>
      <c r="AZ6" s="27" t="s">
        <v>3</v>
      </c>
      <c r="BA6" s="27">
        <f>ROUND($AY$6*BA5/$AZ$5,2)</f>
        <v>44852.26</v>
      </c>
      <c r="BB6" s="27">
        <f>ROUND($AY$6*BB5/$AZ$5,2)</f>
        <v>44852.26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3005</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972</v>
      </c>
      <c r="J10" s="51"/>
      <c r="K10" s="2733"/>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t="s">
        <v>3006</v>
      </c>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标准厂房</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44852.26</v>
      </c>
      <c r="F13" s="81"/>
      <c r="G13" s="82">
        <f t="shared" ref="G13:G20" si="7">H13+AC13+AT13</f>
        <v>44852.26</v>
      </c>
      <c r="H13" s="33">
        <f t="shared" ref="H13:H20" si="8">SUMIF(I$12:AB$12,"总值",I13:AB13)</f>
        <v>44852.26</v>
      </c>
      <c r="I13" s="3280">
        <f>A3</f>
        <v>44852.26</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44852.26</v>
      </c>
      <c r="AZ13" s="27">
        <f t="shared" ref="AZ13:AZ20" si="12">BA13+BL13</f>
        <v>44852.26</v>
      </c>
      <c r="BA13" s="27">
        <f t="shared" ref="BA13:BA20" si="13">SUM(BB13:BK13)</f>
        <v>44852.26</v>
      </c>
      <c r="BB13" s="27">
        <f t="shared" ref="BB13:BB20" si="14">IF($D13="是",I13-J13,0)</f>
        <v>44852.26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25" t="s">
        <v>0</v>
      </c>
      <c r="B1" s="3425" t="s">
        <v>4</v>
      </c>
      <c r="C1" s="3425" t="s">
        <v>5</v>
      </c>
      <c r="D1" s="3426" t="s">
        <v>40</v>
      </c>
      <c r="E1" s="3426" t="s">
        <v>41</v>
      </c>
      <c r="F1" s="3426"/>
      <c r="G1" s="3426"/>
      <c r="H1" s="3426"/>
      <c r="I1" s="3426"/>
      <c r="J1" s="3426"/>
      <c r="K1" s="3426"/>
      <c r="L1" s="3426"/>
      <c r="M1" s="3426"/>
    </row>
    <row r="2" spans="1:13" ht="27" customHeight="1">
      <c r="A2" s="3425"/>
      <c r="B2" s="3425"/>
      <c r="C2" s="3425"/>
      <c r="D2" s="3426"/>
      <c r="E2" s="3426" t="s">
        <v>24</v>
      </c>
      <c r="F2" s="3426" t="s">
        <v>25</v>
      </c>
      <c r="G2" s="3426"/>
      <c r="H2" s="3426"/>
      <c r="I2" s="3426"/>
      <c r="J2" s="3426" t="s">
        <v>26</v>
      </c>
      <c r="K2" s="3426"/>
      <c r="L2" s="3426"/>
      <c r="M2" s="3426"/>
    </row>
    <row r="3" spans="1:13" ht="28.5">
      <c r="A3" s="3425"/>
      <c r="B3" s="3425"/>
      <c r="C3" s="3425"/>
      <c r="D3" s="3426"/>
      <c r="E3" s="342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26" t="s">
        <v>42</v>
      </c>
      <c r="B9" s="3426"/>
      <c r="C9" s="342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70" zoomScaleSheetLayoutView="100" workbookViewId="0">
      <selection activeCell="C20" sqref="C20"/>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36" t="s">
        <v>203</v>
      </c>
      <c r="B2" s="3436"/>
      <c r="C2" s="3436"/>
      <c r="D2" s="1888" t="s">
        <v>204</v>
      </c>
      <c r="E2" s="106" t="s">
        <v>205</v>
      </c>
      <c r="F2" s="3082"/>
      <c r="G2" s="1181"/>
      <c r="H2" s="1182"/>
      <c r="I2" s="1183" t="s">
        <v>849</v>
      </c>
      <c r="J2" s="3082"/>
      <c r="K2" s="3082"/>
      <c r="L2" s="3082"/>
      <c r="M2" s="3082"/>
      <c r="N2" s="3082"/>
      <c r="O2" s="3082"/>
      <c r="P2" s="3082"/>
    </row>
    <row r="3" spans="1:16" ht="15.75" thickBot="1">
      <c r="A3" s="3437" t="s">
        <v>206</v>
      </c>
      <c r="B3" s="3437"/>
      <c r="C3" s="3437"/>
      <c r="D3" s="107">
        <f>'数据-基础表'!AY6</f>
        <v>44852.26</v>
      </c>
      <c r="E3" s="107">
        <f>'数据-基础表'!AZ5</f>
        <v>44852.26</v>
      </c>
      <c r="F3" s="3082"/>
      <c r="G3" s="278" t="s">
        <v>850</v>
      </c>
      <c r="H3" s="273" t="s">
        <v>851</v>
      </c>
      <c r="I3" s="1889">
        <f>ROUND('数据-基础表'!B3/'数据-基础表'!A3,2)</f>
        <v>1</v>
      </c>
      <c r="J3" s="3082"/>
      <c r="K3" s="3082"/>
      <c r="L3" s="3082"/>
      <c r="M3" s="3082"/>
      <c r="N3" s="3082"/>
      <c r="O3" s="3082"/>
      <c r="P3" s="3082"/>
    </row>
    <row r="4" spans="1:16" ht="15">
      <c r="A4" s="3438"/>
      <c r="B4" s="3439"/>
      <c r="C4" s="3440"/>
      <c r="D4" s="108" t="s">
        <v>204</v>
      </c>
      <c r="E4" s="109" t="s">
        <v>205</v>
      </c>
      <c r="F4" s="3082"/>
      <c r="G4" s="1184"/>
      <c r="H4" s="273" t="s">
        <v>852</v>
      </c>
      <c r="I4" s="1889">
        <f>ROUND(SUMIF('数据-基础表'!I9:AS9,"地上",'数据-基础表'!I5:AS5)/'数据-基础表'!A3,2)</f>
        <v>1</v>
      </c>
      <c r="J4" s="3082"/>
      <c r="K4" s="3082"/>
      <c r="L4" s="3082"/>
      <c r="M4" s="3082"/>
      <c r="N4" s="3082"/>
      <c r="O4" s="3082"/>
      <c r="P4" s="3082"/>
    </row>
    <row r="5" spans="1:16">
      <c r="A5" s="110" t="s">
        <v>207</v>
      </c>
      <c r="B5" s="3441" t="s">
        <v>230</v>
      </c>
      <c r="C5" s="3441"/>
      <c r="D5" s="111">
        <f>ROUND($D$3*E5/$E$3,2)</f>
        <v>0</v>
      </c>
      <c r="E5" s="112">
        <f>SUMIF('数据-基础表'!$11:$11,"住宅",'数据-基础表'!$5:$5)</f>
        <v>0</v>
      </c>
      <c r="F5" s="3082"/>
      <c r="G5" s="278" t="s">
        <v>853</v>
      </c>
      <c r="H5" s="273" t="s">
        <v>851</v>
      </c>
      <c r="I5" s="1889">
        <f>ROUND(E31/D31,2)</f>
        <v>1</v>
      </c>
      <c r="J5" s="3082"/>
      <c r="K5" s="3082"/>
      <c r="L5" s="3082"/>
      <c r="M5" s="3082"/>
      <c r="N5" s="3082"/>
      <c r="O5" s="3082"/>
      <c r="P5" s="3082"/>
    </row>
    <row r="6" spans="1:16" ht="15" thickBot="1">
      <c r="A6" s="113"/>
      <c r="B6" s="3441" t="s">
        <v>208</v>
      </c>
      <c r="C6" s="3441"/>
      <c r="D6" s="111">
        <f>ROUND($D$3*E6/$E$3,2)</f>
        <v>44852.26</v>
      </c>
      <c r="E6" s="112">
        <f>E3-E5</f>
        <v>44852.26</v>
      </c>
      <c r="F6" s="3082"/>
      <c r="G6" s="1184"/>
      <c r="H6" s="273" t="s">
        <v>852</v>
      </c>
      <c r="I6" s="1889">
        <f>ROUND(F31/D31,2)</f>
        <v>1</v>
      </c>
      <c r="J6" s="3082"/>
      <c r="K6" s="3082"/>
      <c r="L6" s="3082"/>
      <c r="M6" s="3082"/>
      <c r="N6" s="3082"/>
      <c r="O6" s="3082"/>
      <c r="P6" s="3082"/>
    </row>
    <row r="7" spans="1:16" ht="15">
      <c r="A7" s="3433"/>
      <c r="B7" s="3434"/>
      <c r="C7" s="3435"/>
      <c r="D7" s="108" t="s">
        <v>204</v>
      </c>
      <c r="E7" s="114" t="s">
        <v>231</v>
      </c>
      <c r="F7" s="3082"/>
      <c r="G7" s="1139" t="s">
        <v>1636</v>
      </c>
      <c r="H7" s="1140"/>
      <c r="I7" s="1759">
        <v>4</v>
      </c>
      <c r="J7" s="3082"/>
      <c r="K7" s="3082"/>
      <c r="L7" s="3082"/>
      <c r="M7" s="3082"/>
      <c r="N7" s="3082"/>
      <c r="O7" s="3082"/>
      <c r="P7" s="3082"/>
    </row>
    <row r="8" spans="1:16">
      <c r="A8" s="110" t="s">
        <v>209</v>
      </c>
      <c r="B8" s="115" t="s">
        <v>210</v>
      </c>
      <c r="C8" s="111" t="s">
        <v>211</v>
      </c>
      <c r="D8" s="111">
        <f t="shared" ref="D8:D15" si="0">ROUND($D$3*E8/$E$3,2)</f>
        <v>44852.26</v>
      </c>
      <c r="E8" s="116">
        <f>SUMIF('数据-基础表'!BB10:BK10,"地上",'数据-基础表'!BB5:BK5)</f>
        <v>44852.26</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44852.26</v>
      </c>
      <c r="E16" s="120">
        <f>SUM(E8:E15)</f>
        <v>44852.26</v>
      </c>
      <c r="F16" s="3082"/>
      <c r="G16" s="3083"/>
      <c r="H16" s="956" t="s">
        <v>219</v>
      </c>
      <c r="I16" s="957"/>
      <c r="J16" s="1897"/>
      <c r="K16" s="3427" t="s">
        <v>2548</v>
      </c>
      <c r="L16" s="3428"/>
      <c r="M16" s="3428"/>
      <c r="N16" s="3428"/>
      <c r="O16" s="3428"/>
      <c r="P16" s="3429"/>
    </row>
    <row r="17" spans="1:19" ht="15">
      <c r="A17" s="121" t="s">
        <v>216</v>
      </c>
      <c r="B17" s="122" t="s">
        <v>217</v>
      </c>
      <c r="C17" s="2177" t="s">
        <v>2301</v>
      </c>
      <c r="D17" s="108" t="s">
        <v>204</v>
      </c>
      <c r="E17" s="124" t="s">
        <v>205</v>
      </c>
      <c r="F17" s="125"/>
      <c r="G17" s="1319"/>
      <c r="H17" s="958" t="s">
        <v>218</v>
      </c>
      <c r="I17" s="959" t="s">
        <v>2300</v>
      </c>
      <c r="J17" s="1897"/>
      <c r="K17" s="3430" t="s">
        <v>2549</v>
      </c>
      <c r="L17" s="3431"/>
      <c r="M17" s="3432"/>
      <c r="N17" s="3430" t="s">
        <v>2550</v>
      </c>
      <c r="O17" s="3431"/>
      <c r="P17" s="3432"/>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3072</v>
      </c>
      <c r="D19" s="111">
        <f t="shared" ref="D19:D26" si="1">ROUND($D$3*E19/$E$3,2)</f>
        <v>44852.26</v>
      </c>
      <c r="E19" s="134">
        <f t="shared" ref="E19:E26" si="2">SUM(F19:G19)</f>
        <v>44852.26</v>
      </c>
      <c r="F19" s="3084">
        <f>'数据-基础表'!I13</f>
        <v>44852.26</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44852.26</v>
      </c>
      <c r="S19" s="2180">
        <f t="shared" si="5"/>
        <v>44852.26</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44852.26</v>
      </c>
      <c r="E27" s="141">
        <f>IF(SUM(E19:E26)='数据-基础表'!BA5,SUM(E19:E26),IF(F27="地上面积有误","面积有误","地下面积有误"))</f>
        <v>44852.26</v>
      </c>
      <c r="F27" s="134">
        <f>IF(SUM(F19:F26)=E8,SUM(F19:F26),"地上面积有误")</f>
        <v>44852.26</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44852.26</v>
      </c>
      <c r="S27" s="273">
        <f>IF(SUM(S19:S26)=$E$3,SUM(S19:S26),SUM(S19:S26)&amp;"误差"&amp;ROUND(SUM(S19:S26)-E3,2))</f>
        <v>44852.26</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44852.26</v>
      </c>
      <c r="E31" s="1323">
        <f>E27+E30</f>
        <v>44852.26</v>
      </c>
      <c r="F31" s="1324">
        <f>F27+F30</f>
        <v>44852.26</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I6" sqref="I6"/>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44201</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2973</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工业</v>
      </c>
      <c r="B6" s="2216" t="str">
        <f>IF(A6=0,"","经营性")</f>
        <v>经营性</v>
      </c>
      <c r="C6" s="171" t="s">
        <v>972</v>
      </c>
      <c r="D6" s="2187">
        <f>SUMIF(项目基本情况!D$15:I$15,C6,项目基本情况!D$18:I$18)</f>
        <v>50</v>
      </c>
      <c r="E6" s="2188">
        <f>IF(B6="","",SUMIF(项目基本情况!D$15:I$15,C6,项目基本情况!D$17:I$17))</f>
        <v>59022</v>
      </c>
      <c r="F6" s="172">
        <f>SUMIF(项目基本情况!D$15:I$15,C6,项目基本情况!D$19:I$19)</f>
        <v>40.6</v>
      </c>
      <c r="G6" s="173">
        <f>IF(ISERROR(ROUND(POWER(1+H6,D6-F6)*(POWER(1+H6,F6)-1)/(POWER(1+H6,D6)-1),3)),0,ROUND(POWER(1+H6,D6-F6)*(POWER(1+H6,F6)-1)/(POWER(1+H6,D6)-1),3))</f>
        <v>0.94099999999999995</v>
      </c>
      <c r="H6" s="2738">
        <v>4.8000000000000001E-2</v>
      </c>
      <c r="I6" s="2738">
        <v>0.05</v>
      </c>
      <c r="J6" s="174"/>
      <c r="K6" s="177">
        <f>SUMIF('数据-汇总表'!C$19:C$33,'数据-取费表'!A6,'数据-汇总表'!E$19:E$33)</f>
        <v>44852.26</v>
      </c>
      <c r="L6" s="2739"/>
      <c r="M6" s="175">
        <f t="shared" ref="M6:M14" si="0">ROUND(K6*L6/10000,0)</f>
        <v>0</v>
      </c>
      <c r="N6" s="2740"/>
      <c r="O6" s="175">
        <f>IF($N$5="成新度","——",ROUND(M6*N6,0))</f>
        <v>0</v>
      </c>
      <c r="P6" s="176">
        <f>IF($N$5="成新度","——",M6-O6)</f>
        <v>0</v>
      </c>
      <c r="Q6" s="2741"/>
      <c r="R6" s="177">
        <f>SUMIF('数据-汇总表'!C$19:C$33,A6,'数据-汇总表'!R$19:R$33)</f>
        <v>44852.26</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v>1.4999999999999999E-2</v>
      </c>
      <c r="AL6" s="188">
        <v>1.5E-3</v>
      </c>
      <c r="AM6" s="2752">
        <v>0.01</v>
      </c>
      <c r="AN6" s="2246" t="s">
        <v>3073</v>
      </c>
      <c r="AO6" s="3092"/>
      <c r="AP6" s="1187">
        <f>ROUND(1-1/(1+H6)^F6,3)</f>
        <v>0.85099999999999998</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0.94099999999999995</v>
      </c>
      <c r="H16" s="201">
        <f>ROUND(SUMPRODUCT(H6:H13,K6:K13)/SUMPRODUCT((H6:H13&gt;0)*(K6:K13)),3)</f>
        <v>4.8000000000000001E-2</v>
      </c>
      <c r="I16" s="202"/>
      <c r="J16" s="202"/>
      <c r="K16" s="203">
        <f>SUM(K6:K15)</f>
        <v>44852.26</v>
      </c>
      <c r="L16" s="204">
        <f>ROUND(M16*10000/SUM(K6:K14),0)</f>
        <v>0</v>
      </c>
      <c r="M16" s="204">
        <f>SUM(M6:M14)</f>
        <v>0</v>
      </c>
      <c r="N16" s="205" t="e">
        <f>ROUND(SUMPRODUCT(M6:M14,N6:N14)/M16,3)</f>
        <v>#DIV/0!</v>
      </c>
      <c r="O16" s="204">
        <f>SUM(O6:O14)</f>
        <v>0</v>
      </c>
      <c r="P16" s="204">
        <f>SUM(P6:P14)</f>
        <v>0</v>
      </c>
      <c r="Q16" s="206" t="e">
        <f>ROUND(SUMPRODUCT(Q6:Q13,K6:K13)/SUMPRODUCT((Q6:Q13&gt;0)*(K6:K13)),2)</f>
        <v>#DIV/0!</v>
      </c>
      <c r="R16" s="2190">
        <f>SUM(R6:R13)</f>
        <v>44852.26</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0.85099999999999998</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1</v>
      </c>
      <c r="C19" s="3104" t="s">
        <v>2986</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1</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1</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2</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2987</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40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f>成本逼近法!C13</f>
        <v>538</v>
      </c>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2974</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2975</v>
      </c>
      <c r="D34" s="3108" t="s">
        <v>2983</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c r="C35" s="3107" t="s">
        <v>2976</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2977</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2978</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2978</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4.7500000000000001E-2</v>
      </c>
      <c r="C40" s="3107" t="s">
        <v>2979</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2984</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2980</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2981</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2988</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2980</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2982</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2873</v>
      </c>
      <c r="D53" s="3111" t="s">
        <v>2985</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2874</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2875</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2876</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2877</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2878</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2879</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2880</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2881</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2882</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2883</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4"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C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442" t="s">
        <v>1654</v>
      </c>
      <c r="B1" s="3443"/>
      <c r="C1" s="3443"/>
      <c r="D1" s="3443"/>
      <c r="E1" s="3443"/>
      <c r="F1" s="3443"/>
      <c r="G1" s="3443"/>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2890</v>
      </c>
      <c r="D3" s="3127"/>
      <c r="E3" s="3128" t="s">
        <v>1657</v>
      </c>
      <c r="F3" s="3129" t="s">
        <v>1645</v>
      </c>
      <c r="G3" s="3130" t="s">
        <v>2889</v>
      </c>
      <c r="H3" s="3123"/>
      <c r="I3" s="3123"/>
      <c r="J3" s="3123"/>
      <c r="K3" s="3123"/>
      <c r="L3" s="3123"/>
      <c r="M3" s="3123"/>
      <c r="N3" s="3123"/>
      <c r="O3" s="3123"/>
      <c r="P3" s="3123"/>
      <c r="Q3" s="3123"/>
      <c r="R3" s="3123"/>
    </row>
    <row r="4" spans="1:18" ht="40.5">
      <c r="A4" s="3128"/>
      <c r="B4" s="3131" t="s">
        <v>1658</v>
      </c>
      <c r="C4" s="3132" t="s">
        <v>2891</v>
      </c>
      <c r="D4" s="3127"/>
      <c r="E4" s="3133"/>
      <c r="F4" s="3134" t="s">
        <v>1659</v>
      </c>
      <c r="G4" s="3135" t="s">
        <v>2886</v>
      </c>
      <c r="H4" s="3123"/>
      <c r="I4" s="3123"/>
      <c r="J4" s="3123"/>
      <c r="K4" s="3123"/>
      <c r="L4" s="3123"/>
      <c r="M4" s="3123"/>
      <c r="N4" s="3123"/>
      <c r="O4" s="3123"/>
      <c r="P4" s="3123"/>
      <c r="Q4" s="3123"/>
      <c r="R4" s="3123"/>
    </row>
    <row r="5" spans="1:18" ht="41.25">
      <c r="A5" s="3128"/>
      <c r="B5" s="3131" t="s">
        <v>1660</v>
      </c>
      <c r="C5" s="3132" t="s">
        <v>2892</v>
      </c>
      <c r="D5" s="3127"/>
      <c r="E5" s="3133"/>
      <c r="F5" s="3131" t="s">
        <v>2528</v>
      </c>
      <c r="G5" s="3135" t="s">
        <v>2887</v>
      </c>
      <c r="H5" s="3123"/>
      <c r="I5" s="3123"/>
      <c r="J5" s="3123"/>
      <c r="K5" s="3123"/>
      <c r="L5" s="3123"/>
      <c r="M5" s="3123"/>
      <c r="N5" s="3123"/>
      <c r="O5" s="3123"/>
      <c r="P5" s="3123"/>
      <c r="Q5" s="3123"/>
      <c r="R5" s="3123"/>
    </row>
    <row r="6" spans="1:18" ht="40.5">
      <c r="A6" s="3128"/>
      <c r="B6" s="3131" t="s">
        <v>1646</v>
      </c>
      <c r="C6" s="3135" t="s">
        <v>2886</v>
      </c>
      <c r="D6" s="3127"/>
      <c r="E6" s="3133"/>
      <c r="F6" s="3131" t="s">
        <v>2529</v>
      </c>
      <c r="G6" s="3135" t="s">
        <v>2884</v>
      </c>
      <c r="H6" s="3123"/>
      <c r="I6" s="3123"/>
      <c r="J6" s="3123"/>
      <c r="K6" s="3123"/>
      <c r="L6" s="3123"/>
      <c r="M6" s="3123"/>
      <c r="N6" s="3123"/>
      <c r="O6" s="3123"/>
      <c r="P6" s="3123"/>
      <c r="Q6" s="3123"/>
      <c r="R6" s="3123"/>
    </row>
    <row r="7" spans="1:18" ht="27.75" thickBot="1">
      <c r="A7" s="3128"/>
      <c r="B7" s="3131" t="s">
        <v>2528</v>
      </c>
      <c r="C7" s="3135" t="s">
        <v>2887</v>
      </c>
      <c r="D7" s="3136"/>
      <c r="E7" s="3137"/>
      <c r="F7" s="3138" t="s">
        <v>1661</v>
      </c>
      <c r="G7" s="3139" t="s">
        <v>2888</v>
      </c>
      <c r="H7" s="3123"/>
      <c r="I7" s="3123"/>
      <c r="J7" s="3123"/>
      <c r="K7" s="3123"/>
      <c r="L7" s="3123"/>
      <c r="M7" s="3123"/>
      <c r="N7" s="3123"/>
      <c r="O7" s="3123"/>
      <c r="P7" s="3123"/>
      <c r="Q7" s="3123"/>
      <c r="R7" s="3123"/>
    </row>
    <row r="8" spans="1:18">
      <c r="A8" s="3128"/>
      <c r="B8" s="3131" t="s">
        <v>2529</v>
      </c>
      <c r="C8" s="3135" t="s">
        <v>2884</v>
      </c>
      <c r="D8" s="3136"/>
      <c r="E8" s="3136"/>
      <c r="F8" s="3140"/>
      <c r="G8" s="3140"/>
      <c r="H8" s="3123"/>
      <c r="I8" s="3123"/>
      <c r="J8" s="3123"/>
      <c r="K8" s="3123"/>
      <c r="L8" s="3123"/>
      <c r="M8" s="3123"/>
      <c r="N8" s="3123"/>
      <c r="O8" s="3123"/>
      <c r="P8" s="3123"/>
      <c r="Q8" s="3123"/>
      <c r="R8" s="3123"/>
    </row>
    <row r="9" spans="1:18" ht="27">
      <c r="A9" s="3128"/>
      <c r="B9" s="3131" t="s">
        <v>1647</v>
      </c>
      <c r="C9" s="3132" t="s">
        <v>2885</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B9" sqref="B9"/>
    </sheetView>
  </sheetViews>
  <sheetFormatPr defaultColWidth="14.625" defaultRowHeight="13.5"/>
  <cols>
    <col min="1" max="1" width="24.375" style="3186" customWidth="1"/>
    <col min="2" max="16384" width="14.625" style="3186"/>
  </cols>
  <sheetData>
    <row r="1" spans="1:10" ht="16.5">
      <c r="A1" s="3185" t="s">
        <v>2824</v>
      </c>
      <c r="B1" s="3185">
        <f>SUM(B14:B23)</f>
        <v>44852.26</v>
      </c>
      <c r="C1" s="3194"/>
      <c r="D1" s="3194"/>
      <c r="E1" s="3194"/>
      <c r="F1" s="3194"/>
      <c r="G1" s="3195"/>
      <c r="H1" s="3195"/>
      <c r="I1" s="3195"/>
      <c r="J1" s="3195"/>
    </row>
    <row r="2" spans="1:10" ht="16.5">
      <c r="A2" s="3185" t="s">
        <v>2825</v>
      </c>
      <c r="B2" s="3185">
        <f>SUM(C14:C23)</f>
        <v>44852.26</v>
      </c>
      <c r="C2" s="3194"/>
      <c r="D2" s="3194"/>
      <c r="E2" s="3194"/>
      <c r="F2" s="3194"/>
      <c r="G2" s="3195"/>
      <c r="H2" s="3195"/>
      <c r="I2" s="3195"/>
      <c r="J2" s="3195"/>
    </row>
    <row r="3" spans="1:10" ht="16.5">
      <c r="A3" s="3185" t="s">
        <v>2826</v>
      </c>
      <c r="B3" s="3187">
        <f>项目基本情况!D3</f>
        <v>44201</v>
      </c>
      <c r="C3" s="3194"/>
      <c r="D3" s="3194"/>
      <c r="E3" s="3194"/>
      <c r="F3" s="3194"/>
      <c r="G3" s="3195"/>
      <c r="H3" s="3195"/>
      <c r="I3" s="3195"/>
      <c r="J3" s="3195"/>
    </row>
    <row r="4" spans="1:10" ht="33">
      <c r="A4" s="3185" t="s">
        <v>2827</v>
      </c>
      <c r="B4" s="3185" t="s">
        <v>2828</v>
      </c>
      <c r="C4" s="3185" t="s">
        <v>2829</v>
      </c>
      <c r="D4" s="3185" t="s">
        <v>2830</v>
      </c>
      <c r="E4" s="3194"/>
      <c r="F4" s="3194"/>
      <c r="G4" s="3195"/>
      <c r="H4" s="3195"/>
      <c r="I4" s="3195"/>
      <c r="J4" s="3195"/>
    </row>
    <row r="5" spans="1:10" ht="16.5">
      <c r="A5" s="3185" t="s">
        <v>2831</v>
      </c>
      <c r="B5" s="3351">
        <f>SUM(D14:D23)</f>
        <v>6647</v>
      </c>
      <c r="C5" s="3185">
        <f>ROUND(B5*10000/$B$1,0)</f>
        <v>1482</v>
      </c>
      <c r="D5" s="3185">
        <f>ROUND(B5*10000/$B$2,0)</f>
        <v>1482</v>
      </c>
      <c r="E5" s="3194"/>
      <c r="F5" s="3194"/>
      <c r="G5" s="3195"/>
      <c r="H5" s="3195"/>
      <c r="I5" s="3195"/>
      <c r="J5" s="3195"/>
    </row>
    <row r="6" spans="1:10" ht="16.5">
      <c r="A6" s="3185" t="s">
        <v>2832</v>
      </c>
      <c r="B6" s="3185">
        <f>SUM(G14:G23)</f>
        <v>0</v>
      </c>
      <c r="C6" s="3185">
        <f t="shared" ref="C6:C8" si="0">ROUND(B6*10000/$B$1,0)</f>
        <v>0</v>
      </c>
      <c r="D6" s="3185">
        <f t="shared" ref="D6:D8" si="1">ROUND(B6*10000/$B$2,0)</f>
        <v>0</v>
      </c>
      <c r="E6" s="3194"/>
      <c r="F6" s="3194"/>
      <c r="G6" s="3195"/>
      <c r="H6" s="3195"/>
      <c r="I6" s="3195"/>
      <c r="J6" s="3195"/>
    </row>
    <row r="7" spans="1:10" ht="16.5">
      <c r="A7" s="3185" t="s">
        <v>2833</v>
      </c>
      <c r="B7" s="3185">
        <f>SUM(H14:H23)</f>
        <v>0</v>
      </c>
      <c r="C7" s="3185">
        <f t="shared" si="0"/>
        <v>0</v>
      </c>
      <c r="D7" s="3185">
        <f t="shared" si="1"/>
        <v>0</v>
      </c>
      <c r="E7" s="3194"/>
      <c r="F7" s="3194"/>
      <c r="G7" s="3195"/>
      <c r="H7" s="3195"/>
      <c r="I7" s="3195"/>
      <c r="J7" s="3195"/>
    </row>
    <row r="8" spans="1:10" ht="16.5">
      <c r="A8" s="3185" t="s">
        <v>2834</v>
      </c>
      <c r="B8" s="3185">
        <f>SUM(I14:I23)</f>
        <v>0</v>
      </c>
      <c r="C8" s="3185">
        <f t="shared" si="0"/>
        <v>0</v>
      </c>
      <c r="D8" s="3185">
        <f t="shared" si="1"/>
        <v>0</v>
      </c>
      <c r="E8" s="3194"/>
      <c r="F8" s="3194"/>
      <c r="G8" s="3195"/>
      <c r="H8" s="3195"/>
      <c r="I8" s="3195"/>
      <c r="J8" s="3195"/>
    </row>
    <row r="9" spans="1:10" ht="16.5">
      <c r="A9" s="3185" t="s">
        <v>2835</v>
      </c>
      <c r="B9" s="3193"/>
      <c r="C9" s="3194"/>
      <c r="D9" s="3194"/>
      <c r="E9" s="3194"/>
      <c r="F9" s="3194"/>
      <c r="G9" s="3195"/>
      <c r="H9" s="3195"/>
      <c r="I9" s="3195"/>
      <c r="J9" s="3195"/>
    </row>
    <row r="10" spans="1:10" ht="16.5">
      <c r="A10" s="3185" t="s">
        <v>2836</v>
      </c>
      <c r="B10" s="3193"/>
      <c r="C10" s="3194"/>
      <c r="D10" s="3194"/>
      <c r="E10" s="3194"/>
      <c r="F10" s="3194"/>
      <c r="G10" s="3195"/>
      <c r="H10" s="3195"/>
      <c r="I10" s="3195"/>
      <c r="J10" s="3195"/>
    </row>
    <row r="11" spans="1:10" ht="16.5">
      <c r="A11" s="3185" t="s">
        <v>2853</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2852</v>
      </c>
      <c r="B13" s="3189" t="s">
        <v>2824</v>
      </c>
      <c r="C13" s="3189" t="s">
        <v>2825</v>
      </c>
      <c r="D13" s="3189" t="s">
        <v>2837</v>
      </c>
      <c r="E13" s="3185" t="s">
        <v>2851</v>
      </c>
      <c r="F13" s="3185" t="s">
        <v>2830</v>
      </c>
      <c r="G13" s="3189" t="s">
        <v>2838</v>
      </c>
      <c r="H13" s="3189" t="s">
        <v>2839</v>
      </c>
      <c r="I13" s="3189" t="s">
        <v>2840</v>
      </c>
      <c r="J13" s="3195"/>
    </row>
    <row r="14" spans="1:10" ht="16.5">
      <c r="A14" s="3190" t="s">
        <v>2850</v>
      </c>
      <c r="B14" s="3191">
        <f>结果表!L38</f>
        <v>44852.26</v>
      </c>
      <c r="C14" s="3191">
        <f>结果表!K38</f>
        <v>44852.26</v>
      </c>
      <c r="D14" s="3350">
        <v>6647</v>
      </c>
      <c r="E14" s="3191">
        <f>ROUND(D14*10000/B14,0)</f>
        <v>1482</v>
      </c>
      <c r="F14" s="3191">
        <f>ROUND(D14*10000/C14,0)</f>
        <v>1482</v>
      </c>
      <c r="G14" s="3191" t="str">
        <f>结果表!C44</f>
        <v>——</v>
      </c>
      <c r="H14" s="3191" t="str">
        <f>结果表!C45</f>
        <v>——</v>
      </c>
      <c r="I14" s="3191" t="str">
        <f>结果表!C46</f>
        <v>——</v>
      </c>
      <c r="J14" s="3195"/>
    </row>
    <row r="15" spans="1:10" ht="16.5">
      <c r="A15" s="3190" t="s">
        <v>2841</v>
      </c>
      <c r="B15" s="3192"/>
      <c r="C15" s="3192"/>
      <c r="D15" s="3192"/>
      <c r="E15" s="3191" t="e">
        <f t="shared" ref="E15:E23" si="2">ROUND(D15*10000/B15,0)</f>
        <v>#DIV/0!</v>
      </c>
      <c r="F15" s="3191" t="e">
        <f t="shared" ref="F15:F23" si="3">ROUND(D15*10000/C15,0)</f>
        <v>#DIV/0!</v>
      </c>
      <c r="G15" s="2757"/>
      <c r="H15" s="2757"/>
      <c r="I15" s="3192"/>
      <c r="J15" s="3195"/>
    </row>
    <row r="16" spans="1:10" ht="16.5">
      <c r="A16" s="3190" t="s">
        <v>2842</v>
      </c>
      <c r="B16" s="3192"/>
      <c r="C16" s="3192"/>
      <c r="D16" s="3192"/>
      <c r="E16" s="3191" t="e">
        <f t="shared" si="2"/>
        <v>#DIV/0!</v>
      </c>
      <c r="F16" s="3191" t="e">
        <f t="shared" si="3"/>
        <v>#DIV/0!</v>
      </c>
      <c r="G16" s="2757"/>
      <c r="H16" s="2757"/>
      <c r="I16" s="3192"/>
      <c r="J16" s="3195"/>
    </row>
    <row r="17" spans="1:10" ht="16.5">
      <c r="A17" s="3190" t="s">
        <v>2843</v>
      </c>
      <c r="B17" s="3192"/>
      <c r="C17" s="3192"/>
      <c r="D17" s="3192"/>
      <c r="E17" s="3191" t="e">
        <f t="shared" si="2"/>
        <v>#DIV/0!</v>
      </c>
      <c r="F17" s="3191" t="e">
        <f t="shared" si="3"/>
        <v>#DIV/0!</v>
      </c>
      <c r="G17" s="2757"/>
      <c r="H17" s="2757"/>
      <c r="I17" s="3192"/>
      <c r="J17" s="3195"/>
    </row>
    <row r="18" spans="1:10" ht="16.5">
      <c r="A18" s="3190" t="s">
        <v>2844</v>
      </c>
      <c r="B18" s="3192"/>
      <c r="C18" s="3192"/>
      <c r="D18" s="3192"/>
      <c r="E18" s="3191" t="e">
        <f t="shared" si="2"/>
        <v>#DIV/0!</v>
      </c>
      <c r="F18" s="3191" t="e">
        <f t="shared" si="3"/>
        <v>#DIV/0!</v>
      </c>
      <c r="G18" s="3192"/>
      <c r="H18" s="3192"/>
      <c r="I18" s="3192"/>
      <c r="J18" s="3195"/>
    </row>
    <row r="19" spans="1:10" ht="16.5">
      <c r="A19" s="3190" t="s">
        <v>2845</v>
      </c>
      <c r="B19" s="3192"/>
      <c r="C19" s="3192"/>
      <c r="D19" s="3192"/>
      <c r="E19" s="3191" t="e">
        <f t="shared" si="2"/>
        <v>#DIV/0!</v>
      </c>
      <c r="F19" s="3191" t="e">
        <f t="shared" si="3"/>
        <v>#DIV/0!</v>
      </c>
      <c r="G19" s="3192"/>
      <c r="H19" s="3192"/>
      <c r="I19" s="3192"/>
      <c r="J19" s="3195"/>
    </row>
    <row r="20" spans="1:10" ht="16.5">
      <c r="A20" s="3190" t="s">
        <v>2846</v>
      </c>
      <c r="B20" s="3192"/>
      <c r="C20" s="3192"/>
      <c r="D20" s="3192"/>
      <c r="E20" s="3191" t="e">
        <f t="shared" si="2"/>
        <v>#DIV/0!</v>
      </c>
      <c r="F20" s="3191" t="e">
        <f t="shared" si="3"/>
        <v>#DIV/0!</v>
      </c>
      <c r="G20" s="3192"/>
      <c r="H20" s="3192"/>
      <c r="I20" s="3192"/>
      <c r="J20" s="3195"/>
    </row>
    <row r="21" spans="1:10" ht="16.5">
      <c r="A21" s="3190" t="s">
        <v>2847</v>
      </c>
      <c r="B21" s="3192"/>
      <c r="C21" s="3192"/>
      <c r="D21" s="3192"/>
      <c r="E21" s="3191" t="e">
        <f t="shared" si="2"/>
        <v>#DIV/0!</v>
      </c>
      <c r="F21" s="3191" t="e">
        <f t="shared" si="3"/>
        <v>#DIV/0!</v>
      </c>
      <c r="G21" s="3192"/>
      <c r="H21" s="3192"/>
      <c r="I21" s="3192"/>
      <c r="J21" s="3195"/>
    </row>
    <row r="22" spans="1:10" ht="16.5">
      <c r="A22" s="3190" t="s">
        <v>2848</v>
      </c>
      <c r="B22" s="3192"/>
      <c r="C22" s="3192"/>
      <c r="D22" s="3192"/>
      <c r="E22" s="3191" t="e">
        <f t="shared" si="2"/>
        <v>#DIV/0!</v>
      </c>
      <c r="F22" s="3191" t="e">
        <f t="shared" si="3"/>
        <v>#DIV/0!</v>
      </c>
      <c r="G22" s="3192"/>
      <c r="H22" s="3192"/>
      <c r="I22" s="3192"/>
      <c r="J22" s="3195"/>
    </row>
    <row r="23" spans="1:10" ht="16.5">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H25" sqref="H25"/>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t="s">
        <v>3074</v>
      </c>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88" t="str">
        <f>项目基本情况!K2</f>
        <v>北京市出让国有建设用地使用权</v>
      </c>
      <c r="B2" s="3489"/>
      <c r="C2" s="3490"/>
      <c r="D2" s="3490"/>
      <c r="E2" s="3490"/>
      <c r="F2" s="3490"/>
      <c r="G2" s="3489"/>
      <c r="H2" s="3489"/>
      <c r="I2" s="3491"/>
      <c r="J2" s="1912"/>
      <c r="K2" s="1911"/>
      <c r="L2" s="1911"/>
      <c r="M2" s="1911"/>
      <c r="N2" s="1911"/>
      <c r="O2" s="1911"/>
      <c r="P2" s="1911"/>
      <c r="Q2" s="1911"/>
      <c r="R2" s="1911"/>
      <c r="S2" s="1911"/>
      <c r="T2" s="1911"/>
      <c r="U2" s="1911"/>
      <c r="V2" s="1911"/>
    </row>
    <row r="3" spans="1:22" ht="14.25">
      <c r="A3" s="3499" t="s">
        <v>298</v>
      </c>
      <c r="B3" s="3500"/>
      <c r="C3" s="3500"/>
      <c r="D3" s="3500"/>
      <c r="E3" s="3500"/>
      <c r="F3" s="3500"/>
      <c r="G3" s="3500"/>
      <c r="H3" s="3500"/>
      <c r="I3" s="3500"/>
      <c r="J3" s="1912"/>
      <c r="K3" s="1911"/>
      <c r="L3" s="1911"/>
      <c r="M3" s="1911"/>
      <c r="N3" s="1911"/>
      <c r="O3" s="1911"/>
      <c r="P3" s="1911"/>
      <c r="Q3" s="1911"/>
      <c r="R3" s="1911"/>
      <c r="S3" s="1911"/>
      <c r="T3" s="1911"/>
      <c r="U3" s="1911"/>
      <c r="V3" s="1911"/>
    </row>
    <row r="4" spans="1:22" ht="14.25">
      <c r="A4" s="256" t="s">
        <v>299</v>
      </c>
      <c r="B4" s="257" t="s">
        <v>300</v>
      </c>
      <c r="C4" s="258" t="s">
        <v>3073</v>
      </c>
      <c r="D4" s="258" t="s">
        <v>3075</v>
      </c>
      <c r="E4" s="3463" t="s">
        <v>301</v>
      </c>
      <c r="F4" s="3505"/>
      <c r="G4" s="3505"/>
      <c r="H4" s="3505"/>
      <c r="I4" s="3464"/>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92" t="s">
        <v>302</v>
      </c>
      <c r="B5" s="3493">
        <v>25</v>
      </c>
      <c r="C5" s="3501">
        <v>7</v>
      </c>
      <c r="D5" s="3504">
        <f>10-C5</f>
        <v>3</v>
      </c>
      <c r="E5" s="259" t="s">
        <v>303</v>
      </c>
      <c r="F5" s="260"/>
      <c r="G5" s="260"/>
      <c r="H5" s="260"/>
      <c r="I5" s="261"/>
      <c r="J5" s="1912"/>
      <c r="K5" s="1911"/>
      <c r="L5" s="1911"/>
      <c r="M5" s="1911"/>
      <c r="N5" s="1911"/>
      <c r="O5" s="1911"/>
      <c r="P5" s="1911"/>
      <c r="Q5" s="1911"/>
      <c r="R5" s="1911"/>
      <c r="S5" s="1911"/>
      <c r="T5" s="1911"/>
      <c r="U5" s="1911"/>
      <c r="V5" s="1911"/>
    </row>
    <row r="6" spans="1:22" ht="14.25">
      <c r="A6" s="3492"/>
      <c r="B6" s="3493"/>
      <c r="C6" s="3502"/>
      <c r="D6" s="3504"/>
      <c r="E6" s="259" t="s">
        <v>304</v>
      </c>
      <c r="F6" s="260"/>
      <c r="G6" s="260"/>
      <c r="H6" s="260"/>
      <c r="I6" s="261"/>
      <c r="J6" s="1912"/>
      <c r="K6" s="1911"/>
      <c r="L6" s="1911"/>
      <c r="M6" s="1911"/>
      <c r="N6" s="1911"/>
      <c r="O6" s="1911"/>
      <c r="P6" s="1911"/>
      <c r="Q6" s="1911"/>
      <c r="R6" s="1911"/>
      <c r="S6" s="1911"/>
      <c r="T6" s="1911"/>
      <c r="U6" s="1911"/>
      <c r="V6" s="1911"/>
    </row>
    <row r="7" spans="1:22" ht="14.25">
      <c r="A7" s="3492"/>
      <c r="B7" s="3493"/>
      <c r="C7" s="3503"/>
      <c r="D7" s="3504"/>
      <c r="E7" s="259" t="s">
        <v>305</v>
      </c>
      <c r="F7" s="260"/>
      <c r="G7" s="260"/>
      <c r="H7" s="260"/>
      <c r="I7" s="261"/>
      <c r="J7" s="1912"/>
      <c r="K7" s="1911"/>
      <c r="L7" s="1911"/>
      <c r="M7" s="1911"/>
      <c r="N7" s="1911"/>
      <c r="O7" s="1911"/>
      <c r="P7" s="1911"/>
      <c r="Q7" s="1911"/>
      <c r="R7" s="1911"/>
      <c r="S7" s="1911"/>
      <c r="T7" s="1911"/>
      <c r="U7" s="1911"/>
      <c r="V7" s="1911"/>
    </row>
    <row r="8" spans="1:22" ht="14.25">
      <c r="A8" s="3492" t="s">
        <v>306</v>
      </c>
      <c r="B8" s="3493">
        <v>15</v>
      </c>
      <c r="C8" s="3501"/>
      <c r="D8" s="3504"/>
      <c r="E8" s="259" t="s">
        <v>307</v>
      </c>
      <c r="F8" s="260"/>
      <c r="G8" s="260"/>
      <c r="H8" s="260"/>
      <c r="I8" s="261"/>
      <c r="J8" s="1912"/>
      <c r="K8" s="1911"/>
      <c r="L8" s="1911"/>
      <c r="M8" s="1911"/>
      <c r="N8" s="1911"/>
      <c r="O8" s="1911"/>
      <c r="P8" s="1911"/>
      <c r="Q8" s="1911"/>
      <c r="R8" s="1911"/>
      <c r="S8" s="1911"/>
      <c r="T8" s="1911"/>
      <c r="U8" s="1911"/>
      <c r="V8" s="1911"/>
    </row>
    <row r="9" spans="1:22" ht="14.25">
      <c r="A9" s="3492"/>
      <c r="B9" s="3493"/>
      <c r="C9" s="3503"/>
      <c r="D9" s="3504"/>
      <c r="E9" s="259" t="s">
        <v>308</v>
      </c>
      <c r="F9" s="260"/>
      <c r="G9" s="260"/>
      <c r="H9" s="260"/>
      <c r="I9" s="261"/>
      <c r="J9" s="1912"/>
      <c r="K9" s="1911"/>
      <c r="L9" s="1911"/>
      <c r="M9" s="1911"/>
      <c r="N9" s="1911"/>
      <c r="O9" s="1911"/>
      <c r="P9" s="1911"/>
      <c r="Q9" s="1911"/>
      <c r="R9" s="1911"/>
      <c r="S9" s="1911"/>
      <c r="T9" s="1911"/>
      <c r="U9" s="1911"/>
      <c r="V9" s="1911"/>
    </row>
    <row r="10" spans="1:22" ht="14.25">
      <c r="A10" s="3492" t="s">
        <v>309</v>
      </c>
      <c r="B10" s="3493">
        <v>15</v>
      </c>
      <c r="C10" s="3501"/>
      <c r="D10" s="3504"/>
      <c r="E10" s="259" t="s">
        <v>310</v>
      </c>
      <c r="F10" s="260"/>
      <c r="G10" s="260"/>
      <c r="H10" s="260"/>
      <c r="I10" s="261"/>
      <c r="J10" s="1912"/>
      <c r="K10" s="1911"/>
      <c r="L10" s="1911"/>
      <c r="M10" s="1911"/>
      <c r="N10" s="1911"/>
      <c r="O10" s="1911"/>
      <c r="P10" s="1911"/>
      <c r="Q10" s="1911"/>
      <c r="R10" s="1911"/>
      <c r="S10" s="1911"/>
      <c r="T10" s="1911"/>
      <c r="U10" s="1911"/>
      <c r="V10" s="1911"/>
    </row>
    <row r="11" spans="1:22" ht="14.25">
      <c r="A11" s="3492"/>
      <c r="B11" s="3493"/>
      <c r="C11" s="3503"/>
      <c r="D11" s="3504"/>
      <c r="E11" s="259" t="s">
        <v>311</v>
      </c>
      <c r="F11" s="260"/>
      <c r="G11" s="260"/>
      <c r="H11" s="260"/>
      <c r="I11" s="261"/>
      <c r="J11" s="1912"/>
      <c r="K11" s="1911"/>
      <c r="L11" s="1911"/>
      <c r="M11" s="1911"/>
      <c r="N11" s="1911"/>
      <c r="O11" s="1911"/>
      <c r="P11" s="1911"/>
      <c r="Q11" s="1911"/>
      <c r="R11" s="1911"/>
      <c r="S11" s="1911"/>
      <c r="T11" s="1911"/>
      <c r="U11" s="1911"/>
      <c r="V11" s="1911"/>
    </row>
    <row r="12" spans="1:22" ht="14.25">
      <c r="A12" s="3492" t="s">
        <v>312</v>
      </c>
      <c r="B12" s="3493">
        <v>15</v>
      </c>
      <c r="C12" s="3501"/>
      <c r="D12" s="3504"/>
      <c r="E12" s="259" t="s">
        <v>313</v>
      </c>
      <c r="F12" s="260"/>
      <c r="G12" s="260"/>
      <c r="H12" s="260"/>
      <c r="I12" s="261"/>
      <c r="J12" s="1912"/>
      <c r="K12" s="1911"/>
      <c r="L12" s="1911"/>
      <c r="M12" s="1911"/>
      <c r="N12" s="1911"/>
      <c r="O12" s="1911"/>
      <c r="P12" s="1911"/>
      <c r="Q12" s="1911"/>
      <c r="R12" s="1911"/>
      <c r="S12" s="1911"/>
      <c r="T12" s="1911"/>
      <c r="U12" s="1911"/>
      <c r="V12" s="1911"/>
    </row>
    <row r="13" spans="1:22" ht="14.25">
      <c r="A13" s="3492"/>
      <c r="B13" s="3493"/>
      <c r="C13" s="3503"/>
      <c r="D13" s="3504"/>
      <c r="E13" s="259" t="s">
        <v>314</v>
      </c>
      <c r="F13" s="260"/>
      <c r="G13" s="260"/>
      <c r="H13" s="260"/>
      <c r="I13" s="261"/>
      <c r="J13" s="1912"/>
      <c r="K13" s="1911"/>
      <c r="L13" s="1911"/>
      <c r="M13" s="1911"/>
      <c r="N13" s="1911"/>
      <c r="O13" s="1911"/>
      <c r="P13" s="1911"/>
      <c r="Q13" s="1911"/>
      <c r="R13" s="1911"/>
      <c r="S13" s="1911"/>
      <c r="T13" s="1911"/>
      <c r="U13" s="1911"/>
      <c r="V13" s="1911"/>
    </row>
    <row r="14" spans="1:22" ht="14.25">
      <c r="A14" s="3492" t="s">
        <v>315</v>
      </c>
      <c r="B14" s="3493">
        <v>30</v>
      </c>
      <c r="C14" s="3501"/>
      <c r="D14" s="3504"/>
      <c r="E14" s="259" t="s">
        <v>316</v>
      </c>
      <c r="F14" s="260"/>
      <c r="G14" s="260"/>
      <c r="H14" s="260"/>
      <c r="I14" s="261"/>
      <c r="J14" s="1912"/>
      <c r="K14" s="1911"/>
      <c r="L14" s="1911"/>
      <c r="M14" s="1911"/>
      <c r="N14" s="1911"/>
      <c r="O14" s="1911"/>
      <c r="P14" s="1911"/>
      <c r="Q14" s="1911"/>
      <c r="R14" s="1911"/>
      <c r="S14" s="1911"/>
      <c r="T14" s="1911"/>
      <c r="U14" s="1911"/>
      <c r="V14" s="1911"/>
    </row>
    <row r="15" spans="1:22" ht="14.25">
      <c r="A15" s="3492"/>
      <c r="B15" s="3493"/>
      <c r="C15" s="3502"/>
      <c r="D15" s="3504"/>
      <c r="E15" s="259" t="s">
        <v>317</v>
      </c>
      <c r="F15" s="260"/>
      <c r="G15" s="260"/>
      <c r="H15" s="260"/>
      <c r="I15" s="261"/>
      <c r="J15" s="1912"/>
      <c r="K15" s="1911"/>
      <c r="L15" s="1911"/>
      <c r="M15" s="1911"/>
      <c r="N15" s="1911"/>
      <c r="O15" s="1911"/>
      <c r="P15" s="1911"/>
      <c r="Q15" s="1911"/>
      <c r="R15" s="1911"/>
      <c r="S15" s="1911"/>
      <c r="T15" s="1911"/>
      <c r="U15" s="1911"/>
      <c r="V15" s="1911"/>
    </row>
    <row r="16" spans="1:22" ht="14.25">
      <c r="A16" s="3492"/>
      <c r="B16" s="3493"/>
      <c r="C16" s="3503"/>
      <c r="D16" s="3504"/>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7</v>
      </c>
      <c r="D17" s="263">
        <f>SUM(D5:D16)</f>
        <v>3</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0.7</v>
      </c>
      <c r="D18" s="265">
        <f>1-C18</f>
        <v>0.30000000000000004</v>
      </c>
      <c r="E18" s="3506" t="s">
        <v>2962</v>
      </c>
      <c r="F18" s="3507"/>
      <c r="G18" s="3507"/>
      <c r="H18" s="3507"/>
      <c r="I18" s="3507"/>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8444</v>
      </c>
      <c r="D19" s="269">
        <f ca="1">SUMIF(INDIRECT("'"&amp;D4&amp;"'"&amp;"!A:A"),结果表!B19,INDIRECT("'"&amp;D4&amp;"'"&amp;"!B:B"))</f>
        <v>2516</v>
      </c>
      <c r="E19" s="266" t="s">
        <v>323</v>
      </c>
      <c r="F19" s="267" t="s">
        <v>322</v>
      </c>
      <c r="G19" s="270">
        <f ca="1">ROUND(C19*$C$18+D19*$D$18,0)</f>
        <v>6666</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1883</v>
      </c>
      <c r="D20" s="275">
        <f ca="1">SUMIF(INDIRECT("'"&amp;D4&amp;"'"&amp;"!A:A"),结果表!B20,INDIRECT("'"&amp;D4&amp;"'"&amp;"!B:B"))</f>
        <v>561</v>
      </c>
      <c r="E20" s="272"/>
      <c r="F20" s="273" t="s">
        <v>325</v>
      </c>
      <c r="G20" s="276">
        <f ca="1">ROUND(C20*$C$18+D20*$D$18,0)</f>
        <v>1486</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1883</v>
      </c>
      <c r="D21" s="149">
        <f ca="1">SUMIF(INDIRECT("'"&amp;D4&amp;"'"&amp;"!A:A"),结果表!B21,INDIRECT("'"&amp;D4&amp;"'"&amp;"!B:B"))</f>
        <v>561</v>
      </c>
      <c r="E21" s="272"/>
      <c r="F21" s="278" t="s">
        <v>327</v>
      </c>
      <c r="G21" s="280">
        <f ca="1">ROUND(C21*$C$18+D21*$D$18,0)</f>
        <v>1486</v>
      </c>
      <c r="H21" s="1205" t="s">
        <v>326</v>
      </c>
      <c r="I21" s="309"/>
      <c r="J21" s="1911"/>
      <c r="K21" s="3349">
        <f ca="1">G21*项目基本情况!C21/10000</f>
        <v>6665.0458360000002</v>
      </c>
      <c r="L21" s="1911"/>
      <c r="M21" s="1911"/>
      <c r="N21" s="1911"/>
      <c r="O21" s="1911"/>
      <c r="P21" s="1911"/>
      <c r="Q21" s="1911"/>
      <c r="R21" s="1911"/>
      <c r="S21" s="1911"/>
      <c r="T21" s="1911"/>
      <c r="U21" s="1911"/>
      <c r="V21" s="1911"/>
    </row>
    <row r="22" spans="1:26" ht="15.75" thickBot="1">
      <c r="A22" s="126" t="s">
        <v>328</v>
      </c>
      <c r="B22" s="1206"/>
      <c r="C22" s="1207"/>
      <c r="D22" s="281">
        <f ca="1">IF(C19&lt;D19,D19/C19-1,C19/D19-1)</f>
        <v>2.3561208267090619</v>
      </c>
      <c r="E22" s="282"/>
      <c r="F22" s="283"/>
      <c r="G22" s="284">
        <f ca="1">ROUND(G19/('数据-汇总表'!D3/666.67),0)</f>
        <v>99</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65"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512"/>
      <c r="B25" s="1275" t="s">
        <v>331</v>
      </c>
      <c r="C25" s="288">
        <f>IF(B30=0,0,C30)</f>
        <v>0</v>
      </c>
      <c r="D25" s="289"/>
      <c r="E25" s="309"/>
      <c r="F25" s="309"/>
      <c r="G25" s="309"/>
      <c r="H25" s="309"/>
      <c r="I25" s="309"/>
      <c r="J25" s="1911"/>
      <c r="K25" s="1209" t="str">
        <f ca="1">项目基本情况!B16&amp;"国有建设用地使用权价格："&amp;O38&amp;"万元"</f>
        <v>出让国有建设用地使用权价格：6666万元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大写金额：人民币陆仟陆佰陆拾陆万元整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单位面积地价：1486元/平方米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楼面地价：1486元/平方米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2963</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508" t="s">
        <v>2964</v>
      </c>
      <c r="B31" s="3508"/>
      <c r="C31" s="3508"/>
      <c r="D31" s="3508"/>
      <c r="E31" s="3508"/>
      <c r="F31" s="3508"/>
      <c r="G31" s="3508"/>
      <c r="H31" s="3508"/>
      <c r="I31" s="3508"/>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6666</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1486</v>
      </c>
      <c r="D33" s="1334" t="s">
        <v>1682</v>
      </c>
      <c r="E33" s="3465"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1486</v>
      </c>
      <c r="D34" s="1336" t="s">
        <v>1682</v>
      </c>
      <c r="E34" s="3466"/>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99</v>
      </c>
      <c r="D35" s="1339" t="s">
        <v>1684</v>
      </c>
      <c r="E35" s="3467"/>
      <c r="F35" s="299" t="s">
        <v>342</v>
      </c>
      <c r="G35" s="970"/>
      <c r="H35" s="969" t="s">
        <v>343</v>
      </c>
      <c r="I35" s="309"/>
      <c r="J35" s="1911"/>
      <c r="K35" s="3471" t="s">
        <v>350</v>
      </c>
      <c r="L35" s="3471" t="s">
        <v>351</v>
      </c>
      <c r="M35" s="1218" t="s">
        <v>352</v>
      </c>
      <c r="N35" s="3471" t="s">
        <v>353</v>
      </c>
      <c r="O35" s="3471" t="s">
        <v>354</v>
      </c>
      <c r="P35" s="1911"/>
      <c r="V35" s="1911"/>
    </row>
    <row r="36" spans="1:26" ht="16.5" customHeight="1">
      <c r="A36" s="301" t="s">
        <v>344</v>
      </c>
      <c r="B36" s="302" t="s">
        <v>333</v>
      </c>
      <c r="C36" s="303" t="s">
        <v>345</v>
      </c>
      <c r="D36" s="303" t="s">
        <v>346</v>
      </c>
      <c r="E36" s="304" t="s">
        <v>347</v>
      </c>
      <c r="F36" s="309"/>
      <c r="G36" s="309"/>
      <c r="H36" s="309"/>
      <c r="I36" s="309"/>
      <c r="J36" s="1913"/>
      <c r="K36" s="3472"/>
      <c r="L36" s="3472"/>
      <c r="M36" s="1220" t="s">
        <v>355</v>
      </c>
      <c r="N36" s="3472"/>
      <c r="O36" s="3472"/>
      <c r="P36" s="1911"/>
      <c r="V36" s="1911"/>
    </row>
    <row r="37" spans="1:26" ht="16.5" customHeight="1" thickBot="1">
      <c r="A37" s="1214" t="s">
        <v>348</v>
      </c>
      <c r="B37" s="305"/>
      <c r="C37" s="292"/>
      <c r="D37" s="292"/>
      <c r="E37" s="293"/>
      <c r="F37" s="309"/>
      <c r="G37" s="309"/>
      <c r="H37" s="309"/>
      <c r="I37" s="309"/>
      <c r="J37" s="1913"/>
      <c r="K37" s="3473"/>
      <c r="L37" s="3473"/>
      <c r="M37" s="1221"/>
      <c r="N37" s="3473"/>
      <c r="O37" s="3473"/>
      <c r="P37" s="1911"/>
      <c r="V37" s="1911"/>
    </row>
    <row r="38" spans="1:26" ht="16.5" customHeight="1" thickBot="1">
      <c r="A38" s="1214" t="s">
        <v>349</v>
      </c>
      <c r="B38" s="305"/>
      <c r="C38" s="292"/>
      <c r="D38" s="292"/>
      <c r="E38" s="293"/>
      <c r="F38" s="309"/>
      <c r="G38" s="309"/>
      <c r="H38" s="309"/>
      <c r="I38" s="309"/>
      <c r="J38" s="1913"/>
      <c r="K38" s="1222">
        <f>'数据-汇总表'!D3</f>
        <v>44852.26</v>
      </c>
      <c r="L38" s="1223">
        <f>'数据-汇总表'!E3</f>
        <v>44852.26</v>
      </c>
      <c r="M38" s="1223">
        <f ca="1">C34</f>
        <v>1486</v>
      </c>
      <c r="N38" s="1223">
        <f ca="1">C33</f>
        <v>1486</v>
      </c>
      <c r="O38" s="1224">
        <f ca="1">C32</f>
        <v>6666</v>
      </c>
      <c r="P38" s="1911"/>
      <c r="V38" s="1911"/>
    </row>
    <row r="39" spans="1:26" ht="16.5" customHeight="1" thickBot="1">
      <c r="A39" s="1219"/>
      <c r="B39" s="306"/>
      <c r="C39" s="307"/>
      <c r="D39" s="307"/>
      <c r="E39" s="308"/>
      <c r="F39" s="309"/>
      <c r="G39" s="309"/>
      <c r="H39" s="309"/>
      <c r="I39" s="309"/>
      <c r="J39" s="1913"/>
      <c r="K39" s="3484" t="str">
        <f>MID(A44,3,LEN(A44)-2)</f>
        <v/>
      </c>
      <c r="L39" s="3485"/>
      <c r="M39" s="3485"/>
      <c r="N39" s="3486"/>
      <c r="O39" s="1341" t="str">
        <f>C44</f>
        <v>——</v>
      </c>
      <c r="P39" s="1911"/>
      <c r="V39" s="1911"/>
    </row>
    <row r="40" spans="1:26" ht="19.5" thickBot="1">
      <c r="A40" s="104" t="s">
        <v>864</v>
      </c>
      <c r="B40" s="309"/>
      <c r="C40" s="309"/>
      <c r="D40" s="309"/>
      <c r="E40" s="309"/>
      <c r="F40" s="309"/>
      <c r="G40" s="309"/>
      <c r="H40" s="309"/>
      <c r="I40" s="309"/>
      <c r="J40" s="1913"/>
      <c r="K40" s="3484" t="str">
        <f t="shared" ref="K40:K41" si="0">MID(A45,3,LEN(A45)-2)</f>
        <v/>
      </c>
      <c r="L40" s="3485"/>
      <c r="M40" s="3485"/>
      <c r="N40" s="3486"/>
      <c r="O40" s="1341" t="str">
        <f>C45</f>
        <v>——</v>
      </c>
      <c r="P40" s="1911"/>
      <c r="V40" s="1911"/>
    </row>
    <row r="41" spans="1:26" ht="16.5" thickBot="1">
      <c r="A41" s="310" t="s">
        <v>356</v>
      </c>
      <c r="B41" s="311"/>
      <c r="C41" s="312" t="s">
        <v>357</v>
      </c>
      <c r="D41" s="313" t="s">
        <v>358</v>
      </c>
      <c r="E41" s="313" t="s">
        <v>359</v>
      </c>
      <c r="F41" s="314" t="s">
        <v>360</v>
      </c>
      <c r="G41" s="309"/>
      <c r="H41" s="309"/>
      <c r="I41" s="309"/>
      <c r="J41" s="1913"/>
      <c r="K41" s="3484" t="str">
        <f t="shared" si="0"/>
        <v/>
      </c>
      <c r="L41" s="3485"/>
      <c r="M41" s="3485"/>
      <c r="N41" s="3486"/>
      <c r="O41" s="1341" t="str">
        <f>C46</f>
        <v>——</v>
      </c>
      <c r="P41" s="1911"/>
      <c r="V41" s="1911"/>
    </row>
    <row r="42" spans="1:26" ht="29.25">
      <c r="A42" s="3513" t="s">
        <v>2056</v>
      </c>
      <c r="B42" s="3514"/>
      <c r="C42" s="262">
        <f ca="1">C32</f>
        <v>6666</v>
      </c>
      <c r="D42" s="315">
        <f ca="1">C33</f>
        <v>1486</v>
      </c>
      <c r="E42" s="315">
        <f ca="1">C34</f>
        <v>1486</v>
      </c>
      <c r="F42" s="316">
        <f ca="1">C35</f>
        <v>99</v>
      </c>
      <c r="G42" s="309"/>
      <c r="H42" s="309"/>
      <c r="I42" s="317"/>
      <c r="J42" s="1913"/>
      <c r="K42" s="1225" t="s">
        <v>361</v>
      </c>
      <c r="L42" s="1930" t="s">
        <v>362</v>
      </c>
      <c r="M42" s="1226" t="s">
        <v>363</v>
      </c>
      <c r="N42" s="1931" t="s">
        <v>364</v>
      </c>
      <c r="O42" s="1932" t="s">
        <v>365</v>
      </c>
      <c r="P42" s="1911"/>
      <c r="V42" s="1911"/>
    </row>
    <row r="43" spans="1:26" ht="18">
      <c r="A43" s="3523" t="s">
        <v>2711</v>
      </c>
      <c r="B43" s="3524"/>
      <c r="C43" s="262">
        <f>IF(H33="正常操作",G33+G34+G35,G34+G35)</f>
        <v>0</v>
      </c>
      <c r="D43" s="315" t="s">
        <v>43</v>
      </c>
      <c r="E43" s="315" t="s">
        <v>44</v>
      </c>
      <c r="F43" s="316" t="s">
        <v>44</v>
      </c>
      <c r="G43" s="2583" t="s">
        <v>943</v>
      </c>
      <c r="H43" s="309"/>
      <c r="I43" s="317"/>
      <c r="J43" s="1913"/>
      <c r="K43" s="1227" t="str">
        <f>C4</f>
        <v>成本逼近法</v>
      </c>
      <c r="L43" s="1228">
        <f ca="1">IF(L42="估价结果/万元",C19,C20)</f>
        <v>8444</v>
      </c>
      <c r="M43" s="1229">
        <f>C18</f>
        <v>0.7</v>
      </c>
      <c r="N43" s="1230">
        <f ca="1">IF(N42="测算结果/万元",G19,G20)</f>
        <v>6666</v>
      </c>
      <c r="O43" s="1231">
        <f ca="1">IF(O42="最终结果/万元",C32,C33)</f>
        <v>6666</v>
      </c>
      <c r="P43" s="1911"/>
      <c r="V43" s="1911"/>
    </row>
    <row r="44" spans="1:26" ht="18.75" thickBot="1">
      <c r="A44" s="3513" t="str">
        <f>IF(OR(项目基本情况!E8="抵押价格",项目基本情况!E8="已注销及未注销"),"3.抵押价格","——")</f>
        <v>——</v>
      </c>
      <c r="B44" s="3514"/>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基准地价</v>
      </c>
      <c r="L44" s="1233">
        <f ca="1">IF(L42="估价结果/万元",D19,D20)</f>
        <v>2516</v>
      </c>
      <c r="M44" s="1234">
        <f>D18</f>
        <v>0.30000000000000004</v>
      </c>
      <c r="N44" s="1235"/>
      <c r="O44" s="1236"/>
      <c r="P44" s="1911"/>
      <c r="V44" s="1911"/>
    </row>
    <row r="45" spans="1:26" ht="15">
      <c r="A45" s="3518" t="str">
        <f>IF(项目基本情况!E8="已注销及未注销","4.抵押担保权已注销时的抵押价格",IF(项目基本情况!E8="已注销","3.抵押担保权已注销时的抵押价格","——"))</f>
        <v>——</v>
      </c>
      <c r="B45" s="3519"/>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515" t="str">
        <f>IF(项目基本情况!E9="抵押净值",IF(A45="——","4.抵押净值","5.抵押净值"),"——")</f>
        <v>——</v>
      </c>
      <c r="B46" s="3516"/>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76" t="s">
        <v>374</v>
      </c>
      <c r="B63" s="3477"/>
      <c r="C63" s="3478"/>
      <c r="D63" s="339">
        <f ca="1">ROUND(C42*F63,0)</f>
        <v>6666</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520" t="s">
        <v>378</v>
      </c>
      <c r="B64" s="3521"/>
      <c r="C64" s="3521"/>
      <c r="D64" s="3521"/>
      <c r="E64" s="3521"/>
      <c r="F64" s="3521"/>
      <c r="G64" s="3522"/>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517" t="s">
        <v>386</v>
      </c>
      <c r="B66" s="3483"/>
      <c r="C66" s="3483"/>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444" t="s">
        <v>385</v>
      </c>
      <c r="M66" s="3445"/>
      <c r="N66" s="2312"/>
      <c r="O66" s="2313"/>
      <c r="P66" s="2314"/>
      <c r="Q66" s="1911"/>
      <c r="R66" s="1911"/>
      <c r="S66" s="1911"/>
      <c r="T66" s="1911"/>
      <c r="U66" s="1911"/>
      <c r="V66" s="1911"/>
    </row>
    <row r="67" spans="1:22" ht="25.5" customHeight="1">
      <c r="A67" s="350" t="s">
        <v>389</v>
      </c>
      <c r="B67" s="3495" t="s">
        <v>390</v>
      </c>
      <c r="C67" s="3495"/>
      <c r="D67" s="351">
        <v>0</v>
      </c>
      <c r="E67" s="41" t="s">
        <v>391</v>
      </c>
      <c r="F67" s="62" t="s">
        <v>21</v>
      </c>
      <c r="G67" s="3479"/>
      <c r="H67" s="3006" t="s">
        <v>2965</v>
      </c>
      <c r="I67" s="3008"/>
      <c r="J67" s="1918"/>
      <c r="K67" s="1890">
        <v>2</v>
      </c>
      <c r="L67" s="3449" t="s">
        <v>388</v>
      </c>
      <c r="M67" s="3449"/>
      <c r="N67" s="1279">
        <f>'数据-取费表'!B2</f>
        <v>44201</v>
      </c>
      <c r="O67" s="1279"/>
      <c r="P67" s="1279"/>
      <c r="Q67" s="1911"/>
      <c r="R67" s="1911"/>
      <c r="S67" s="1911"/>
      <c r="T67" s="1911"/>
      <c r="U67" s="1911"/>
      <c r="V67" s="1911"/>
    </row>
    <row r="68" spans="1:22" ht="25.5" customHeight="1">
      <c r="A68" s="352"/>
      <c r="B68" s="3495" t="s">
        <v>393</v>
      </c>
      <c r="C68" s="3495"/>
      <c r="D68" s="353"/>
      <c r="E68" s="77"/>
      <c r="F68" s="354"/>
      <c r="G68" s="3480"/>
      <c r="H68" s="3007" t="s">
        <v>2966</v>
      </c>
      <c r="I68" s="3008"/>
      <c r="J68" s="1918"/>
      <c r="K68" s="1890">
        <v>3</v>
      </c>
      <c r="L68" s="3449" t="s">
        <v>392</v>
      </c>
      <c r="M68" s="3449"/>
      <c r="N68" s="1247">
        <f ca="1">C42</f>
        <v>6666</v>
      </c>
      <c r="O68" s="1247"/>
      <c r="P68" s="1247"/>
      <c r="Q68" s="1911"/>
      <c r="R68" s="1911"/>
      <c r="S68" s="1911"/>
      <c r="T68" s="1911"/>
      <c r="U68" s="1911"/>
      <c r="V68" s="1911"/>
    </row>
    <row r="69" spans="1:22" ht="23.45" customHeight="1">
      <c r="A69" s="355"/>
      <c r="B69" s="3495" t="s">
        <v>394</v>
      </c>
      <c r="C69" s="3495"/>
      <c r="D69" s="356"/>
      <c r="E69" s="73"/>
      <c r="F69" s="354"/>
      <c r="G69" s="3481"/>
      <c r="H69" s="3007" t="s">
        <v>2967</v>
      </c>
      <c r="I69" s="3008"/>
      <c r="J69" s="1918"/>
      <c r="K69" s="1248">
        <v>4</v>
      </c>
      <c r="L69" s="3450" t="s">
        <v>2863</v>
      </c>
      <c r="M69" s="3451"/>
      <c r="N69" s="1249" t="str">
        <f>C44</f>
        <v>——</v>
      </c>
      <c r="O69" s="1249"/>
      <c r="P69" s="1249"/>
      <c r="Q69" s="1911"/>
      <c r="R69" s="1911"/>
      <c r="S69" s="1911"/>
      <c r="T69" s="1911"/>
      <c r="U69" s="1911"/>
      <c r="V69" s="1911"/>
    </row>
    <row r="70" spans="1:22" ht="24" customHeight="1">
      <c r="A70" s="357" t="s">
        <v>395</v>
      </c>
      <c r="B70" s="3495" t="s">
        <v>396</v>
      </c>
      <c r="C70" s="3495"/>
      <c r="D70" s="356">
        <f ca="1">ROUND(D63*'数据-取费表'!B41/(1+'数据-取费表'!C42),0)</f>
        <v>349</v>
      </c>
      <c r="E70" s="17" t="s">
        <v>397</v>
      </c>
      <c r="F70" s="358">
        <f>'数据-取费表'!B41</f>
        <v>5.5000000000000007E-2</v>
      </c>
      <c r="G70" s="359"/>
      <c r="H70" s="309"/>
      <c r="I70" s="1246"/>
      <c r="J70" s="1918"/>
      <c r="K70" s="2765"/>
      <c r="L70" s="2766"/>
      <c r="M70" s="2766"/>
      <c r="N70" s="2767" t="s">
        <v>2867</v>
      </c>
      <c r="O70" s="2766"/>
      <c r="P70" s="2768"/>
      <c r="Q70" s="1911"/>
      <c r="R70" s="1911"/>
      <c r="S70" s="1911"/>
      <c r="T70" s="1911"/>
      <c r="U70" s="1911"/>
      <c r="V70" s="1911"/>
    </row>
    <row r="71" spans="1:22" ht="12" customHeight="1">
      <c r="A71" s="357" t="s">
        <v>403</v>
      </c>
      <c r="B71" s="3494" t="s">
        <v>2996</v>
      </c>
      <c r="C71" s="3511"/>
      <c r="D71" s="356">
        <f ca="1">ROUND(D63*'数据-取费表'!B41/(1+'数据-取费表'!C42),0)</f>
        <v>349</v>
      </c>
      <c r="E71" s="17" t="s">
        <v>397</v>
      </c>
      <c r="F71" s="358">
        <f>'数据-取费表'!B41</f>
        <v>5.5000000000000007E-2</v>
      </c>
      <c r="G71" s="359"/>
      <c r="H71" s="309"/>
      <c r="I71" s="1246"/>
      <c r="J71" s="1918"/>
      <c r="K71" s="2764" t="s">
        <v>398</v>
      </c>
      <c r="L71" s="3452" t="s">
        <v>399</v>
      </c>
      <c r="M71" s="3452"/>
      <c r="N71" s="2764" t="s">
        <v>400</v>
      </c>
      <c r="O71" s="2764" t="s">
        <v>401</v>
      </c>
      <c r="P71" s="2764" t="s">
        <v>402</v>
      </c>
      <c r="Q71" s="1911"/>
      <c r="R71" s="1911"/>
      <c r="S71" s="1911"/>
      <c r="T71" s="1911"/>
      <c r="U71" s="1911"/>
      <c r="V71" s="1911"/>
    </row>
    <row r="72" spans="1:22" ht="12" customHeight="1">
      <c r="A72" s="357" t="s">
        <v>405</v>
      </c>
      <c r="B72" s="3494" t="s">
        <v>2997</v>
      </c>
      <c r="C72" s="3511"/>
      <c r="D72" s="356">
        <f ca="1">C86</f>
        <v>349</v>
      </c>
      <c r="E72" s="73" t="s">
        <v>406</v>
      </c>
      <c r="F72" s="358">
        <f>'数据-取费表'!B41</f>
        <v>5.5000000000000007E-2</v>
      </c>
      <c r="G72" s="359"/>
      <c r="H72" s="1252"/>
      <c r="I72" s="1246"/>
      <c r="J72" s="1918"/>
      <c r="K72" s="1890">
        <v>1</v>
      </c>
      <c r="L72" s="3448" t="s">
        <v>404</v>
      </c>
      <c r="M72" s="3448"/>
      <c r="N72" s="1250" t="b">
        <f>D66</f>
        <v>0</v>
      </c>
      <c r="O72" s="1773" t="str">
        <f>E66</f>
        <v>销售额×税（费）率</v>
      </c>
      <c r="P72" s="1251">
        <f>F66</f>
        <v>5.5000000000000007E-2</v>
      </c>
      <c r="Q72" s="1911"/>
      <c r="R72" s="1911"/>
      <c r="S72" s="1911"/>
      <c r="T72" s="1911"/>
      <c r="U72" s="1911"/>
      <c r="V72" s="1911"/>
    </row>
    <row r="73" spans="1:22" ht="24" customHeight="1">
      <c r="A73" s="3482" t="s">
        <v>408</v>
      </c>
      <c r="B73" s="3483"/>
      <c r="C73" s="3483"/>
      <c r="D73" s="360">
        <f ca="1">IF(H73="个人住宅",0,ROUND(D63*I73,0))</f>
        <v>3</v>
      </c>
      <c r="E73" s="17" t="s">
        <v>409</v>
      </c>
      <c r="F73" s="358" t="str">
        <f>IF(H73="正常",I73,"免征")</f>
        <v>免征</v>
      </c>
      <c r="G73" s="359"/>
      <c r="H73" s="189"/>
      <c r="I73" s="358">
        <f>'数据-取费表'!B49</f>
        <v>5.0000000000000001E-4</v>
      </c>
      <c r="J73" s="1918"/>
      <c r="K73" s="1890">
        <v>2</v>
      </c>
      <c r="L73" s="3448" t="s">
        <v>407</v>
      </c>
      <c r="M73" s="3448"/>
      <c r="N73" s="1250">
        <f t="shared" ref="N73:P74" ca="1" si="1">D73</f>
        <v>3</v>
      </c>
      <c r="O73" s="1773" t="str">
        <f t="shared" si="1"/>
        <v>销售额×税（费）率</v>
      </c>
      <c r="P73" s="1251" t="str">
        <f t="shared" si="1"/>
        <v>免征</v>
      </c>
      <c r="Q73" s="1911"/>
      <c r="R73" s="1911"/>
      <c r="S73" s="1911"/>
      <c r="T73" s="1911"/>
      <c r="U73" s="1911"/>
      <c r="V73" s="1911"/>
    </row>
    <row r="74" spans="1:22" ht="24.75">
      <c r="A74" s="3482" t="s">
        <v>411</v>
      </c>
      <c r="B74" s="3483"/>
      <c r="C74" s="3483"/>
      <c r="D74" s="360">
        <f ca="1">IF(H74="个人住宅",D75,D76)</f>
        <v>3779</v>
      </c>
      <c r="E74" s="17" t="s">
        <v>412</v>
      </c>
      <c r="F74" s="358" t="str">
        <f>IF(H74="正常",F76,"免征")</f>
        <v>免征</v>
      </c>
      <c r="G74" s="971" t="s">
        <v>413</v>
      </c>
      <c r="H74" s="361"/>
      <c r="I74" s="42"/>
      <c r="J74" s="1918"/>
      <c r="K74" s="1890">
        <v>3</v>
      </c>
      <c r="L74" s="3448" t="s">
        <v>410</v>
      </c>
      <c r="M74" s="3448"/>
      <c r="N74" s="1250">
        <f t="shared" ca="1" si="1"/>
        <v>3779</v>
      </c>
      <c r="O74" s="1773" t="str">
        <f t="shared" si="1"/>
        <v>增值额×税（费）率</v>
      </c>
      <c r="P74" s="1253" t="str">
        <f t="shared" si="1"/>
        <v>免征</v>
      </c>
      <c r="Q74" s="1911"/>
      <c r="R74" s="1911"/>
      <c r="S74" s="1911"/>
      <c r="T74" s="1911"/>
      <c r="U74" s="1911"/>
      <c r="V74" s="1911"/>
    </row>
    <row r="75" spans="1:22" ht="12.75">
      <c r="A75" s="357" t="s">
        <v>414</v>
      </c>
      <c r="B75" s="3463" t="s">
        <v>415</v>
      </c>
      <c r="C75" s="3464"/>
      <c r="D75" s="362">
        <v>0</v>
      </c>
      <c r="E75" s="41" t="s">
        <v>416</v>
      </c>
      <c r="F75" s="363"/>
      <c r="G75" s="359"/>
      <c r="H75" s="42"/>
      <c r="I75" s="42"/>
      <c r="J75" s="1918"/>
      <c r="K75" s="2758">
        <f>IF(H77="非个人房产","",4)</f>
        <v>4</v>
      </c>
      <c r="L75" s="3448" t="str">
        <f>IF(H77="非个人房产","——","个人所得税")</f>
        <v>个人所得税</v>
      </c>
      <c r="M75" s="3448"/>
      <c r="N75" s="1254">
        <f>D77</f>
        <v>0</v>
      </c>
      <c r="O75" s="1786" t="str">
        <f>E77</f>
        <v>差额计税</v>
      </c>
      <c r="P75" s="1255">
        <f>F77</f>
        <v>0.01</v>
      </c>
      <c r="Q75" s="1911"/>
      <c r="R75" s="1911"/>
      <c r="S75" s="1911"/>
      <c r="T75" s="1911"/>
      <c r="U75" s="1911"/>
      <c r="V75" s="1911"/>
    </row>
    <row r="76" spans="1:22" ht="24.75">
      <c r="A76" s="357" t="s">
        <v>395</v>
      </c>
      <c r="B76" s="3463" t="s">
        <v>418</v>
      </c>
      <c r="C76" s="3505"/>
      <c r="D76" s="360">
        <f ca="1">IF(H76="转让取得",C99,C115)</f>
        <v>3779</v>
      </c>
      <c r="E76" s="17" t="s">
        <v>419</v>
      </c>
      <c r="F76" s="53" t="s">
        <v>21</v>
      </c>
      <c r="G76" s="359"/>
      <c r="H76" s="361"/>
      <c r="I76" s="42"/>
      <c r="J76" s="1918"/>
      <c r="K76" s="2758" t="str">
        <f>IF(项目基本情况!K6="上海银行",IF(K75="",4,K75+1),"")</f>
        <v/>
      </c>
      <c r="L76" s="3459" t="str">
        <f>IF(项目基本情况!K6="上海银行","其他处置费用","")</f>
        <v/>
      </c>
      <c r="M76" s="3460"/>
      <c r="N76" s="1250" t="str">
        <f>IF(项目基本情况!K6="上海银行",N89,"")</f>
        <v/>
      </c>
      <c r="O76" s="3461" t="str">
        <f>IF(项目基本情况!K6="上海银行","包含处置中涉及的律师、诉讼、拍卖、评估等费用","")</f>
        <v/>
      </c>
      <c r="P76" s="3462"/>
      <c r="Q76" s="1911"/>
      <c r="R76" s="1911"/>
      <c r="S76" s="1911"/>
      <c r="T76" s="1911"/>
      <c r="U76" s="1911"/>
      <c r="V76" s="1911"/>
    </row>
    <row r="77" spans="1:22" ht="24.75" thickBot="1">
      <c r="A77" s="3474" t="s">
        <v>421</v>
      </c>
      <c r="B77" s="3475"/>
      <c r="C77" s="3475"/>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2968</v>
      </c>
      <c r="J77" s="1918"/>
      <c r="K77" s="3470">
        <f>IF(AND(K75="",K76=""),4,IF(项目基本情况!K6="上海银行",K76+1,K75+1))</f>
        <v>5</v>
      </c>
      <c r="L77" s="3448" t="s">
        <v>2864</v>
      </c>
      <c r="M77" s="2763" t="s">
        <v>417</v>
      </c>
      <c r="N77" s="1256"/>
      <c r="O77" s="1257">
        <f ca="1">SUMIF(N72:N76,"&lt;9e307")</f>
        <v>3782</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470"/>
      <c r="L78" s="3448"/>
      <c r="M78" s="2763" t="s">
        <v>420</v>
      </c>
      <c r="N78" s="1256"/>
      <c r="O78" s="1257" t="str">
        <f ca="1">NUMBERSTRING(INT(O77*10000),2)&amp;"元整"</f>
        <v>叁仟柒佰捌拾贰万元整</v>
      </c>
      <c r="P78" s="1258"/>
      <c r="Q78" s="1911"/>
      <c r="R78" s="1911"/>
      <c r="S78" s="1911"/>
      <c r="T78" s="1911"/>
      <c r="U78" s="1911"/>
      <c r="V78" s="1911"/>
    </row>
    <row r="79" spans="1:22" ht="13.5" thickBot="1">
      <c r="A79" s="3525" t="s">
        <v>422</v>
      </c>
      <c r="B79" s="3525"/>
      <c r="C79" s="3525"/>
      <c r="D79" s="3525"/>
      <c r="E79" s="3525"/>
      <c r="F79" s="42"/>
      <c r="G79" s="42"/>
      <c r="H79" s="991"/>
      <c r="I79" s="309"/>
      <c r="J79" s="1918"/>
      <c r="K79" s="3446">
        <f>K77+1</f>
        <v>6</v>
      </c>
      <c r="L79" s="3448" t="s">
        <v>2865</v>
      </c>
      <c r="M79" s="2763" t="s">
        <v>417</v>
      </c>
      <c r="N79" s="1256"/>
      <c r="O79" s="1257" t="e">
        <f ca="1">N69-O77</f>
        <v>#VALUE!</v>
      </c>
      <c r="P79" s="1258"/>
      <c r="Q79" s="1911"/>
      <c r="R79" s="1911"/>
      <c r="S79" s="1911"/>
      <c r="T79" s="1911"/>
      <c r="U79" s="1911"/>
      <c r="V79" s="1911"/>
    </row>
    <row r="80" spans="1:22" ht="12.75">
      <c r="A80" s="3456" t="s">
        <v>423</v>
      </c>
      <c r="B80" s="3457"/>
      <c r="C80" s="982"/>
      <c r="D80" s="982" t="s">
        <v>424</v>
      </c>
      <c r="E80" s="364" t="s">
        <v>425</v>
      </c>
      <c r="F80" s="42"/>
      <c r="G80" s="42"/>
      <c r="H80" s="991"/>
      <c r="I80" s="309"/>
      <c r="J80" s="1911"/>
      <c r="K80" s="3447"/>
      <c r="L80" s="3448"/>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6349</v>
      </c>
      <c r="D81" s="367"/>
      <c r="E81" s="368"/>
      <c r="F81" s="42"/>
      <c r="G81" s="42"/>
      <c r="H81" s="991"/>
      <c r="I81" s="309"/>
      <c r="J81" s="1911"/>
      <c r="K81" s="2758">
        <f>K79+1</f>
        <v>7</v>
      </c>
      <c r="L81" s="3468" t="s">
        <v>2866</v>
      </c>
      <c r="M81" s="3469"/>
      <c r="N81" s="1260"/>
      <c r="O81" s="1261" t="e">
        <f ca="1">ROUND(O79*10000/'数据-汇总表'!E3,0)</f>
        <v>#VALUE!</v>
      </c>
      <c r="P81" s="1262"/>
      <c r="Q81" s="1911"/>
      <c r="R81" s="1911"/>
      <c r="S81" s="1911"/>
      <c r="T81" s="1911"/>
      <c r="U81" s="1911"/>
      <c r="V81" s="1911"/>
    </row>
    <row r="82" spans="1:26" ht="13.5" thickTop="1">
      <c r="A82" s="369" t="s">
        <v>1815</v>
      </c>
      <c r="B82" s="370" t="s">
        <v>427</v>
      </c>
      <c r="C82" s="371">
        <f ca="1">D63</f>
        <v>6666</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458"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2909</v>
      </c>
      <c r="F84" s="42"/>
      <c r="G84" s="42"/>
      <c r="H84" s="991"/>
      <c r="I84" s="309"/>
      <c r="J84" s="1911"/>
      <c r="K84" s="3458"/>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6349</v>
      </c>
      <c r="D85" s="372" t="s">
        <v>19</v>
      </c>
      <c r="E85" s="373"/>
      <c r="F85" s="42"/>
      <c r="G85" s="42"/>
      <c r="H85" s="991"/>
      <c r="I85" s="309"/>
      <c r="J85" s="1911"/>
      <c r="K85" s="3458"/>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349</v>
      </c>
      <c r="D86" s="383">
        <f>'数据-取费表'!B41</f>
        <v>5.5000000000000007E-2</v>
      </c>
      <c r="E86" s="384"/>
      <c r="F86" s="42"/>
      <c r="G86" s="42"/>
      <c r="H86" s="991"/>
      <c r="I86" s="309"/>
      <c r="J86" s="1911"/>
      <c r="K86" s="3458"/>
      <c r="L86" s="2769" t="s">
        <v>2859</v>
      </c>
      <c r="M86" s="2759" t="e">
        <f>N69*0.5%</f>
        <v>#VALUE!</v>
      </c>
      <c r="N86" s="53" t="e">
        <f>IF(M86&gt;0.5,0.5,ROUND(M86,0))</f>
        <v>#VALUE!</v>
      </c>
      <c r="O86" s="1911" t="s">
        <v>2860</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58"/>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497" t="s">
        <v>432</v>
      </c>
      <c r="B88" s="3498"/>
      <c r="C88" s="3498"/>
      <c r="D88" s="3498"/>
      <c r="E88" s="3498"/>
      <c r="F88" s="3498"/>
      <c r="G88" s="3498"/>
      <c r="H88" s="3498"/>
      <c r="I88" s="1269"/>
      <c r="J88" s="1919"/>
      <c r="K88" s="3458"/>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456" t="s">
        <v>423</v>
      </c>
      <c r="B89" s="3457"/>
      <c r="C89" s="982"/>
      <c r="D89" s="982" t="s">
        <v>424</v>
      </c>
      <c r="E89" s="385" t="s">
        <v>433</v>
      </c>
      <c r="F89" s="386"/>
      <c r="G89" s="386"/>
      <c r="H89" s="387"/>
      <c r="I89" s="1270"/>
      <c r="J89" s="1921"/>
      <c r="K89" s="3458"/>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6349</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32</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94" t="s">
        <v>441</v>
      </c>
      <c r="F94" s="3495"/>
      <c r="G94" s="3495"/>
      <c r="H94" s="3496"/>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32</v>
      </c>
      <c r="D96" s="400">
        <f>'数据-取费表'!B43</f>
        <v>5.000000000000001E-3</v>
      </c>
      <c r="E96" s="3453" t="s">
        <v>2413</v>
      </c>
      <c r="F96" s="3454"/>
      <c r="G96" s="3454"/>
      <c r="H96" s="3455"/>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6317</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f ca="1">IF(C97&lt;=0,0,C97/C91)</f>
        <v>197.40625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f ca="1">ROUND(IF(C97&lt;=0,0,IF(C98&gt;=200%,C97*60%-C91*35%,IF(C98&gt;=100%,C97*50%-C91*15%,IF(C98&gt;=50%,C97*40%-C91*5%,IF(C98&lt;50%,C97*30%,0))))),0)</f>
        <v>3779</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97" t="s">
        <v>448</v>
      </c>
      <c r="B101" s="3498"/>
      <c r="C101" s="3498"/>
      <c r="D101" s="3498"/>
      <c r="E101" s="3498"/>
      <c r="F101" s="3498"/>
      <c r="G101" s="3498"/>
      <c r="H101" s="3498"/>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56" t="s">
        <v>423</v>
      </c>
      <c r="B102" s="3457"/>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6349</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32</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2989</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509" t="s">
        <v>2960</v>
      </c>
      <c r="H108" s="3510"/>
      <c r="I108" s="2859"/>
      <c r="J108" s="1916"/>
      <c r="K108" s="3244" t="s">
        <v>2990</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87" t="s">
        <v>456</v>
      </c>
      <c r="F109" s="3454"/>
      <c r="G109" s="3454"/>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487" t="s">
        <v>458</v>
      </c>
      <c r="F110" s="3454"/>
      <c r="G110" s="3454"/>
      <c r="H110" s="3455"/>
      <c r="I110" s="11"/>
      <c r="J110" s="1916"/>
      <c r="K110" s="3245" t="s">
        <v>2991</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32</v>
      </c>
      <c r="D111" s="400">
        <f>'数据-取费表'!B43</f>
        <v>5.000000000000001E-3</v>
      </c>
      <c r="E111" s="3453" t="s">
        <v>2413</v>
      </c>
      <c r="F111" s="3454"/>
      <c r="G111" s="3454"/>
      <c r="H111" s="3455"/>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87" t="s">
        <v>2436</v>
      </c>
      <c r="F112" s="3454"/>
      <c r="G112" s="3454"/>
      <c r="H112" s="3455"/>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6317</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f ca="1">IF(C113&lt;=0,0,C113/C104)</f>
        <v>197.40625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f ca="1">ROUND(IF(C113&lt;=0,0,IF(C114&gt;=200%,C113*60%-C104*35%,IF(C114&gt;=100%,C113*50%-C104*15%,IF(C114&gt;=50%,C113*40%-C104*5%,IF(C114&lt;50%,C113*30%,0))))),0)</f>
        <v>3779</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t="e">
        <f ca="1">C36</f>
        <v>#DIV/0!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t="e">
        <f ca="1">ROUND(B2*10000/IF(B1="",'数据-汇总表'!E3,INDIRECT("'数据-取费表'!K"&amp;$K$1)),0)</f>
        <v>#DIV/0!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t="e">
        <f ca="1">ROUND(B2*10000/IF(B1="",'数据-汇总表'!D3,INDIRECT("'数据-取费表'!R"&amp;$K$1)),0)</f>
        <v>#DIV/0!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t="e">
        <f ca="1">ROUND(B2/(IF(B1="",'数据-汇总表'!D3,INDIRECT("'数据-取费表'!R"&amp;$K$1))/666.67),0)</f>
        <v>#DIV/0!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0</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0</v>
      </c>
      <c r="D16" s="2561">
        <f ca="1">IF(B1="",'数据-汇总表'!E3,INDIRECT("'数据-取费表'!K"&amp;$K$1)+INDIRECT("'数据-取费表'!S"&amp;$K$1))</f>
        <v>44852.26</v>
      </c>
      <c r="E16" s="53">
        <f>'数据-取费表'!B35</f>
        <v>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0</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0</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44852.26</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-359</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179</v>
      </c>
      <c r="D22" s="2561">
        <f ca="1">IF(B1="",'数据-汇总表'!E6,IF(INDIRECT("'数据-取费表'!c"&amp;$K$1)="住宅",INDIRECT("'数据-取费表'!s"&amp;$K$1),INDIRECT("'数据-取费表'!k"&amp;$K$1)+INDIRECT("'数据-取费表'!s"&amp;$K$1)))</f>
        <v>44852.26</v>
      </c>
      <c r="E22" s="53">
        <f>'数据-取费表'!B28</f>
        <v>40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-7</v>
      </c>
      <c r="D23" s="462"/>
      <c r="E23" s="462"/>
      <c r="F23" s="2573">
        <f>'数据-取费表'!B37</f>
        <v>0.02</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ROUND(C6*F24,0)</f>
        <v>0</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2815</v>
      </c>
      <c r="C25" s="3276">
        <f>F25</f>
        <v>3.0499999999999999E-2</v>
      </c>
      <c r="D25" s="456" t="s">
        <v>2809</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2816</v>
      </c>
      <c r="C26" s="2574">
        <f ca="1">C28</f>
        <v>0</v>
      </c>
      <c r="D26" s="461">
        <f ca="1">C27</f>
        <v>0</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0</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2818</v>
      </c>
      <c r="C28" s="2577">
        <f ca="1">ROUND(IF('数据-取费表'!B22&lt;=1,(C18+C19+C20+C23+C24)*F26*'数据-取费表'!B24/2,(C18+C19+C20+C23+C24)*(POWER((1+F26),'数据-取费表'!B24/2)-1)),0)</f>
        <v>0</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0</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-366</v>
      </c>
      <c r="D30" s="471">
        <f ca="1">C32</f>
        <v>3.0499999999999999E-2</v>
      </c>
      <c r="E30" s="463" t="s">
        <v>489</v>
      </c>
      <c r="F30" s="465"/>
      <c r="G30" s="2537" t="s">
        <v>2937</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-366</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3.0499999999999999E-2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2813</v>
      </c>
      <c r="B33" s="2745" t="s">
        <v>2811</v>
      </c>
      <c r="C33" s="472" t="e">
        <f ca="1">C35</f>
        <v>#DIV/0!</v>
      </c>
      <c r="D33" s="461" t="e">
        <f ca="1">C34</f>
        <v>#DIV/0!</v>
      </c>
      <c r="E33" s="463" t="s">
        <v>489</v>
      </c>
      <c r="F33" s="473" t="e">
        <f ca="1">IF(B1="",'数据-取费表'!Q16,INDIRECT("'数据-取费表'!q"&amp;$K$1))</f>
        <v>#DIV/0!</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t="e">
        <f ca="1">ROUND((1+C25)*F33,4)</f>
        <v>#DIV/0!</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2819</v>
      </c>
      <c r="C35" s="1557" t="e">
        <f ca="1">ROUND((C18+C19+C20+C23+C24)*F33,0)</f>
        <v>#DIV/0!</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t="e">
        <f ca="1">ROUND((C6-C30-C33)/(1+D30+D33),0)</f>
        <v>#DIV/0!</v>
      </c>
      <c r="D36" s="2543"/>
      <c r="E36" s="2543"/>
      <c r="F36" s="2543"/>
      <c r="G36" s="2542" t="s">
        <v>2820</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P22" sqref="P22"/>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t="e">
        <f ca="1">C32</f>
        <v>#DIV/0!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t="e">
        <f ca="1">ROUND(B2*10000/IF(B1="",'数据-汇总表'!E3,INDIRECT("'数据-取费表'!K"&amp;$K$1)),0)</f>
        <v>#DIV/0!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t="e">
        <f ca="1">ROUND(B2*10000/IF(B1="",'数据-汇总表'!D3,INDIRECT("'数据-取费表'!R"&amp;$K$1)),0)</f>
        <v>#DIV/0!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t="e">
        <f ca="1">ROUND(B2/(IF(B1="",'数据-汇总表'!D3,INDIRECT("'数据-取费表'!R"&amp;$K$1))/666.67),0)</f>
        <v>#DIV/0!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0</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0</v>
      </c>
      <c r="D16" s="445">
        <f ca="1">IF(B1="",'数据-汇总表'!E3,INDIRECT("'数据-取费表'!K"&amp;$K$1)+INDIRECT("'数据-取费表'!S"&amp;$K$1))</f>
        <v>44852.26</v>
      </c>
      <c r="E16" s="53">
        <f>'数据-取费表'!B35</f>
        <v>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0</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0</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0</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0</v>
      </c>
      <c r="D21" s="461">
        <f ca="1">C23</f>
        <v>5.0000000000000001E-4</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0</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5.0000000000000001E-4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2812</v>
      </c>
      <c r="C24" s="472" t="e">
        <f ca="1">C25</f>
        <v>#DIV/0!</v>
      </c>
      <c r="D24" s="483" t="e">
        <f ca="1">C26</f>
        <v>#DIV/0!</v>
      </c>
      <c r="E24" s="463" t="s">
        <v>501</v>
      </c>
      <c r="F24" s="473" t="e">
        <f ca="1">IF(B1="",'数据-取费表'!Q16,INDIRECT("'数据-取费表'!q"&amp;$K$1))</f>
        <v>#DIV/0!</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t="e">
        <f ca="1">ROUND((C18+C19)*F24,0)</f>
        <v>#DIV/0!</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t="e">
        <f ca="1">ROUND(F20*F24,4)</f>
        <v>#DIV/0!</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5.2400000000000002E-2</v>
      </c>
      <c r="D27" s="456" t="s">
        <v>2810</v>
      </c>
      <c r="E27" s="456"/>
      <c r="F27" s="460">
        <f>'数据-取费表'!B41</f>
        <v>5.5000000000000007E-2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t="e">
        <f ca="1">ROUND((C18+C19+C21+C24)/(1-C20-D21-D24-C27),0)</f>
        <v>#DIV/0!</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t="e">
        <f ca="1">IF(B1="",'数据-取费表'!N16,INDIRECT("'数据-取费表'!N"&amp;$K$1))</f>
        <v>#DIV/0!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t="e">
        <f ca="1">ROUND(C28*C29,0)</f>
        <v>#DIV/0!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t="e">
        <f ca="1">IF('数据-取费表'!B20&lt;=1,(C6-C30-C31)/(1+F21*'数据-取费表'!B20+F24)/(1+'数据-取费表'!B48+'数据-取费表'!B49),(C6-C30-C31)/(1+(POWER((1+F21),'数据-取费表'!B20)-1)+F24)/(1+'数据-取费表'!B48+'数据-取费表'!B49))</f>
        <v>#DIV/0!</v>
      </c>
      <c r="D32" s="477"/>
      <c r="E32" s="477"/>
      <c r="F32" s="477"/>
      <c r="G32" s="2336" t="s">
        <v>2938</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53" t="str">
        <f>项目基本情况!B1</f>
        <v>北京市出让国有建设用地使用权市场价格预评估</v>
      </c>
      <c r="C37" s="3353"/>
      <c r="D37" s="3353"/>
      <c r="E37" s="3353"/>
      <c r="F37" s="3353"/>
      <c r="G37" s="3353"/>
      <c r="H37" s="3353"/>
      <c r="I37" s="3353"/>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60" zoomScaleNormal="95" workbookViewId="0">
      <selection activeCell="S47" sqref="S4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48" t="s">
        <v>516</v>
      </c>
      <c r="D6" s="3549"/>
      <c r="E6" s="3548" t="s">
        <v>517</v>
      </c>
      <c r="F6" s="3549"/>
      <c r="G6" s="3548" t="s">
        <v>518</v>
      </c>
      <c r="H6" s="3549"/>
      <c r="I6" s="3548" t="s">
        <v>519</v>
      </c>
      <c r="J6" s="3549"/>
      <c r="K6" s="508" t="s">
        <v>520</v>
      </c>
      <c r="L6" s="2015"/>
      <c r="M6" s="2014"/>
      <c r="N6" s="2014"/>
      <c r="O6" s="2016"/>
      <c r="P6" s="3550" t="s">
        <v>521</v>
      </c>
      <c r="Q6" s="3551"/>
      <c r="R6" s="3536" t="s">
        <v>517</v>
      </c>
      <c r="S6" s="3537"/>
      <c r="T6" s="3536" t="s">
        <v>518</v>
      </c>
      <c r="U6" s="3537"/>
      <c r="V6" s="3556" t="s">
        <v>519</v>
      </c>
      <c r="W6" s="3556"/>
      <c r="X6" s="1502"/>
      <c r="Y6" s="3536" t="s">
        <v>521</v>
      </c>
      <c r="Z6" s="3537"/>
      <c r="AA6" s="3531" t="s">
        <v>517</v>
      </c>
      <c r="AB6" s="3532" t="s">
        <v>518</v>
      </c>
      <c r="AC6" s="3531" t="s">
        <v>519</v>
      </c>
    </row>
    <row r="7" spans="1:30" ht="20.25">
      <c r="A7" s="509"/>
      <c r="B7" s="510"/>
      <c r="C7" s="3559" t="s">
        <v>2898</v>
      </c>
      <c r="D7" s="3560"/>
      <c r="E7" s="3559" t="s">
        <v>2899</v>
      </c>
      <c r="F7" s="3560"/>
      <c r="G7" s="3559" t="s">
        <v>2900</v>
      </c>
      <c r="H7" s="3560"/>
      <c r="I7" s="3559" t="s">
        <v>2901</v>
      </c>
      <c r="J7" s="3560"/>
      <c r="K7" s="508"/>
      <c r="L7" s="2015"/>
      <c r="M7" s="2014"/>
      <c r="N7" s="2014"/>
      <c r="O7" s="2016"/>
      <c r="P7" s="3552"/>
      <c r="Q7" s="3553"/>
      <c r="R7" s="3538"/>
      <c r="S7" s="3539"/>
      <c r="T7" s="3538"/>
      <c r="U7" s="3539"/>
      <c r="V7" s="3556"/>
      <c r="W7" s="3556"/>
      <c r="X7" s="1502"/>
      <c r="Y7" s="3538"/>
      <c r="Z7" s="3539"/>
      <c r="AA7" s="3532"/>
      <c r="AB7" s="3532"/>
      <c r="AC7" s="3532"/>
    </row>
    <row r="8" spans="1:30" ht="21" thickBot="1">
      <c r="A8" s="509"/>
      <c r="B8" s="510"/>
      <c r="C8" s="3561" t="s">
        <v>2902</v>
      </c>
      <c r="D8" s="3562"/>
      <c r="E8" s="3561" t="s">
        <v>2902</v>
      </c>
      <c r="F8" s="3562"/>
      <c r="G8" s="3557" t="s">
        <v>2902</v>
      </c>
      <c r="H8" s="3558"/>
      <c r="I8" s="3557" t="s">
        <v>2902</v>
      </c>
      <c r="J8" s="3558"/>
      <c r="K8" s="508" t="s">
        <v>522</v>
      </c>
      <c r="L8" s="2015"/>
      <c r="M8" s="2014"/>
      <c r="N8" s="2014"/>
      <c r="O8" s="2016"/>
      <c r="P8" s="3554"/>
      <c r="Q8" s="3555"/>
      <c r="R8" s="3538"/>
      <c r="S8" s="3539"/>
      <c r="T8" s="3540"/>
      <c r="U8" s="3541"/>
      <c r="V8" s="3556"/>
      <c r="W8" s="3556"/>
      <c r="X8" s="1502"/>
      <c r="Y8" s="3540"/>
      <c r="Z8" s="3541"/>
      <c r="AA8" s="3533"/>
      <c r="AB8" s="3533"/>
      <c r="AC8" s="3533"/>
    </row>
    <row r="9" spans="1:30" s="1203" customFormat="1" ht="21" thickBot="1">
      <c r="A9" s="2629"/>
      <c r="B9" s="2636" t="s">
        <v>523</v>
      </c>
      <c r="C9" s="2628">
        <f>'数据-取费表'!B2</f>
        <v>44201</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534" t="s">
        <v>524</v>
      </c>
      <c r="Q9" s="3543"/>
      <c r="R9" s="1503" t="s">
        <v>8</v>
      </c>
      <c r="S9" s="1504">
        <f t="shared" ref="S9:S17" si="0">F9</f>
        <v>0</v>
      </c>
      <c r="T9" s="1503" t="s">
        <v>8</v>
      </c>
      <c r="U9" s="1504">
        <f t="shared" ref="U9:U17" si="1">H9</f>
        <v>0</v>
      </c>
      <c r="V9" s="1503" t="s">
        <v>8</v>
      </c>
      <c r="W9" s="1504">
        <f t="shared" ref="W9:W17" si="2">J9</f>
        <v>0</v>
      </c>
      <c r="X9" s="1505"/>
      <c r="Y9" s="3534" t="s">
        <v>524</v>
      </c>
      <c r="Z9" s="3535"/>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534" t="s">
        <v>527</v>
      </c>
      <c r="Q10" s="3535"/>
      <c r="R10" s="1503" t="s">
        <v>8</v>
      </c>
      <c r="S10" s="1504">
        <f t="shared" si="0"/>
        <v>0</v>
      </c>
      <c r="T10" s="1503" t="s">
        <v>8</v>
      </c>
      <c r="U10" s="1504">
        <f t="shared" si="1"/>
        <v>0</v>
      </c>
      <c r="V10" s="1503" t="s">
        <v>8</v>
      </c>
      <c r="W10" s="1504">
        <f t="shared" si="2"/>
        <v>0</v>
      </c>
      <c r="X10" s="1505"/>
      <c r="Y10" s="3534" t="s">
        <v>527</v>
      </c>
      <c r="Z10" s="3535"/>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42" t="s">
        <v>529</v>
      </c>
      <c r="Q11" s="1134" t="str">
        <f t="shared" ref="Q11:Q17" si="6">B11</f>
        <v>用途</v>
      </c>
      <c r="R11" s="1503" t="s">
        <v>8</v>
      </c>
      <c r="S11" s="1504">
        <f t="shared" si="0"/>
        <v>100</v>
      </c>
      <c r="T11" s="1503" t="s">
        <v>8</v>
      </c>
      <c r="U11" s="1504">
        <f t="shared" si="1"/>
        <v>100</v>
      </c>
      <c r="V11" s="1503" t="s">
        <v>8</v>
      </c>
      <c r="W11" s="1504">
        <f t="shared" si="2"/>
        <v>100</v>
      </c>
      <c r="X11" s="1505"/>
      <c r="Y11" s="3493"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106</v>
      </c>
      <c r="G12" s="524"/>
      <c r="H12" s="253">
        <f>ROUND(100/'数据-取费表'!G16,0)</f>
        <v>106</v>
      </c>
      <c r="I12" s="524"/>
      <c r="J12" s="253">
        <f>ROUND(100/'数据-取费表'!G16,0)</f>
        <v>106</v>
      </c>
      <c r="K12" s="525"/>
      <c r="L12" s="2020"/>
      <c r="M12" s="2014"/>
      <c r="N12" s="2014"/>
      <c r="O12" s="2021"/>
      <c r="P12" s="3542"/>
      <c r="Q12" s="1134" t="str">
        <f t="shared" si="6"/>
        <v>土地使用年限（年）</v>
      </c>
      <c r="R12" s="1503" t="s">
        <v>8</v>
      </c>
      <c r="S12" s="1504">
        <f t="shared" si="0"/>
        <v>106</v>
      </c>
      <c r="T12" s="1503" t="s">
        <v>8</v>
      </c>
      <c r="U12" s="1504">
        <f t="shared" si="1"/>
        <v>106</v>
      </c>
      <c r="V12" s="1503" t="s">
        <v>8</v>
      </c>
      <c r="W12" s="1504">
        <f t="shared" si="2"/>
        <v>106</v>
      </c>
      <c r="X12" s="1505"/>
      <c r="Y12" s="3493"/>
      <c r="Z12" s="1133" t="str">
        <f t="shared" si="7"/>
        <v>土地使用年限（年）</v>
      </c>
      <c r="AA12" s="1506">
        <f t="shared" si="3"/>
        <v>0.94339622641509435</v>
      </c>
      <c r="AB12" s="1506">
        <f t="shared" si="4"/>
        <v>0.94339622641509435</v>
      </c>
      <c r="AC12" s="1506">
        <f t="shared" si="5"/>
        <v>0.94339622641509435</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542"/>
      <c r="Q13" s="1134" t="str">
        <f t="shared" si="6"/>
        <v>容积率</v>
      </c>
      <c r="R13" s="1503" t="s">
        <v>8</v>
      </c>
      <c r="S13" s="1504" t="e">
        <f t="shared" si="0"/>
        <v>#N/A</v>
      </c>
      <c r="T13" s="1503" t="s">
        <v>8</v>
      </c>
      <c r="U13" s="1504" t="e">
        <f t="shared" si="1"/>
        <v>#N/A</v>
      </c>
      <c r="V13" s="1503" t="s">
        <v>8</v>
      </c>
      <c r="W13" s="1504" t="e">
        <f t="shared" si="2"/>
        <v>#N/A</v>
      </c>
      <c r="X13" s="1505"/>
      <c r="Y13" s="3493"/>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542"/>
      <c r="Q14" s="1134" t="str">
        <f t="shared" si="6"/>
        <v>配建</v>
      </c>
      <c r="R14" s="1503" t="s">
        <v>8</v>
      </c>
      <c r="S14" s="1504">
        <f t="shared" si="0"/>
        <v>100</v>
      </c>
      <c r="T14" s="1503" t="s">
        <v>8</v>
      </c>
      <c r="U14" s="1504">
        <f t="shared" si="1"/>
        <v>100</v>
      </c>
      <c r="V14" s="1503" t="s">
        <v>8</v>
      </c>
      <c r="W14" s="1504">
        <f t="shared" si="2"/>
        <v>100</v>
      </c>
      <c r="X14" s="1505"/>
      <c r="Y14" s="3493"/>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42"/>
      <c r="Q15" s="1134">
        <f t="shared" si="6"/>
        <v>111</v>
      </c>
      <c r="R15" s="1503" t="s">
        <v>8</v>
      </c>
      <c r="S15" s="1504">
        <f t="shared" si="0"/>
        <v>100</v>
      </c>
      <c r="T15" s="1503" t="s">
        <v>8</v>
      </c>
      <c r="U15" s="1504">
        <f t="shared" si="1"/>
        <v>100</v>
      </c>
      <c r="V15" s="1503" t="s">
        <v>8</v>
      </c>
      <c r="W15" s="1504">
        <f t="shared" si="2"/>
        <v>100</v>
      </c>
      <c r="X15" s="1505"/>
      <c r="Y15" s="3493"/>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42"/>
      <c r="Q16" s="1134">
        <f t="shared" si="6"/>
        <v>111</v>
      </c>
      <c r="R16" s="1503" t="s">
        <v>8</v>
      </c>
      <c r="S16" s="1504">
        <f t="shared" si="0"/>
        <v>100</v>
      </c>
      <c r="T16" s="1503" t="s">
        <v>8</v>
      </c>
      <c r="U16" s="1504">
        <f t="shared" si="1"/>
        <v>100</v>
      </c>
      <c r="V16" s="1503" t="s">
        <v>8</v>
      </c>
      <c r="W16" s="1504">
        <f t="shared" si="2"/>
        <v>100</v>
      </c>
      <c r="X16" s="1505"/>
      <c r="Y16" s="3493"/>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44" t="s">
        <v>534</v>
      </c>
      <c r="Q17" s="1507" t="str">
        <f t="shared" si="6"/>
        <v>居住社区成熟度</v>
      </c>
      <c r="R17" s="1508" t="s">
        <v>8</v>
      </c>
      <c r="S17" s="1509">
        <f t="shared" si="0"/>
        <v>100</v>
      </c>
      <c r="T17" s="1508" t="s">
        <v>8</v>
      </c>
      <c r="U17" s="1509">
        <f t="shared" si="1"/>
        <v>100</v>
      </c>
      <c r="V17" s="1508" t="s">
        <v>8</v>
      </c>
      <c r="W17" s="1509">
        <f t="shared" si="2"/>
        <v>100</v>
      </c>
      <c r="X17" s="1502"/>
      <c r="Y17" s="3544"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545"/>
      <c r="Q18" s="1507"/>
      <c r="R18" s="1508"/>
      <c r="S18" s="1509"/>
      <c r="T18" s="1508"/>
      <c r="U18" s="1509"/>
      <c r="V18" s="1508"/>
      <c r="W18" s="1509"/>
      <c r="X18" s="1502"/>
      <c r="Y18" s="3545"/>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45"/>
      <c r="Q19" s="1507" t="str">
        <f>B19</f>
        <v>商业繁华度</v>
      </c>
      <c r="R19" s="1508" t="s">
        <v>8</v>
      </c>
      <c r="S19" s="1509">
        <f>F19</f>
        <v>100</v>
      </c>
      <c r="T19" s="1508" t="s">
        <v>8</v>
      </c>
      <c r="U19" s="1509">
        <f>H19</f>
        <v>100</v>
      </c>
      <c r="V19" s="1508" t="s">
        <v>8</v>
      </c>
      <c r="W19" s="1509">
        <f>J19</f>
        <v>100</v>
      </c>
      <c r="X19" s="1502"/>
      <c r="Y19" s="3545"/>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545"/>
      <c r="Q20" s="1507"/>
      <c r="R20" s="1508"/>
      <c r="S20" s="1509"/>
      <c r="T20" s="1508"/>
      <c r="U20" s="1509"/>
      <c r="V20" s="1508"/>
      <c r="W20" s="1509"/>
      <c r="X20" s="1502"/>
      <c r="Y20" s="3545"/>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45"/>
      <c r="Q21" s="1507" t="str">
        <f>B21</f>
        <v>办公集聚程度</v>
      </c>
      <c r="R21" s="1508" t="s">
        <v>8</v>
      </c>
      <c r="S21" s="1509">
        <f>F21</f>
        <v>100</v>
      </c>
      <c r="T21" s="1508" t="s">
        <v>8</v>
      </c>
      <c r="U21" s="1509">
        <f>H21</f>
        <v>100</v>
      </c>
      <c r="V21" s="1508" t="s">
        <v>8</v>
      </c>
      <c r="W21" s="1509">
        <f>J21</f>
        <v>100</v>
      </c>
      <c r="X21" s="1502"/>
      <c r="Y21" s="3545"/>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545"/>
      <c r="Q22" s="1507"/>
      <c r="R22" s="1508"/>
      <c r="S22" s="1509"/>
      <c r="T22" s="1508"/>
      <c r="U22" s="1509"/>
      <c r="V22" s="1508"/>
      <c r="W22" s="1509"/>
      <c r="X22" s="1502"/>
      <c r="Y22" s="3545"/>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45"/>
      <c r="Q23" s="1507" t="str">
        <f>B23</f>
        <v>交通便捷度</v>
      </c>
      <c r="R23" s="1508" t="s">
        <v>8</v>
      </c>
      <c r="S23" s="1509">
        <f>F23</f>
        <v>100</v>
      </c>
      <c r="T23" s="1508" t="s">
        <v>8</v>
      </c>
      <c r="U23" s="1509">
        <f>H23</f>
        <v>100</v>
      </c>
      <c r="V23" s="1508" t="s">
        <v>8</v>
      </c>
      <c r="W23" s="1509">
        <f>J23</f>
        <v>100</v>
      </c>
      <c r="X23" s="1502"/>
      <c r="Y23" s="3545"/>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545"/>
      <c r="Q24" s="1507"/>
      <c r="R24" s="1508"/>
      <c r="S24" s="1509"/>
      <c r="T24" s="1508"/>
      <c r="U24" s="1509"/>
      <c r="V24" s="1508"/>
      <c r="W24" s="1509"/>
      <c r="X24" s="1502"/>
      <c r="Y24" s="3545"/>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45"/>
      <c r="Q25" s="1507" t="str">
        <f t="shared" ref="Q25:Q39" si="8">B25</f>
        <v>区域土地利用方向</v>
      </c>
      <c r="R25" s="1508" t="s">
        <v>8</v>
      </c>
      <c r="S25" s="1509">
        <f>F25</f>
        <v>100</v>
      </c>
      <c r="T25" s="1508" t="s">
        <v>8</v>
      </c>
      <c r="U25" s="1509">
        <f>H25</f>
        <v>100</v>
      </c>
      <c r="V25" s="1508" t="s">
        <v>8</v>
      </c>
      <c r="W25" s="1509">
        <f>J25</f>
        <v>100</v>
      </c>
      <c r="X25" s="1502"/>
      <c r="Y25" s="3545"/>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545"/>
      <c r="Q26" s="1507"/>
      <c r="R26" s="1508"/>
      <c r="S26" s="1509"/>
      <c r="T26" s="1508"/>
      <c r="U26" s="1509"/>
      <c r="V26" s="1508"/>
      <c r="W26" s="1509"/>
      <c r="X26" s="1502"/>
      <c r="Y26" s="3545"/>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45"/>
      <c r="Q27" s="1507" t="str">
        <f t="shared" si="8"/>
        <v>自然及人文环境状况</v>
      </c>
      <c r="R27" s="1508" t="s">
        <v>8</v>
      </c>
      <c r="S27" s="1509">
        <f>F27</f>
        <v>100</v>
      </c>
      <c r="T27" s="1508" t="s">
        <v>8</v>
      </c>
      <c r="U27" s="1509">
        <f>H27</f>
        <v>100</v>
      </c>
      <c r="V27" s="1508" t="s">
        <v>8</v>
      </c>
      <c r="W27" s="1509">
        <f>J27</f>
        <v>100</v>
      </c>
      <c r="X27" s="1502"/>
      <c r="Y27" s="3545"/>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545"/>
      <c r="Q28" s="1507"/>
      <c r="R28" s="1508"/>
      <c r="S28" s="1509"/>
      <c r="T28" s="1508"/>
      <c r="U28" s="1509"/>
      <c r="V28" s="1508"/>
      <c r="W28" s="1509"/>
      <c r="X28" s="1502"/>
      <c r="Y28" s="3545"/>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45"/>
      <c r="Q29" s="1134" t="str">
        <f t="shared" si="8"/>
        <v>公共配套设施</v>
      </c>
      <c r="R29" s="1503" t="s">
        <v>8</v>
      </c>
      <c r="S29" s="1504">
        <f>F29</f>
        <v>100</v>
      </c>
      <c r="T29" s="1503" t="s">
        <v>8</v>
      </c>
      <c r="U29" s="1504">
        <f>H29</f>
        <v>100</v>
      </c>
      <c r="V29" s="1503" t="s">
        <v>8</v>
      </c>
      <c r="W29" s="1504">
        <f>J29</f>
        <v>100</v>
      </c>
      <c r="X29" s="1505"/>
      <c r="Y29" s="3545"/>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545"/>
      <c r="Q30" s="1134"/>
      <c r="R30" s="1503"/>
      <c r="S30" s="1504"/>
      <c r="T30" s="1503"/>
      <c r="U30" s="1504"/>
      <c r="V30" s="1503"/>
      <c r="W30" s="1504"/>
      <c r="X30" s="1505"/>
      <c r="Y30" s="3545"/>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45"/>
      <c r="Q31" s="2428" t="str">
        <f t="shared" ref="Q31" si="9">B31</f>
        <v>基础设施水平</v>
      </c>
      <c r="R31" s="1503" t="s">
        <v>8</v>
      </c>
      <c r="S31" s="1504">
        <f>F31</f>
        <v>100</v>
      </c>
      <c r="T31" s="1503" t="s">
        <v>8</v>
      </c>
      <c r="U31" s="1504">
        <f>H31</f>
        <v>100</v>
      </c>
      <c r="V31" s="1503" t="s">
        <v>8</v>
      </c>
      <c r="W31" s="1504">
        <f>J31</f>
        <v>100</v>
      </c>
      <c r="X31" s="1505"/>
      <c r="Y31" s="3545"/>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545"/>
      <c r="Q32" s="2428"/>
      <c r="R32" s="1503"/>
      <c r="S32" s="1504"/>
      <c r="T32" s="1503"/>
      <c r="U32" s="1504"/>
      <c r="V32" s="1503"/>
      <c r="W32" s="1504"/>
      <c r="X32" s="1505"/>
      <c r="Y32" s="3545"/>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45"/>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45"/>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45"/>
      <c r="Q34" s="1507" t="str">
        <f t="shared" si="8"/>
        <v>毗邻道路的类型与等级</v>
      </c>
      <c r="R34" s="1508" t="s">
        <v>8</v>
      </c>
      <c r="S34" s="1509">
        <f t="shared" si="10"/>
        <v>100</v>
      </c>
      <c r="T34" s="1508" t="s">
        <v>8</v>
      </c>
      <c r="U34" s="1509">
        <f t="shared" si="11"/>
        <v>100</v>
      </c>
      <c r="V34" s="1508" t="s">
        <v>8</v>
      </c>
      <c r="W34" s="1509">
        <f t="shared" si="12"/>
        <v>100</v>
      </c>
      <c r="X34" s="1502"/>
      <c r="Y34" s="3545"/>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545"/>
      <c r="Q35" s="1507"/>
      <c r="R35" s="1508"/>
      <c r="S35" s="1509"/>
      <c r="T35" s="1508"/>
      <c r="U35" s="1509"/>
      <c r="V35" s="1508"/>
      <c r="W35" s="1509"/>
      <c r="X35" s="1502"/>
      <c r="Y35" s="3545"/>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45"/>
      <c r="Q36" s="1507" t="str">
        <f t="shared" si="8"/>
        <v>土地级别</v>
      </c>
      <c r="R36" s="1508" t="s">
        <v>8</v>
      </c>
      <c r="S36" s="1509">
        <f t="shared" si="10"/>
        <v>100</v>
      </c>
      <c r="T36" s="1508" t="s">
        <v>8</v>
      </c>
      <c r="U36" s="1509">
        <f t="shared" si="11"/>
        <v>100</v>
      </c>
      <c r="V36" s="1508" t="s">
        <v>8</v>
      </c>
      <c r="W36" s="1509">
        <f t="shared" si="12"/>
        <v>100</v>
      </c>
      <c r="X36" s="1502"/>
      <c r="Y36" s="3545"/>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45"/>
      <c r="Q37" s="1507">
        <f t="shared" si="8"/>
        <v>111</v>
      </c>
      <c r="R37" s="1508" t="s">
        <v>8</v>
      </c>
      <c r="S37" s="1509">
        <f t="shared" si="10"/>
        <v>100</v>
      </c>
      <c r="T37" s="1508" t="s">
        <v>8</v>
      </c>
      <c r="U37" s="1509">
        <f t="shared" si="11"/>
        <v>100</v>
      </c>
      <c r="V37" s="1508" t="s">
        <v>8</v>
      </c>
      <c r="W37" s="1509">
        <f t="shared" si="12"/>
        <v>100</v>
      </c>
      <c r="X37" s="1502"/>
      <c r="Y37" s="3545"/>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46" t="s">
        <v>544</v>
      </c>
      <c r="Q38" s="1507">
        <f t="shared" si="8"/>
        <v>111</v>
      </c>
      <c r="R38" s="1508" t="s">
        <v>8</v>
      </c>
      <c r="S38" s="1509">
        <f t="shared" si="10"/>
        <v>100</v>
      </c>
      <c r="T38" s="1508" t="s">
        <v>8</v>
      </c>
      <c r="U38" s="1509">
        <f t="shared" si="11"/>
        <v>100</v>
      </c>
      <c r="V38" s="1508" t="s">
        <v>8</v>
      </c>
      <c r="W38" s="1509">
        <f t="shared" si="12"/>
        <v>100</v>
      </c>
      <c r="X38" s="1502"/>
      <c r="Y38" s="3547"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47"/>
      <c r="Q39" s="1507">
        <f t="shared" si="8"/>
        <v>111</v>
      </c>
      <c r="R39" s="1512" t="s">
        <v>8</v>
      </c>
      <c r="S39" s="1513">
        <f t="shared" si="10"/>
        <v>100</v>
      </c>
      <c r="T39" s="1512" t="s">
        <v>8</v>
      </c>
      <c r="U39" s="1513">
        <f t="shared" si="11"/>
        <v>100</v>
      </c>
      <c r="V39" s="1512" t="s">
        <v>8</v>
      </c>
      <c r="W39" s="1513">
        <f t="shared" si="12"/>
        <v>100</v>
      </c>
      <c r="X39" s="1514"/>
      <c r="Y39" s="3547"/>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547"/>
      <c r="Q40" s="1507" t="str">
        <f>B40</f>
        <v>宗地面积</v>
      </c>
      <c r="R40" s="1508" t="s">
        <v>8</v>
      </c>
      <c r="S40" s="1509" t="e">
        <f t="shared" si="10"/>
        <v>#N/A</v>
      </c>
      <c r="T40" s="1508" t="s">
        <v>8</v>
      </c>
      <c r="U40" s="1509" t="e">
        <f t="shared" si="11"/>
        <v>#N/A</v>
      </c>
      <c r="V40" s="1508" t="s">
        <v>8</v>
      </c>
      <c r="W40" s="1509" t="e">
        <f t="shared" si="12"/>
        <v>#N/A</v>
      </c>
      <c r="X40" s="1502"/>
      <c r="Y40" s="3547"/>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47"/>
      <c r="Q41" s="1507" t="str">
        <f t="shared" ref="Q41:Q47" si="14">B41</f>
        <v>宗地形状</v>
      </c>
      <c r="R41" s="1508" t="s">
        <v>8</v>
      </c>
      <c r="S41" s="1509">
        <f t="shared" si="10"/>
        <v>100</v>
      </c>
      <c r="T41" s="1508" t="s">
        <v>8</v>
      </c>
      <c r="U41" s="1509">
        <f t="shared" si="11"/>
        <v>100</v>
      </c>
      <c r="V41" s="1508" t="s">
        <v>8</v>
      </c>
      <c r="W41" s="1509">
        <f t="shared" si="12"/>
        <v>100</v>
      </c>
      <c r="X41" s="1502"/>
      <c r="Y41" s="3547"/>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47"/>
      <c r="Q42" s="1507" t="str">
        <f t="shared" si="14"/>
        <v>临街宽度及深度</v>
      </c>
      <c r="R42" s="1508" t="s">
        <v>8</v>
      </c>
      <c r="S42" s="1509">
        <f t="shared" si="10"/>
        <v>100</v>
      </c>
      <c r="T42" s="1508" t="s">
        <v>8</v>
      </c>
      <c r="U42" s="1509">
        <f t="shared" si="11"/>
        <v>100</v>
      </c>
      <c r="V42" s="1508" t="s">
        <v>8</v>
      </c>
      <c r="W42" s="1509">
        <f t="shared" si="12"/>
        <v>100</v>
      </c>
      <c r="X42" s="1502"/>
      <c r="Y42" s="3547"/>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47"/>
      <c r="Q43" s="1507" t="str">
        <f t="shared" si="14"/>
        <v>宗地开发程度</v>
      </c>
      <c r="R43" s="1503" t="s">
        <v>8</v>
      </c>
      <c r="S43" s="1504">
        <f t="shared" si="10"/>
        <v>100</v>
      </c>
      <c r="T43" s="1503" t="s">
        <v>8</v>
      </c>
      <c r="U43" s="1504">
        <f t="shared" si="11"/>
        <v>100</v>
      </c>
      <c r="V43" s="1503" t="s">
        <v>8</v>
      </c>
      <c r="W43" s="1504">
        <f t="shared" si="12"/>
        <v>100</v>
      </c>
      <c r="X43" s="1505"/>
      <c r="Y43" s="3547"/>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47" t="s">
        <v>544</v>
      </c>
      <c r="Q44" s="1507" t="str">
        <f t="shared" si="14"/>
        <v>工程地质条件</v>
      </c>
      <c r="R44" s="1508" t="s">
        <v>8</v>
      </c>
      <c r="S44" s="1509">
        <f t="shared" si="10"/>
        <v>100</v>
      </c>
      <c r="T44" s="1508" t="s">
        <v>8</v>
      </c>
      <c r="U44" s="1509">
        <f t="shared" si="11"/>
        <v>100</v>
      </c>
      <c r="V44" s="1508" t="s">
        <v>8</v>
      </c>
      <c r="W44" s="1509">
        <f t="shared" si="12"/>
        <v>100</v>
      </c>
      <c r="X44" s="1502"/>
      <c r="Y44" s="3547"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47"/>
      <c r="Q45" s="1507">
        <f t="shared" si="14"/>
        <v>111</v>
      </c>
      <c r="R45" s="1508" t="s">
        <v>8</v>
      </c>
      <c r="S45" s="1509">
        <f t="shared" si="10"/>
        <v>100</v>
      </c>
      <c r="T45" s="1508" t="s">
        <v>8</v>
      </c>
      <c r="U45" s="1509">
        <f t="shared" si="11"/>
        <v>100</v>
      </c>
      <c r="V45" s="1508" t="s">
        <v>8</v>
      </c>
      <c r="W45" s="1509">
        <f t="shared" si="12"/>
        <v>100</v>
      </c>
      <c r="X45" s="1502"/>
      <c r="Y45" s="3547"/>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47"/>
      <c r="Q46" s="1507">
        <f t="shared" si="14"/>
        <v>111</v>
      </c>
      <c r="R46" s="1508" t="s">
        <v>8</v>
      </c>
      <c r="S46" s="1509">
        <f t="shared" si="10"/>
        <v>100</v>
      </c>
      <c r="T46" s="1508" t="s">
        <v>8</v>
      </c>
      <c r="U46" s="1509">
        <f t="shared" si="11"/>
        <v>100</v>
      </c>
      <c r="V46" s="1508" t="s">
        <v>8</v>
      </c>
      <c r="W46" s="1509">
        <f t="shared" si="12"/>
        <v>100</v>
      </c>
      <c r="X46" s="1502"/>
      <c r="Y46" s="3547"/>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47"/>
      <c r="Q47" s="1507">
        <f t="shared" si="14"/>
        <v>111</v>
      </c>
      <c r="R47" s="1512" t="s">
        <v>8</v>
      </c>
      <c r="S47" s="1513">
        <f t="shared" si="10"/>
        <v>100</v>
      </c>
      <c r="T47" s="1512" t="s">
        <v>8</v>
      </c>
      <c r="U47" s="1513">
        <f t="shared" si="11"/>
        <v>100</v>
      </c>
      <c r="V47" s="1512" t="s">
        <v>8</v>
      </c>
      <c r="W47" s="1513">
        <f t="shared" si="12"/>
        <v>100</v>
      </c>
      <c r="X47" s="1514"/>
      <c r="Y47" s="3547"/>
      <c r="Z47" s="1515">
        <f t="shared" si="13"/>
        <v>111</v>
      </c>
      <c r="AA47" s="1511">
        <f t="shared" si="3"/>
        <v>1</v>
      </c>
      <c r="AB47" s="1511">
        <f t="shared" si="4"/>
        <v>1</v>
      </c>
      <c r="AC47" s="1511">
        <f t="shared" si="5"/>
        <v>1</v>
      </c>
    </row>
    <row r="48" spans="1:29" ht="20.25">
      <c r="A48" s="601" t="s">
        <v>550</v>
      </c>
      <c r="B48" s="602" t="s">
        <v>2903</v>
      </c>
      <c r="C48" s="603" t="s">
        <v>1</v>
      </c>
      <c r="D48" s="604"/>
      <c r="E48" s="605"/>
      <c r="F48" s="606"/>
      <c r="G48" s="607"/>
      <c r="H48" s="608"/>
      <c r="I48" s="605"/>
      <c r="J48" s="608"/>
      <c r="K48" s="1294"/>
      <c r="L48" s="2026"/>
      <c r="M48" s="2014"/>
      <c r="N48" s="2014"/>
      <c r="O48" s="2027"/>
      <c r="P48" s="3542" t="str">
        <f>A48</f>
        <v>成交单价</v>
      </c>
      <c r="Q48" s="3542"/>
      <c r="R48" s="3556">
        <f>E48</f>
        <v>0</v>
      </c>
      <c r="S48" s="3556"/>
      <c r="T48" s="3556">
        <f>G48</f>
        <v>0</v>
      </c>
      <c r="U48" s="3556"/>
      <c r="V48" s="3556">
        <f>I48</f>
        <v>0</v>
      </c>
      <c r="W48" s="3556"/>
      <c r="X48" s="1497"/>
      <c r="Y48" s="1516"/>
      <c r="Z48" s="1497"/>
      <c r="AA48" s="1497"/>
      <c r="AB48" s="1497"/>
      <c r="AC48" s="1497"/>
    </row>
    <row r="49" spans="1:29" ht="21" thickBot="1">
      <c r="A49" s="609" t="s">
        <v>2674</v>
      </c>
      <c r="B49" s="610"/>
      <c r="C49" s="611" t="e">
        <f>R50</f>
        <v>#DIV/0!</v>
      </c>
      <c r="D49" s="3014" t="s">
        <v>2969</v>
      </c>
      <c r="E49" s="611" t="e">
        <f>R49</f>
        <v>#DIV/0!</v>
      </c>
      <c r="F49" s="3015"/>
      <c r="G49" s="612" t="e">
        <f>T49</f>
        <v>#DIV/0!</v>
      </c>
      <c r="H49" s="3015"/>
      <c r="I49" s="611" t="e">
        <f>V49</f>
        <v>#DIV/0!</v>
      </c>
      <c r="J49" s="3015"/>
      <c r="K49" s="3016">
        <f>F49+H49+J49</f>
        <v>0</v>
      </c>
      <c r="L49" s="2026"/>
      <c r="M49" s="2014"/>
      <c r="N49" s="2014"/>
      <c r="O49" s="2027"/>
      <c r="P49" s="3542" t="str">
        <f>A49</f>
        <v>比较价格（元/平方米）</v>
      </c>
      <c r="Q49" s="3542"/>
      <c r="R49" s="3566" t="e">
        <f>ROUND(PRODUCT(R48,AA9:AA47),0)</f>
        <v>#DIV/0!</v>
      </c>
      <c r="S49" s="3566"/>
      <c r="T49" s="3566" t="e">
        <f>ROUND(PRODUCT(T48,AB9:AB47),0)</f>
        <v>#DIV/0!</v>
      </c>
      <c r="U49" s="3566"/>
      <c r="V49" s="3566" t="e">
        <f>ROUND(PRODUCT(V48,AC9:AC47),0)</f>
        <v>#DIV/0!</v>
      </c>
      <c r="W49" s="3566"/>
      <c r="X49" s="1497"/>
      <c r="Y49" s="1497"/>
      <c r="Z49" s="1497"/>
      <c r="AA49" s="1497"/>
      <c r="AB49" s="1497"/>
      <c r="AC49" s="1497"/>
    </row>
    <row r="50" spans="1:29" ht="21" thickBot="1">
      <c r="A50" s="613" t="s">
        <v>2904</v>
      </c>
      <c r="B50" s="614"/>
      <c r="C50" s="615" t="e">
        <f>R50</f>
        <v>#DIV/0!</v>
      </c>
      <c r="D50" s="615"/>
      <c r="E50" s="615"/>
      <c r="F50" s="615"/>
      <c r="G50" s="615"/>
      <c r="H50" s="615"/>
      <c r="I50" s="615"/>
      <c r="J50" s="615"/>
      <c r="K50" s="1295"/>
      <c r="L50" s="2026"/>
      <c r="M50" s="2014"/>
      <c r="N50" s="2014"/>
      <c r="O50" s="2027"/>
      <c r="P50" s="3563" t="str">
        <f>A50</f>
        <v>估价对象XX用房的比较价格（楼面单价，元/平方米）</v>
      </c>
      <c r="Q50" s="3564"/>
      <c r="R50" s="3565" t="e">
        <f>ROUND(IF(D49="简单平均",AVERAGE(R49:W49),R49*F49+T49*H49+V49*J49),0)</f>
        <v>#DIV/0!</v>
      </c>
      <c r="S50" s="3565"/>
      <c r="T50" s="3565"/>
      <c r="U50" s="3565"/>
      <c r="V50" s="3565"/>
      <c r="W50" s="3565"/>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526" t="s">
        <v>2269</v>
      </c>
      <c r="H57" s="3527"/>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44852.26</v>
      </c>
      <c r="F58" s="628" t="e">
        <f t="shared" ref="F58:F67" si="15">ROUND(B58*E58/10000,0)</f>
        <v>#DIV/0!</v>
      </c>
      <c r="G58" s="3528"/>
      <c r="H58" s="3529"/>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v>
      </c>
      <c r="D59" s="2109">
        <v>0.25</v>
      </c>
      <c r="E59" s="631">
        <v>0</v>
      </c>
      <c r="F59" s="628" t="e">
        <f t="shared" si="15"/>
        <v>#DIV/0!</v>
      </c>
      <c r="G59" s="3530"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v>
      </c>
      <c r="D60" s="2109">
        <v>0.25</v>
      </c>
      <c r="E60" s="631">
        <v>0</v>
      </c>
      <c r="F60" s="628" t="e">
        <f t="shared" si="15"/>
        <v>#DIV/0!</v>
      </c>
      <c r="G60" s="3530"/>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v>
      </c>
      <c r="D61" s="2109">
        <v>0.25</v>
      </c>
      <c r="E61" s="631">
        <v>0</v>
      </c>
      <c r="F61" s="628" t="e">
        <f t="shared" si="15"/>
        <v>#DIV/0!</v>
      </c>
      <c r="G61" s="3530"/>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v>
      </c>
      <c r="D62" s="2109">
        <v>0.25</v>
      </c>
      <c r="E62" s="631">
        <v>0</v>
      </c>
      <c r="F62" s="628" t="e">
        <f t="shared" si="15"/>
        <v>#DIV/0!</v>
      </c>
      <c r="G62" s="3530"/>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v>
      </c>
      <c r="D63" s="2109">
        <v>0.25</v>
      </c>
      <c r="E63" s="633">
        <f>'数据-汇总表'!E11</f>
        <v>0</v>
      </c>
      <c r="F63" s="628" t="e">
        <f t="shared" si="15"/>
        <v>#DIV/0!</v>
      </c>
      <c r="G63" s="1859" t="s">
        <v>2271</v>
      </c>
      <c r="H63" s="1862">
        <f>项目基本情况!C43</f>
        <v>0</v>
      </c>
      <c r="I63" s="1495">
        <f>SUMIF(修正!$A$45:$A$56,H63,修正!F45:F56)</f>
        <v>0</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v>
      </c>
      <c r="D64" s="2109">
        <v>0.25</v>
      </c>
      <c r="E64" s="633">
        <f>'数据-汇总表'!E12</f>
        <v>0</v>
      </c>
      <c r="F64" s="628" t="e">
        <f t="shared" si="15"/>
        <v>#DIV/0!</v>
      </c>
      <c r="G64" s="1860" t="s">
        <v>1668</v>
      </c>
      <c r="H64" s="1858">
        <f>IF(G64="商业",项目基本情况!B43,IF(G64="办公",项目基本情况!C43,IF(G64="住宅",项目基本情况!D43,项目基本情况!E43)))</f>
        <v>0</v>
      </c>
      <c r="I64" s="1495">
        <f>SUMIF(修正!$A$45:$A$56,H64,修正!G45:G56)</f>
        <v>0</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v>
      </c>
      <c r="D66" s="2109">
        <v>0.25</v>
      </c>
      <c r="E66" s="633">
        <f>'数据-汇总表'!E14</f>
        <v>0</v>
      </c>
      <c r="F66" s="628" t="e">
        <f t="shared" si="15"/>
        <v>#DIV/0!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v>
      </c>
      <c r="D67" s="2109">
        <v>0.25</v>
      </c>
      <c r="E67" s="633">
        <f>'数据-汇总表'!E15</f>
        <v>0</v>
      </c>
      <c r="F67" s="628" t="e">
        <f t="shared" si="15"/>
        <v>#DIV/0!</v>
      </c>
      <c r="G67" s="1861" t="s">
        <v>2271</v>
      </c>
      <c r="H67" s="1863">
        <f>项目基本情况!C43</f>
        <v>0</v>
      </c>
      <c r="I67" s="1495">
        <f>SUMIF(修正!$A$45:$A$56,H67,修正!H45:H56)</f>
        <v>0</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44852.26</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2021-1-1</v>
      </c>
      <c r="D70" s="2516">
        <f>EDATE(C70,-3)</f>
        <v>44105</v>
      </c>
      <c r="E70" s="2516">
        <f t="shared" ref="E70:N70" si="18">EDATE(D70,-3)</f>
        <v>44013</v>
      </c>
      <c r="F70" s="2516">
        <f t="shared" si="18"/>
        <v>43922</v>
      </c>
      <c r="G70" s="2516">
        <f t="shared" si="18"/>
        <v>43831</v>
      </c>
      <c r="H70" s="2516">
        <f t="shared" si="18"/>
        <v>43739</v>
      </c>
      <c r="I70" s="2516">
        <f t="shared" si="18"/>
        <v>43647</v>
      </c>
      <c r="J70" s="2516">
        <f t="shared" si="18"/>
        <v>43556</v>
      </c>
      <c r="K70" s="2516">
        <f t="shared" si="18"/>
        <v>43466</v>
      </c>
      <c r="L70" s="2516">
        <f t="shared" si="18"/>
        <v>43374</v>
      </c>
      <c r="M70" s="2516">
        <f t="shared" si="18"/>
        <v>43282</v>
      </c>
      <c r="N70" s="2516">
        <f t="shared" si="18"/>
        <v>43191</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北京市平均增长率1.68%</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23" zoomScale="90" zoomScaleNormal="50" zoomScaleSheetLayoutView="90" workbookViewId="0">
      <selection activeCell="K24" sqref="K24"/>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f>F63</f>
        <v>7069</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f>ROUND(B2*10000/'数据-汇总表'!E3,0)</f>
        <v>1576</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f>IF(B43="单位面积地价",C45,ROUND(B2*10000/'数据-汇总表'!D3,0))</f>
        <v>1576</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f>ROUND(B2/('数据-汇总表'!D3/666.67),0)</f>
        <v>105</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548" t="s">
        <v>516</v>
      </c>
      <c r="D6" s="3549"/>
      <c r="E6" s="3573" t="s">
        <v>517</v>
      </c>
      <c r="F6" s="3574"/>
      <c r="G6" s="3548" t="s">
        <v>518</v>
      </c>
      <c r="H6" s="3549"/>
      <c r="I6" s="3548" t="s">
        <v>519</v>
      </c>
      <c r="J6" s="3549"/>
      <c r="K6" s="508" t="s">
        <v>520</v>
      </c>
      <c r="L6" s="2015"/>
      <c r="M6" s="2016"/>
      <c r="N6" s="2016"/>
      <c r="O6" s="2016"/>
      <c r="P6" s="3550" t="s">
        <v>521</v>
      </c>
      <c r="Q6" s="3551"/>
      <c r="R6" s="3536" t="s">
        <v>517</v>
      </c>
      <c r="S6" s="3537"/>
      <c r="T6" s="3536" t="s">
        <v>518</v>
      </c>
      <c r="U6" s="3537"/>
      <c r="V6" s="3556" t="s">
        <v>519</v>
      </c>
      <c r="W6" s="3556"/>
      <c r="X6" s="1502"/>
      <c r="Y6" s="3536" t="s">
        <v>521</v>
      </c>
      <c r="Z6" s="3537"/>
      <c r="AA6" s="3531" t="s">
        <v>517</v>
      </c>
      <c r="AB6" s="3532" t="s">
        <v>518</v>
      </c>
      <c r="AC6" s="3531" t="s">
        <v>519</v>
      </c>
    </row>
    <row r="7" spans="1:29" ht="15">
      <c r="A7" s="509"/>
      <c r="B7" s="510"/>
      <c r="C7" s="3559" t="s">
        <v>2898</v>
      </c>
      <c r="D7" s="3560"/>
      <c r="E7" s="3575" t="s">
        <v>2899</v>
      </c>
      <c r="F7" s="3576"/>
      <c r="G7" s="3559" t="s">
        <v>2900</v>
      </c>
      <c r="H7" s="3560"/>
      <c r="I7" s="3559" t="s">
        <v>2901</v>
      </c>
      <c r="J7" s="3560"/>
      <c r="K7" s="508"/>
      <c r="L7" s="2015"/>
      <c r="M7" s="2016"/>
      <c r="N7" s="2016"/>
      <c r="O7" s="2016"/>
      <c r="P7" s="3552"/>
      <c r="Q7" s="3553"/>
      <c r="R7" s="3538"/>
      <c r="S7" s="3539"/>
      <c r="T7" s="3538"/>
      <c r="U7" s="3539"/>
      <c r="V7" s="3556"/>
      <c r="W7" s="3556"/>
      <c r="X7" s="1502"/>
      <c r="Y7" s="3538"/>
      <c r="Z7" s="3539"/>
      <c r="AA7" s="3532"/>
      <c r="AB7" s="3532"/>
      <c r="AC7" s="3532"/>
    </row>
    <row r="8" spans="1:29" ht="47.25" customHeight="1" thickBot="1">
      <c r="A8" s="511"/>
      <c r="B8" s="512"/>
      <c r="C8" s="3557" t="s">
        <v>2902</v>
      </c>
      <c r="D8" s="3558"/>
      <c r="E8" s="3577" t="str">
        <f>案例!F6</f>
        <v>平谷夏各庄新城土地一级开发项目7号地块PG11-0100-6103、6107地块</v>
      </c>
      <c r="F8" s="3578"/>
      <c r="G8" s="3557" t="str">
        <f>案例!F7</f>
        <v>平谷区2土地一级开发项目PG06-0100-6008等地块</v>
      </c>
      <c r="H8" s="3558"/>
      <c r="I8" s="3557" t="str">
        <f>案例!F8</f>
        <v>平谷区夏各庄新城土地一级开发项目7号地PG11-0100-6110、6115、6116、6121、6126地块</v>
      </c>
      <c r="J8" s="3558"/>
      <c r="K8" s="508" t="s">
        <v>522</v>
      </c>
      <c r="L8" s="2015"/>
      <c r="M8" s="2016"/>
      <c r="N8" s="2016"/>
      <c r="O8" s="2016"/>
      <c r="P8" s="3554"/>
      <c r="Q8" s="3555"/>
      <c r="R8" s="3538"/>
      <c r="S8" s="3539"/>
      <c r="T8" s="3540"/>
      <c r="U8" s="3541"/>
      <c r="V8" s="3556"/>
      <c r="W8" s="3556"/>
      <c r="X8" s="1502"/>
      <c r="Y8" s="3540"/>
      <c r="Z8" s="3541"/>
      <c r="AA8" s="3533"/>
      <c r="AB8" s="3533"/>
      <c r="AC8" s="3533"/>
    </row>
    <row r="9" spans="1:29" s="1203" customFormat="1" ht="15.75" thickBot="1">
      <c r="A9" s="2629"/>
      <c r="B9" s="2636" t="s">
        <v>523</v>
      </c>
      <c r="C9" s="513">
        <f>'数据-取费表'!B2</f>
        <v>44201</v>
      </c>
      <c r="D9" s="514">
        <v>100</v>
      </c>
      <c r="E9" s="515">
        <v>43160</v>
      </c>
      <c r="F9" s="516">
        <f>SUMIF(67:67,YEAR(E9)&amp;"-"&amp;INT((MONTH(E9)+2)/3),68:68)</f>
        <v>88.446926841707324</v>
      </c>
      <c r="G9" s="517">
        <v>43132</v>
      </c>
      <c r="H9" s="514">
        <f>SUMIF(67:67,YEAR(G9)&amp;"-"&amp;INT((MONTH(G9)+2)/3),68:68)</f>
        <v>88.446926841707324</v>
      </c>
      <c r="I9" s="517">
        <v>43556</v>
      </c>
      <c r="J9" s="514">
        <f>SUMIF(67:67,YEAR(I9)&amp;"-"&amp;INT((MONTH(I9)+2)/3),68:68)</f>
        <v>96.477658006027198</v>
      </c>
      <c r="K9" s="518"/>
      <c r="L9" s="2017"/>
      <c r="M9" s="2018"/>
      <c r="N9" s="2018"/>
      <c r="O9" s="2018"/>
      <c r="P9" s="3534" t="s">
        <v>524</v>
      </c>
      <c r="Q9" s="3543"/>
      <c r="R9" s="1503" t="s">
        <v>8</v>
      </c>
      <c r="S9" s="1504">
        <f t="shared" ref="S9:S17" si="0">F9</f>
        <v>88.446926841707324</v>
      </c>
      <c r="T9" s="1503" t="s">
        <v>8</v>
      </c>
      <c r="U9" s="1504">
        <f t="shared" ref="U9:U17" si="1">H9</f>
        <v>88.446926841707324</v>
      </c>
      <c r="V9" s="1503" t="s">
        <v>8</v>
      </c>
      <c r="W9" s="1504">
        <f t="shared" ref="W9:W17" si="2">J9</f>
        <v>96.477658006027198</v>
      </c>
      <c r="X9" s="1505"/>
      <c r="Y9" s="3534" t="s">
        <v>524</v>
      </c>
      <c r="Z9" s="3535"/>
      <c r="AA9" s="1506">
        <f>D9/F9</f>
        <v>1.1306215328314244</v>
      </c>
      <c r="AB9" s="1506">
        <f>D9/H9</f>
        <v>1.1306215328314244</v>
      </c>
      <c r="AC9" s="1506">
        <f>D9/J9</f>
        <v>1.0365094060819009</v>
      </c>
    </row>
    <row r="10" spans="1:29" s="1203" customFormat="1" ht="15.75" thickBot="1">
      <c r="A10" s="2630"/>
      <c r="B10" s="2637" t="s">
        <v>525</v>
      </c>
      <c r="C10" s="519" t="s">
        <v>526</v>
      </c>
      <c r="D10" s="514">
        <v>100</v>
      </c>
      <c r="E10" s="519" t="s">
        <v>3083</v>
      </c>
      <c r="F10" s="516">
        <f>SUMIF(70:70,E10,71:71)-SUMIF(70:70,C10,71:71)+100</f>
        <v>100</v>
      </c>
      <c r="G10" s="519" t="s">
        <v>3083</v>
      </c>
      <c r="H10" s="514">
        <f>SUMIF(70:70,G10,71:71)-SUMIF(70:70,C10,71:71)+100</f>
        <v>100</v>
      </c>
      <c r="I10" s="519" t="s">
        <v>3083</v>
      </c>
      <c r="J10" s="514">
        <f>SUMIF(70:70,I10,71:71)-SUMIF(70:70,C10,71:71)+100</f>
        <v>100</v>
      </c>
      <c r="K10" s="518"/>
      <c r="L10" s="2017"/>
      <c r="M10" s="2018"/>
      <c r="N10" s="2018"/>
      <c r="O10" s="2018"/>
      <c r="P10" s="3534" t="s">
        <v>527</v>
      </c>
      <c r="Q10" s="3535"/>
      <c r="R10" s="1503" t="s">
        <v>8</v>
      </c>
      <c r="S10" s="1504">
        <f t="shared" si="0"/>
        <v>100</v>
      </c>
      <c r="T10" s="1503" t="s">
        <v>8</v>
      </c>
      <c r="U10" s="1504">
        <f t="shared" si="1"/>
        <v>100</v>
      </c>
      <c r="V10" s="1503" t="s">
        <v>8</v>
      </c>
      <c r="W10" s="1504">
        <f t="shared" si="2"/>
        <v>100</v>
      </c>
      <c r="X10" s="1505"/>
      <c r="Y10" s="3534" t="s">
        <v>527</v>
      </c>
      <c r="Z10" s="3535"/>
      <c r="AA10" s="1506">
        <f t="shared" ref="AA10:AA42" si="3">D10/F10</f>
        <v>1</v>
      </c>
      <c r="AB10" s="1506">
        <f t="shared" ref="AB10:AB42" si="4">D10/H10</f>
        <v>1</v>
      </c>
      <c r="AC10" s="1506">
        <f t="shared" ref="AC10:AC42" si="5">D10/J10</f>
        <v>1</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42" t="s">
        <v>529</v>
      </c>
      <c r="Q11" s="1134" t="str">
        <f t="shared" ref="Q11:Q17" si="6">B11</f>
        <v>用途</v>
      </c>
      <c r="R11" s="1503" t="s">
        <v>8</v>
      </c>
      <c r="S11" s="1504">
        <f t="shared" si="0"/>
        <v>100</v>
      </c>
      <c r="T11" s="1503" t="s">
        <v>8</v>
      </c>
      <c r="U11" s="1504">
        <f t="shared" si="1"/>
        <v>100</v>
      </c>
      <c r="V11" s="1503" t="s">
        <v>8</v>
      </c>
      <c r="W11" s="1504">
        <f t="shared" si="2"/>
        <v>100</v>
      </c>
      <c r="X11" s="1505"/>
      <c r="Y11" s="3493" t="s">
        <v>530</v>
      </c>
      <c r="Z11" s="1133" t="str">
        <f t="shared" ref="Z11:Z17" si="7">Q11</f>
        <v>用途</v>
      </c>
      <c r="AA11" s="1506">
        <f t="shared" si="3"/>
        <v>1</v>
      </c>
      <c r="AB11" s="1506">
        <f t="shared" si="4"/>
        <v>1</v>
      </c>
      <c r="AC11" s="1506">
        <f t="shared" si="5"/>
        <v>1</v>
      </c>
    </row>
    <row r="12" spans="1:29" s="1292" customFormat="1" ht="27.75" thickBot="1">
      <c r="A12" s="2632"/>
      <c r="B12" s="2637" t="s">
        <v>2738</v>
      </c>
      <c r="C12" s="522"/>
      <c r="D12" s="253">
        <v>100</v>
      </c>
      <c r="E12" s="522"/>
      <c r="F12" s="253">
        <v>100</v>
      </c>
      <c r="G12" s="522"/>
      <c r="H12" s="253">
        <v>100</v>
      </c>
      <c r="I12" s="522"/>
      <c r="J12" s="253">
        <v>100</v>
      </c>
      <c r="K12" s="525"/>
      <c r="L12" s="2020"/>
      <c r="M12" s="2059"/>
      <c r="N12" s="2059"/>
      <c r="O12" s="2021"/>
      <c r="P12" s="3542"/>
      <c r="Q12" s="1134" t="str">
        <f t="shared" si="6"/>
        <v>土地使用年限（年）</v>
      </c>
      <c r="R12" s="1503" t="s">
        <v>8</v>
      </c>
      <c r="S12" s="1504">
        <f t="shared" si="0"/>
        <v>100</v>
      </c>
      <c r="T12" s="1503" t="s">
        <v>8</v>
      </c>
      <c r="U12" s="1504">
        <f t="shared" si="1"/>
        <v>100</v>
      </c>
      <c r="V12" s="1503" t="s">
        <v>8</v>
      </c>
      <c r="W12" s="1504">
        <f t="shared" si="2"/>
        <v>100</v>
      </c>
      <c r="X12" s="1505"/>
      <c r="Y12" s="3493"/>
      <c r="Z12" s="1133" t="str">
        <f t="shared" si="7"/>
        <v>土地使用年限（年）</v>
      </c>
      <c r="AA12" s="1506">
        <f t="shared" si="3"/>
        <v>1</v>
      </c>
      <c r="AB12" s="1506">
        <f t="shared" si="4"/>
        <v>1</v>
      </c>
      <c r="AC12" s="1506">
        <f t="shared" si="5"/>
        <v>1</v>
      </c>
    </row>
    <row r="13" spans="1:29" ht="15" hidden="1">
      <c r="A13" s="2633"/>
      <c r="B13" s="2637" t="s">
        <v>2739</v>
      </c>
      <c r="C13" s="527">
        <v>1</v>
      </c>
      <c r="D13" s="253">
        <v>100</v>
      </c>
      <c r="E13" s="527">
        <v>1</v>
      </c>
      <c r="F13" s="253">
        <f>LOOKUP(E13,77:77,78:78)-LOOKUP(C13,77:77,78:78)+100</f>
        <v>100</v>
      </c>
      <c r="G13" s="528">
        <v>1</v>
      </c>
      <c r="H13" s="253">
        <f>LOOKUP(G13,77:77,78:78)-LOOKUP(C13,77:77,78:78)+100</f>
        <v>100</v>
      </c>
      <c r="I13" s="527">
        <v>1</v>
      </c>
      <c r="J13" s="253">
        <f>LOOKUP(I13,77:77,78:78)-LOOKUP(C13,77:77,78:78)+100</f>
        <v>100</v>
      </c>
      <c r="K13" s="529"/>
      <c r="L13" s="2022"/>
      <c r="M13" s="2016"/>
      <c r="N13" s="2016"/>
      <c r="O13" s="2023"/>
      <c r="P13" s="3542"/>
      <c r="Q13" s="1134" t="str">
        <f t="shared" si="6"/>
        <v>容积率</v>
      </c>
      <c r="R13" s="1503" t="s">
        <v>8</v>
      </c>
      <c r="S13" s="1504">
        <f t="shared" si="0"/>
        <v>100</v>
      </c>
      <c r="T13" s="1503" t="s">
        <v>8</v>
      </c>
      <c r="U13" s="1504">
        <f t="shared" si="1"/>
        <v>100</v>
      </c>
      <c r="V13" s="1503" t="s">
        <v>8</v>
      </c>
      <c r="W13" s="1504">
        <f t="shared" si="2"/>
        <v>100</v>
      </c>
      <c r="X13" s="1505"/>
      <c r="Y13" s="3493"/>
      <c r="Z13" s="1133" t="str">
        <f t="shared" si="7"/>
        <v>容积率</v>
      </c>
      <c r="AA13" s="1506">
        <f t="shared" si="3"/>
        <v>1</v>
      </c>
      <c r="AB13" s="1506">
        <f t="shared" si="4"/>
        <v>1</v>
      </c>
      <c r="AC13" s="1506">
        <f t="shared" si="5"/>
        <v>1</v>
      </c>
    </row>
    <row r="14" spans="1:29" s="1203" customFormat="1" ht="15" hidden="1">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42"/>
      <c r="Q14" s="1134">
        <f t="shared" si="6"/>
        <v>111</v>
      </c>
      <c r="R14" s="1503" t="s">
        <v>8</v>
      </c>
      <c r="S14" s="1504">
        <f t="shared" si="0"/>
        <v>100</v>
      </c>
      <c r="T14" s="1503" t="s">
        <v>8</v>
      </c>
      <c r="U14" s="1504">
        <f t="shared" si="1"/>
        <v>100</v>
      </c>
      <c r="V14" s="1503" t="s">
        <v>8</v>
      </c>
      <c r="W14" s="1504">
        <f t="shared" si="2"/>
        <v>100</v>
      </c>
      <c r="X14" s="1505"/>
      <c r="Y14" s="3493"/>
      <c r="Z14" s="1133">
        <f t="shared" si="7"/>
        <v>111</v>
      </c>
      <c r="AA14" s="1506">
        <f>D14/F14</f>
        <v>1</v>
      </c>
      <c r="AB14" s="1506">
        <f>D14/H14</f>
        <v>1</v>
      </c>
      <c r="AC14" s="1506">
        <f>D14/J14</f>
        <v>1</v>
      </c>
    </row>
    <row r="15" spans="1:29" ht="15" hidden="1">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42"/>
      <c r="Q15" s="1134">
        <f t="shared" si="6"/>
        <v>111</v>
      </c>
      <c r="R15" s="1503" t="s">
        <v>8</v>
      </c>
      <c r="S15" s="1504">
        <f t="shared" si="0"/>
        <v>100</v>
      </c>
      <c r="T15" s="1503" t="s">
        <v>8</v>
      </c>
      <c r="U15" s="1504">
        <f t="shared" si="1"/>
        <v>100</v>
      </c>
      <c r="V15" s="1503" t="s">
        <v>8</v>
      </c>
      <c r="W15" s="1504">
        <f t="shared" si="2"/>
        <v>100</v>
      </c>
      <c r="X15" s="1505"/>
      <c r="Y15" s="3493"/>
      <c r="Z15" s="1133">
        <f t="shared" si="7"/>
        <v>111</v>
      </c>
      <c r="AA15" s="1506">
        <f t="shared" si="3"/>
        <v>1</v>
      </c>
      <c r="AB15" s="1506">
        <f t="shared" si="4"/>
        <v>1</v>
      </c>
      <c r="AC15" s="1506">
        <f t="shared" si="5"/>
        <v>1</v>
      </c>
    </row>
    <row r="16" spans="1:29" ht="15.75" hidden="1"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42"/>
      <c r="Q16" s="1134">
        <f t="shared" si="6"/>
        <v>111</v>
      </c>
      <c r="R16" s="1503" t="s">
        <v>8</v>
      </c>
      <c r="S16" s="1504">
        <f t="shared" si="0"/>
        <v>100</v>
      </c>
      <c r="T16" s="1503" t="s">
        <v>8</v>
      </c>
      <c r="U16" s="1504">
        <f t="shared" si="1"/>
        <v>100</v>
      </c>
      <c r="V16" s="1503" t="s">
        <v>8</v>
      </c>
      <c r="W16" s="1504">
        <f t="shared" si="2"/>
        <v>100</v>
      </c>
      <c r="X16" s="1505"/>
      <c r="Y16" s="3493"/>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98</v>
      </c>
      <c r="G17" s="544"/>
      <c r="H17" s="543">
        <f>SUMIF(85:85,G18,86:86)-SUMIF(85:85,C18,86:86)+100</f>
        <v>100</v>
      </c>
      <c r="I17" s="546"/>
      <c r="J17" s="543">
        <f>SUMIF(85:85,I18,86:86)-SUMIF(85:85,C18,86:86)+100</f>
        <v>98</v>
      </c>
      <c r="K17" s="529">
        <v>2</v>
      </c>
      <c r="L17" s="2024"/>
      <c r="M17" s="2016"/>
      <c r="N17" s="2016"/>
      <c r="O17" s="2023"/>
      <c r="P17" s="3544" t="s">
        <v>534</v>
      </c>
      <c r="Q17" s="1507" t="str">
        <f t="shared" si="6"/>
        <v>产业集聚程度</v>
      </c>
      <c r="R17" s="1508" t="s">
        <v>8</v>
      </c>
      <c r="S17" s="1509">
        <f t="shared" si="0"/>
        <v>98</v>
      </c>
      <c r="T17" s="1508" t="s">
        <v>8</v>
      </c>
      <c r="U17" s="1509">
        <f t="shared" si="1"/>
        <v>100</v>
      </c>
      <c r="V17" s="1508" t="s">
        <v>8</v>
      </c>
      <c r="W17" s="1509">
        <f t="shared" si="2"/>
        <v>98</v>
      </c>
      <c r="X17" s="1502"/>
      <c r="Y17" s="3544" t="s">
        <v>534</v>
      </c>
      <c r="Z17" s="1510" t="str">
        <f t="shared" si="7"/>
        <v>产业集聚程度</v>
      </c>
      <c r="AA17" s="1511">
        <f t="shared" si="3"/>
        <v>1.0204081632653061</v>
      </c>
      <c r="AB17" s="1511">
        <f t="shared" si="4"/>
        <v>1</v>
      </c>
      <c r="AC17" s="1511">
        <f t="shared" si="5"/>
        <v>1.0204081632653061</v>
      </c>
    </row>
    <row r="18" spans="1:29" ht="15">
      <c r="A18" s="526"/>
      <c r="B18" s="858"/>
      <c r="C18" s="570" t="s">
        <v>3079</v>
      </c>
      <c r="D18" s="549"/>
      <c r="E18" s="548" t="s">
        <v>3081</v>
      </c>
      <c r="F18" s="549"/>
      <c r="G18" s="548" t="s">
        <v>3079</v>
      </c>
      <c r="H18" s="553"/>
      <c r="I18" s="548" t="s">
        <v>3081</v>
      </c>
      <c r="J18" s="549"/>
      <c r="K18" s="525"/>
      <c r="L18" s="2024"/>
      <c r="M18" s="2016"/>
      <c r="N18" s="2016"/>
      <c r="O18" s="2023"/>
      <c r="P18" s="3545"/>
      <c r="Q18" s="1507"/>
      <c r="R18" s="1508"/>
      <c r="S18" s="1509"/>
      <c r="T18" s="1508"/>
      <c r="U18" s="1509"/>
      <c r="V18" s="1508"/>
      <c r="W18" s="1509"/>
      <c r="X18" s="1502"/>
      <c r="Y18" s="3545"/>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45"/>
      <c r="Q19" s="1507" t="str">
        <f>B19</f>
        <v>交通便捷度</v>
      </c>
      <c r="R19" s="1508" t="s">
        <v>8</v>
      </c>
      <c r="S19" s="1509">
        <f>F19</f>
        <v>100</v>
      </c>
      <c r="T19" s="1508" t="s">
        <v>8</v>
      </c>
      <c r="U19" s="1509">
        <f>H19</f>
        <v>100</v>
      </c>
      <c r="V19" s="1508" t="s">
        <v>8</v>
      </c>
      <c r="W19" s="1509">
        <f>J19</f>
        <v>100</v>
      </c>
      <c r="X19" s="1502"/>
      <c r="Y19" s="3545"/>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545"/>
      <c r="Q20" s="1507"/>
      <c r="R20" s="1508"/>
      <c r="S20" s="1509"/>
      <c r="T20" s="1508"/>
      <c r="U20" s="1509"/>
      <c r="V20" s="1508"/>
      <c r="W20" s="1509"/>
      <c r="X20" s="1502"/>
      <c r="Y20" s="3545"/>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45"/>
      <c r="Q21" s="1507" t="str">
        <f t="shared" ref="Q21:Q35" si="8">B21</f>
        <v>区域土地利用方向</v>
      </c>
      <c r="R21" s="1508" t="s">
        <v>8</v>
      </c>
      <c r="S21" s="1509">
        <f>F21</f>
        <v>100</v>
      </c>
      <c r="T21" s="1508" t="s">
        <v>8</v>
      </c>
      <c r="U21" s="1509">
        <f>H21</f>
        <v>100</v>
      </c>
      <c r="V21" s="1508" t="s">
        <v>8</v>
      </c>
      <c r="W21" s="1509">
        <f>J21</f>
        <v>100</v>
      </c>
      <c r="X21" s="1502"/>
      <c r="Y21" s="3545"/>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545"/>
      <c r="Q22" s="1507"/>
      <c r="R22" s="1508"/>
      <c r="S22" s="1509"/>
      <c r="T22" s="1508"/>
      <c r="U22" s="1509"/>
      <c r="V22" s="1508"/>
      <c r="W22" s="1509"/>
      <c r="X22" s="1502"/>
      <c r="Y22" s="3545"/>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107</v>
      </c>
      <c r="I23" s="558"/>
      <c r="J23" s="553">
        <f>SUMIF(91:91,I24,92:92)-SUMIF(91:91,C24,92:92)+100</f>
        <v>100</v>
      </c>
      <c r="K23" s="529">
        <v>7</v>
      </c>
      <c r="L23" s="2024"/>
      <c r="M23" s="2016"/>
      <c r="N23" s="2016"/>
      <c r="O23" s="2023"/>
      <c r="P23" s="3545"/>
      <c r="Q23" s="1507" t="str">
        <f t="shared" si="8"/>
        <v>环境状况</v>
      </c>
      <c r="R23" s="1508" t="s">
        <v>8</v>
      </c>
      <c r="S23" s="1509">
        <f>F23</f>
        <v>100</v>
      </c>
      <c r="T23" s="1508" t="s">
        <v>8</v>
      </c>
      <c r="U23" s="1509">
        <f>H23</f>
        <v>107</v>
      </c>
      <c r="V23" s="1508" t="s">
        <v>8</v>
      </c>
      <c r="W23" s="1509">
        <f>J23</f>
        <v>100</v>
      </c>
      <c r="X23" s="1502"/>
      <c r="Y23" s="3545"/>
      <c r="Z23" s="1510" t="str">
        <f>Q23</f>
        <v>环境状况</v>
      </c>
      <c r="AA23" s="1511">
        <f t="shared" si="3"/>
        <v>1</v>
      </c>
      <c r="AB23" s="1511">
        <f t="shared" si="4"/>
        <v>0.93457943925233644</v>
      </c>
      <c r="AC23" s="1511">
        <f t="shared" si="5"/>
        <v>1</v>
      </c>
    </row>
    <row r="24" spans="1:29" ht="15">
      <c r="A24" s="509"/>
      <c r="B24" s="589"/>
      <c r="C24" s="570" t="s">
        <v>3079</v>
      </c>
      <c r="D24" s="549"/>
      <c r="E24" s="548" t="s">
        <v>3079</v>
      </c>
      <c r="F24" s="549"/>
      <c r="G24" s="548" t="s">
        <v>3080</v>
      </c>
      <c r="H24" s="549"/>
      <c r="I24" s="570" t="s">
        <v>3079</v>
      </c>
      <c r="J24" s="549"/>
      <c r="K24" s="525"/>
      <c r="L24" s="2024"/>
      <c r="M24" s="2016"/>
      <c r="N24" s="2016"/>
      <c r="O24" s="2023"/>
      <c r="P24" s="3545"/>
      <c r="Q24" s="1507"/>
      <c r="R24" s="1508"/>
      <c r="S24" s="1509"/>
      <c r="T24" s="1508"/>
      <c r="U24" s="1509"/>
      <c r="V24" s="1508"/>
      <c r="W24" s="1509"/>
      <c r="X24" s="1502"/>
      <c r="Y24" s="3545"/>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45"/>
      <c r="Q25" s="1134" t="str">
        <f t="shared" si="8"/>
        <v>公共配套设施</v>
      </c>
      <c r="R25" s="1503" t="s">
        <v>8</v>
      </c>
      <c r="S25" s="1504">
        <f>F25</f>
        <v>100</v>
      </c>
      <c r="T25" s="1503" t="s">
        <v>8</v>
      </c>
      <c r="U25" s="1504">
        <f>H25</f>
        <v>100</v>
      </c>
      <c r="V25" s="1503" t="s">
        <v>8</v>
      </c>
      <c r="W25" s="1504">
        <f>J25</f>
        <v>100</v>
      </c>
      <c r="X25" s="1505"/>
      <c r="Y25" s="3545"/>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545"/>
      <c r="Q26" s="1134"/>
      <c r="R26" s="1503"/>
      <c r="S26" s="1504"/>
      <c r="T26" s="1503"/>
      <c r="U26" s="1504"/>
      <c r="V26" s="1503"/>
      <c r="W26" s="1504"/>
      <c r="X26" s="1505"/>
      <c r="Y26" s="3545"/>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45"/>
      <c r="Q27" s="2428" t="str">
        <f t="shared" ref="Q27" si="9">B27</f>
        <v>基础设施水平</v>
      </c>
      <c r="R27" s="1503" t="s">
        <v>8</v>
      </c>
      <c r="S27" s="1504">
        <f>F27</f>
        <v>100</v>
      </c>
      <c r="T27" s="1503" t="s">
        <v>8</v>
      </c>
      <c r="U27" s="1504">
        <f>H27</f>
        <v>100</v>
      </c>
      <c r="V27" s="1503" t="s">
        <v>8</v>
      </c>
      <c r="W27" s="1504">
        <f>J27</f>
        <v>100</v>
      </c>
      <c r="X27" s="1505"/>
      <c r="Y27" s="3545"/>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545"/>
      <c r="Q28" s="2428"/>
      <c r="R28" s="1503"/>
      <c r="S28" s="1504"/>
      <c r="T28" s="1503"/>
      <c r="U28" s="1504"/>
      <c r="V28" s="1503"/>
      <c r="W28" s="1504"/>
      <c r="X28" s="1505"/>
      <c r="Y28" s="3545"/>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45"/>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45"/>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45"/>
      <c r="Q30" s="1507" t="str">
        <f t="shared" si="8"/>
        <v>毗邻道路的类型与等级</v>
      </c>
      <c r="R30" s="1508" t="s">
        <v>8</v>
      </c>
      <c r="S30" s="1509">
        <f t="shared" si="10"/>
        <v>100</v>
      </c>
      <c r="T30" s="1508" t="s">
        <v>8</v>
      </c>
      <c r="U30" s="1509">
        <f t="shared" si="11"/>
        <v>100</v>
      </c>
      <c r="V30" s="1508" t="s">
        <v>8</v>
      </c>
      <c r="W30" s="1509">
        <f t="shared" si="12"/>
        <v>100</v>
      </c>
      <c r="X30" s="1502"/>
      <c r="Y30" s="3545"/>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545"/>
      <c r="Q31" s="1507"/>
      <c r="R31" s="1508"/>
      <c r="S31" s="1509"/>
      <c r="T31" s="1508"/>
      <c r="U31" s="1509"/>
      <c r="V31" s="1508"/>
      <c r="W31" s="1509"/>
      <c r="X31" s="1502"/>
      <c r="Y31" s="3545"/>
      <c r="Z31" s="1510"/>
      <c r="AA31" s="1511">
        <v>1</v>
      </c>
      <c r="AB31" s="1511">
        <v>1</v>
      </c>
      <c r="AC31" s="1511">
        <v>1</v>
      </c>
    </row>
    <row r="32" spans="1:29" ht="15.75" thickBot="1">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45"/>
      <c r="Q32" s="1507" t="str">
        <f t="shared" si="8"/>
        <v>土地级别</v>
      </c>
      <c r="R32" s="1508" t="s">
        <v>8</v>
      </c>
      <c r="S32" s="1509">
        <f t="shared" si="10"/>
        <v>100</v>
      </c>
      <c r="T32" s="1508" t="s">
        <v>8</v>
      </c>
      <c r="U32" s="1509">
        <f t="shared" si="11"/>
        <v>100</v>
      </c>
      <c r="V32" s="1508" t="s">
        <v>8</v>
      </c>
      <c r="W32" s="1509">
        <f t="shared" si="12"/>
        <v>100</v>
      </c>
      <c r="X32" s="1502"/>
      <c r="Y32" s="3545"/>
      <c r="Z32" s="1510" t="str">
        <f t="shared" si="13"/>
        <v>土地级别</v>
      </c>
      <c r="AA32" s="1511">
        <f t="shared" si="3"/>
        <v>1</v>
      </c>
      <c r="AB32" s="1511">
        <f t="shared" si="4"/>
        <v>1</v>
      </c>
      <c r="AC32" s="1511">
        <f t="shared" si="5"/>
        <v>1</v>
      </c>
    </row>
    <row r="33" spans="1:29" ht="15" hidden="1">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45"/>
      <c r="Q33" s="1507">
        <f t="shared" si="8"/>
        <v>111</v>
      </c>
      <c r="R33" s="1508" t="s">
        <v>8</v>
      </c>
      <c r="S33" s="1509">
        <f t="shared" si="10"/>
        <v>100</v>
      </c>
      <c r="T33" s="1508" t="s">
        <v>8</v>
      </c>
      <c r="U33" s="1509">
        <f t="shared" si="11"/>
        <v>100</v>
      </c>
      <c r="V33" s="1508" t="s">
        <v>8</v>
      </c>
      <c r="W33" s="1509">
        <f t="shared" si="12"/>
        <v>100</v>
      </c>
      <c r="X33" s="1502"/>
      <c r="Y33" s="3545"/>
      <c r="Z33" s="1510">
        <f t="shared" si="13"/>
        <v>111</v>
      </c>
      <c r="AA33" s="1511">
        <f t="shared" si="3"/>
        <v>1</v>
      </c>
      <c r="AB33" s="1511">
        <f t="shared" si="4"/>
        <v>1</v>
      </c>
      <c r="AC33" s="1511">
        <f t="shared" si="5"/>
        <v>1</v>
      </c>
    </row>
    <row r="34" spans="1:29" ht="15" hidden="1">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46" t="s">
        <v>544</v>
      </c>
      <c r="Q34" s="1507">
        <f t="shared" si="8"/>
        <v>111</v>
      </c>
      <c r="R34" s="1508" t="s">
        <v>8</v>
      </c>
      <c r="S34" s="1509">
        <f t="shared" si="10"/>
        <v>100</v>
      </c>
      <c r="T34" s="1508" t="s">
        <v>8</v>
      </c>
      <c r="U34" s="1509">
        <f t="shared" si="11"/>
        <v>100</v>
      </c>
      <c r="V34" s="1508" t="s">
        <v>8</v>
      </c>
      <c r="W34" s="1509">
        <f t="shared" si="12"/>
        <v>100</v>
      </c>
      <c r="X34" s="1502"/>
      <c r="Y34" s="3547" t="s">
        <v>544</v>
      </c>
      <c r="Z34" s="1510">
        <f t="shared" si="13"/>
        <v>111</v>
      </c>
      <c r="AA34" s="1511">
        <f t="shared" si="3"/>
        <v>1</v>
      </c>
      <c r="AB34" s="1511">
        <f t="shared" si="4"/>
        <v>1</v>
      </c>
      <c r="AC34" s="1511">
        <f t="shared" si="5"/>
        <v>1</v>
      </c>
    </row>
    <row r="35" spans="1:29" s="1293" customFormat="1" ht="15.75" hidden="1"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47"/>
      <c r="Q35" s="1507">
        <f t="shared" si="8"/>
        <v>111</v>
      </c>
      <c r="R35" s="1512" t="s">
        <v>8</v>
      </c>
      <c r="S35" s="1513">
        <f t="shared" si="10"/>
        <v>100</v>
      </c>
      <c r="T35" s="1512" t="s">
        <v>8</v>
      </c>
      <c r="U35" s="1513">
        <f t="shared" si="11"/>
        <v>100</v>
      </c>
      <c r="V35" s="1512" t="s">
        <v>8</v>
      </c>
      <c r="W35" s="1513">
        <f t="shared" si="12"/>
        <v>100</v>
      </c>
      <c r="X35" s="1514"/>
      <c r="Y35" s="3547"/>
      <c r="Z35" s="1515">
        <f t="shared" si="13"/>
        <v>111</v>
      </c>
      <c r="AA35" s="1511">
        <f t="shared" si="3"/>
        <v>1</v>
      </c>
      <c r="AB35" s="1511">
        <f t="shared" si="4"/>
        <v>1</v>
      </c>
      <c r="AC35" s="1511">
        <f t="shared" si="5"/>
        <v>1</v>
      </c>
    </row>
    <row r="36" spans="1:29" ht="15">
      <c r="A36" s="2624" t="s">
        <v>2736</v>
      </c>
      <c r="B36" s="589" t="s">
        <v>546</v>
      </c>
      <c r="C36" s="590">
        <f>'数据-基础表'!A3</f>
        <v>44852.26</v>
      </c>
      <c r="D36" s="591">
        <v>100</v>
      </c>
      <c r="E36" s="590">
        <f>案例!L6*10000</f>
        <v>81100</v>
      </c>
      <c r="F36" s="591">
        <f>LOOKUP(E36,110:110,111:111)-LOOKUP(C36,110:110,111:111)+100</f>
        <v>100</v>
      </c>
      <c r="G36" s="590">
        <f>案例!L7*10000</f>
        <v>249400</v>
      </c>
      <c r="H36" s="591">
        <f>LOOKUP(G36,110:110,111:111)-LOOKUP(C36,110:110,111:111)+100</f>
        <v>100</v>
      </c>
      <c r="I36" s="592">
        <f>案例!L8*10000</f>
        <v>113500</v>
      </c>
      <c r="J36" s="591">
        <f>LOOKUP(I36,110:110,111:111)-LOOKUP(C36,110:110,111:111)+100</f>
        <v>100</v>
      </c>
      <c r="K36" s="575"/>
      <c r="L36" s="2024"/>
      <c r="M36" s="2016"/>
      <c r="N36" s="2016"/>
      <c r="O36" s="2023"/>
      <c r="P36" s="3547"/>
      <c r="Q36" s="1507" t="str">
        <f>B36</f>
        <v>宗地面积</v>
      </c>
      <c r="R36" s="1508" t="s">
        <v>8</v>
      </c>
      <c r="S36" s="1509">
        <f t="shared" si="10"/>
        <v>100</v>
      </c>
      <c r="T36" s="1508" t="s">
        <v>8</v>
      </c>
      <c r="U36" s="1509">
        <f t="shared" si="11"/>
        <v>100</v>
      </c>
      <c r="V36" s="1508" t="s">
        <v>8</v>
      </c>
      <c r="W36" s="1509">
        <f t="shared" si="12"/>
        <v>100</v>
      </c>
      <c r="X36" s="1502"/>
      <c r="Y36" s="3547"/>
      <c r="Z36" s="1510" t="str">
        <f t="shared" si="13"/>
        <v>宗地面积</v>
      </c>
      <c r="AA36" s="1511">
        <f t="shared" si="3"/>
        <v>1</v>
      </c>
      <c r="AB36" s="1511">
        <f t="shared" si="4"/>
        <v>1</v>
      </c>
      <c r="AC36" s="1511">
        <f t="shared" si="5"/>
        <v>1</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47"/>
      <c r="Q37" s="1507" t="str">
        <f t="shared" ref="Q37:Q42" si="14">B37</f>
        <v>宗地形状</v>
      </c>
      <c r="R37" s="1508" t="s">
        <v>8</v>
      </c>
      <c r="S37" s="1509">
        <f t="shared" si="10"/>
        <v>100</v>
      </c>
      <c r="T37" s="1508" t="s">
        <v>8</v>
      </c>
      <c r="U37" s="1509">
        <f t="shared" si="11"/>
        <v>100</v>
      </c>
      <c r="V37" s="1508" t="s">
        <v>8</v>
      </c>
      <c r="W37" s="1509">
        <f t="shared" si="12"/>
        <v>100</v>
      </c>
      <c r="X37" s="1502"/>
      <c r="Y37" s="3547"/>
      <c r="Z37" s="1510" t="str">
        <f t="shared" si="13"/>
        <v>宗地形状</v>
      </c>
      <c r="AA37" s="1511">
        <f t="shared" si="3"/>
        <v>1</v>
      </c>
      <c r="AB37" s="1511">
        <f t="shared" si="4"/>
        <v>1</v>
      </c>
      <c r="AC37" s="1511">
        <f t="shared" si="5"/>
        <v>1</v>
      </c>
    </row>
    <row r="38" spans="1:29" s="1203" customFormat="1" ht="15">
      <c r="A38" s="594"/>
      <c r="B38" s="1809" t="s">
        <v>2409</v>
      </c>
      <c r="C38" s="595" t="s">
        <v>3141</v>
      </c>
      <c r="D38" s="253">
        <v>100</v>
      </c>
      <c r="E38" s="595" t="s">
        <v>3084</v>
      </c>
      <c r="F38" s="534">
        <f>SUMIF(114:114,E38,115:115)-SUMIF(114:114,C38,115:115)+100</f>
        <v>105</v>
      </c>
      <c r="G38" s="595" t="s">
        <v>3084</v>
      </c>
      <c r="H38" s="534">
        <f>SUMIF(114:114,G38,115:115)-SUMIF(114:114,C38,115:115)+100</f>
        <v>105</v>
      </c>
      <c r="I38" s="595" t="s">
        <v>3084</v>
      </c>
      <c r="J38" s="534">
        <f>SUMIF(114:114,I38,115:115)-SUMIF(114:114,C38,115:115)+100</f>
        <v>105</v>
      </c>
      <c r="K38" s="578">
        <v>5</v>
      </c>
      <c r="L38" s="2017"/>
      <c r="M38" s="2018"/>
      <c r="N38" s="2018"/>
      <c r="O38" s="2019"/>
      <c r="P38" s="3547"/>
      <c r="Q38" s="1507" t="str">
        <f t="shared" si="14"/>
        <v>宗地开发程度</v>
      </c>
      <c r="R38" s="1503" t="s">
        <v>8</v>
      </c>
      <c r="S38" s="1504">
        <f t="shared" si="10"/>
        <v>105</v>
      </c>
      <c r="T38" s="1503" t="s">
        <v>8</v>
      </c>
      <c r="U38" s="1504">
        <f t="shared" si="11"/>
        <v>105</v>
      </c>
      <c r="V38" s="1503" t="s">
        <v>8</v>
      </c>
      <c r="W38" s="1504">
        <f t="shared" si="12"/>
        <v>105</v>
      </c>
      <c r="X38" s="1505"/>
      <c r="Y38" s="3547"/>
      <c r="Z38" s="1133" t="str">
        <f t="shared" si="13"/>
        <v>宗地开发程度</v>
      </c>
      <c r="AA38" s="1506">
        <f t="shared" si="3"/>
        <v>0.95238095238095233</v>
      </c>
      <c r="AB38" s="1506">
        <f t="shared" si="4"/>
        <v>0.95238095238095233</v>
      </c>
      <c r="AC38" s="1506">
        <f t="shared" si="5"/>
        <v>0.95238095238095233</v>
      </c>
    </row>
    <row r="39" spans="1:29" ht="15.75" thickBot="1">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47" t="s">
        <v>595</v>
      </c>
      <c r="Q39" s="1507" t="str">
        <f t="shared" si="14"/>
        <v>工程地质条件</v>
      </c>
      <c r="R39" s="1508" t="s">
        <v>8</v>
      </c>
      <c r="S39" s="1509">
        <f t="shared" si="10"/>
        <v>100</v>
      </c>
      <c r="T39" s="1508" t="s">
        <v>8</v>
      </c>
      <c r="U39" s="1509">
        <f t="shared" si="11"/>
        <v>100</v>
      </c>
      <c r="V39" s="1508" t="s">
        <v>8</v>
      </c>
      <c r="W39" s="1509">
        <f t="shared" si="12"/>
        <v>100</v>
      </c>
      <c r="X39" s="1502"/>
      <c r="Y39" s="3547" t="s">
        <v>595</v>
      </c>
      <c r="Z39" s="1510" t="str">
        <f t="shared" si="13"/>
        <v>工程地质条件</v>
      </c>
      <c r="AA39" s="1511">
        <f t="shared" si="3"/>
        <v>1</v>
      </c>
      <c r="AB39" s="1511">
        <f t="shared" si="4"/>
        <v>1</v>
      </c>
      <c r="AC39" s="1511">
        <f t="shared" si="5"/>
        <v>1</v>
      </c>
    </row>
    <row r="40" spans="1:29" ht="15" hidden="1">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47"/>
      <c r="Q40" s="1507">
        <f t="shared" si="14"/>
        <v>111</v>
      </c>
      <c r="R40" s="1508" t="s">
        <v>8</v>
      </c>
      <c r="S40" s="1509">
        <f t="shared" si="10"/>
        <v>100</v>
      </c>
      <c r="T40" s="1508" t="s">
        <v>8</v>
      </c>
      <c r="U40" s="1509">
        <f t="shared" si="11"/>
        <v>100</v>
      </c>
      <c r="V40" s="1508" t="s">
        <v>8</v>
      </c>
      <c r="W40" s="1509">
        <f t="shared" si="12"/>
        <v>100</v>
      </c>
      <c r="X40" s="1502"/>
      <c r="Y40" s="3547"/>
      <c r="Z40" s="1510">
        <f t="shared" si="13"/>
        <v>111</v>
      </c>
      <c r="AA40" s="1511">
        <f t="shared" si="3"/>
        <v>1</v>
      </c>
      <c r="AB40" s="1511">
        <f t="shared" si="4"/>
        <v>1</v>
      </c>
      <c r="AC40" s="1511">
        <f t="shared" si="5"/>
        <v>1</v>
      </c>
    </row>
    <row r="41" spans="1:29" ht="15" hidden="1">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47"/>
      <c r="Q41" s="1507">
        <f t="shared" si="14"/>
        <v>111</v>
      </c>
      <c r="R41" s="1508" t="s">
        <v>8</v>
      </c>
      <c r="S41" s="1509">
        <f t="shared" si="10"/>
        <v>100</v>
      </c>
      <c r="T41" s="1508" t="s">
        <v>8</v>
      </c>
      <c r="U41" s="1509">
        <f t="shared" si="11"/>
        <v>100</v>
      </c>
      <c r="V41" s="1508" t="s">
        <v>8</v>
      </c>
      <c r="W41" s="1509">
        <f t="shared" si="12"/>
        <v>100</v>
      </c>
      <c r="X41" s="1502"/>
      <c r="Y41" s="3547"/>
      <c r="Z41" s="1510">
        <f t="shared" si="13"/>
        <v>111</v>
      </c>
      <c r="AA41" s="1511">
        <f t="shared" si="3"/>
        <v>1</v>
      </c>
      <c r="AB41" s="1511">
        <f t="shared" si="4"/>
        <v>1</v>
      </c>
      <c r="AC41" s="1511">
        <f t="shared" si="5"/>
        <v>1</v>
      </c>
    </row>
    <row r="42" spans="1:29" s="1293" customFormat="1" ht="15.75" hidden="1"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47"/>
      <c r="Q42" s="1507">
        <f t="shared" si="14"/>
        <v>111</v>
      </c>
      <c r="R42" s="1512" t="s">
        <v>8</v>
      </c>
      <c r="S42" s="1513">
        <f t="shared" si="10"/>
        <v>100</v>
      </c>
      <c r="T42" s="1512" t="s">
        <v>8</v>
      </c>
      <c r="U42" s="1513">
        <f t="shared" si="11"/>
        <v>100</v>
      </c>
      <c r="V42" s="1512" t="s">
        <v>8</v>
      </c>
      <c r="W42" s="1513">
        <f t="shared" si="12"/>
        <v>100</v>
      </c>
      <c r="X42" s="1514"/>
      <c r="Y42" s="3547"/>
      <c r="Z42" s="1515">
        <f t="shared" si="13"/>
        <v>111</v>
      </c>
      <c r="AA42" s="1511">
        <f t="shared" si="3"/>
        <v>1</v>
      </c>
      <c r="AB42" s="1511">
        <f t="shared" si="4"/>
        <v>1</v>
      </c>
      <c r="AC42" s="1511">
        <f t="shared" si="5"/>
        <v>1</v>
      </c>
    </row>
    <row r="43" spans="1:29" ht="15">
      <c r="A43" s="601" t="s">
        <v>550</v>
      </c>
      <c r="B43" s="602" t="s">
        <v>2903</v>
      </c>
      <c r="C43" s="603" t="s">
        <v>1</v>
      </c>
      <c r="D43" s="604"/>
      <c r="E43" s="605">
        <f>案例!V6</f>
        <v>1349.43</v>
      </c>
      <c r="F43" s="606"/>
      <c r="G43" s="607">
        <f>案例!V7</f>
        <v>1874.09</v>
      </c>
      <c r="H43" s="608"/>
      <c r="I43" s="605">
        <f>案例!V8</f>
        <v>1349.43</v>
      </c>
      <c r="J43" s="608"/>
      <c r="K43" s="1294"/>
      <c r="L43" s="2026"/>
      <c r="M43" s="2016"/>
      <c r="N43" s="2016"/>
      <c r="O43" s="2027"/>
      <c r="P43" s="3542" t="str">
        <f>A43</f>
        <v>成交单价</v>
      </c>
      <c r="Q43" s="3542"/>
      <c r="R43" s="3556">
        <f>E43</f>
        <v>1349.43</v>
      </c>
      <c r="S43" s="3556"/>
      <c r="T43" s="3556">
        <f>G43</f>
        <v>1874.09</v>
      </c>
      <c r="U43" s="3556"/>
      <c r="V43" s="3556">
        <f>I43</f>
        <v>1349.43</v>
      </c>
      <c r="W43" s="3556"/>
      <c r="X43" s="1497"/>
      <c r="Y43" s="1516"/>
      <c r="Z43" s="1497"/>
      <c r="AA43" s="1497"/>
      <c r="AB43" s="1497"/>
      <c r="AC43" s="1497"/>
    </row>
    <row r="44" spans="1:29" ht="15.75" thickBot="1">
      <c r="A44" s="609" t="s">
        <v>2674</v>
      </c>
      <c r="B44" s="610"/>
      <c r="C44" s="611">
        <f>R45</f>
        <v>1576</v>
      </c>
      <c r="D44" s="3014" t="s">
        <v>2969</v>
      </c>
      <c r="E44" s="611">
        <f>R44</f>
        <v>1483</v>
      </c>
      <c r="F44" s="3015"/>
      <c r="G44" s="612">
        <f>T44</f>
        <v>1886</v>
      </c>
      <c r="H44" s="3015"/>
      <c r="I44" s="611">
        <f>V44</f>
        <v>1359</v>
      </c>
      <c r="J44" s="3015"/>
      <c r="K44" s="3016">
        <f>F44+H44+J44</f>
        <v>0</v>
      </c>
      <c r="L44" s="2026"/>
      <c r="M44" s="2016"/>
      <c r="N44" s="2016"/>
      <c r="O44" s="2027"/>
      <c r="P44" s="3542" t="str">
        <f>A44</f>
        <v>比较价格（元/平方米）</v>
      </c>
      <c r="Q44" s="3542"/>
      <c r="R44" s="3566">
        <f>ROUND(PRODUCT(R43,AA9:AA42),0)</f>
        <v>1483</v>
      </c>
      <c r="S44" s="3566"/>
      <c r="T44" s="3566">
        <f>ROUND(PRODUCT(T43,AB9:AB42),0)</f>
        <v>1886</v>
      </c>
      <c r="U44" s="3566"/>
      <c r="V44" s="3566">
        <f>ROUND(PRODUCT(V43,AC9:AC42),0)</f>
        <v>1359</v>
      </c>
      <c r="W44" s="3566"/>
      <c r="X44" s="1497"/>
      <c r="Y44" s="1497"/>
      <c r="Z44" s="1497"/>
      <c r="AA44" s="1497"/>
      <c r="AB44" s="1497"/>
      <c r="AC44" s="1497"/>
    </row>
    <row r="45" spans="1:29" ht="15.75" thickBot="1">
      <c r="A45" s="613" t="s">
        <v>2904</v>
      </c>
      <c r="B45" s="614"/>
      <c r="C45" s="615">
        <f>R45</f>
        <v>1576</v>
      </c>
      <c r="D45" s="615"/>
      <c r="E45" s="615"/>
      <c r="F45" s="615"/>
      <c r="G45" s="615"/>
      <c r="H45" s="615"/>
      <c r="I45" s="615"/>
      <c r="J45" s="615"/>
      <c r="K45" s="1295"/>
      <c r="L45" s="2026"/>
      <c r="M45" s="2016"/>
      <c r="N45" s="2016"/>
      <c r="O45" s="2027"/>
      <c r="P45" s="3563" t="str">
        <f>A45</f>
        <v>估价对象XX用房的比较价格（楼面单价，元/平方米）</v>
      </c>
      <c r="Q45" s="3564"/>
      <c r="R45" s="3572">
        <f>ROUND(IF(D44="简单平均",AVERAGE(R44:W44),R44*F44+T44*H44+V44*J44),0)</f>
        <v>1576</v>
      </c>
      <c r="S45" s="3572"/>
      <c r="T45" s="3572"/>
      <c r="U45" s="3572"/>
      <c r="V45" s="3572"/>
      <c r="W45" s="3572"/>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f>IF(E43&lt;E44,E44/E43-1,E43/E44-1)</f>
        <v>9.898253336593954E-2</v>
      </c>
      <c r="F48" s="619" t="str">
        <f>IF(OR(E48&gt;=0.3,E48&lt;=-0.3),"超过30%","")</f>
        <v/>
      </c>
      <c r="G48" s="618">
        <f>IF(G43&lt;G44,G44/G43-1,G43/G44-1)</f>
        <v>6.3550843342636831E-3</v>
      </c>
      <c r="H48" s="619" t="str">
        <f>IF(OR(G48&gt;=0.3,G48&lt;=-0.3),"超过30%","")</f>
        <v/>
      </c>
      <c r="I48" s="618">
        <f>IF(I43&lt;I44,I44/I43-1,I43/I44-1)</f>
        <v>7.091883239590091E-3</v>
      </c>
      <c r="J48" s="619" t="str">
        <f>IF(OR(I48&gt;=0.3,I48&lt;=-0.3),"超过30%","")</f>
        <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f>IF(E44&lt;G44,G44/E44-1,E44/G44-1)</f>
        <v>0.27174645987862434</v>
      </c>
      <c r="F49" s="619" t="str">
        <f>IF(OR(E49&gt;=0.2,E49&lt;=-0.2),"超过20%","")</f>
        <v>超过20%</v>
      </c>
      <c r="G49" s="618">
        <f>IF(G44&lt;I44,I44/G44-1,G44/I44-1)</f>
        <v>0.38778513612950705</v>
      </c>
      <c r="H49" s="619" t="str">
        <f>IF(OR(G49&gt;=0.2,G49&lt;=-0.2),"超过20%","")</f>
        <v>超过20%</v>
      </c>
      <c r="I49" s="618">
        <f>IF(I44&lt;E44,E44/I44-1,I44/E44-1)</f>
        <v>9.1243561442236887E-2</v>
      </c>
      <c r="J49" s="619" t="str">
        <f>IF(OR(I49&gt;=0.2,I49&lt;=-0.2),"超过20%","")</f>
        <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f>IF(E43&lt;G43,G43/E43-1,E43/G43-1)</f>
        <v>0.38880119754266595</v>
      </c>
      <c r="F50" s="619" t="str">
        <f>IF(OR(E50&gt;=0.3,E50&lt;=-0.3),"超过30%","")</f>
        <v>超过30%</v>
      </c>
      <c r="G50" s="618">
        <f>IF(G43&lt;I43,I43/G43-1,G43/I43-1)</f>
        <v>0.38880119754266595</v>
      </c>
      <c r="H50" s="619" t="str">
        <f>IF(OR(G50&gt;=0.3,G50&lt;=-0.3),"超过30%","")</f>
        <v>超过30%</v>
      </c>
      <c r="I50" s="618">
        <f>IF(I43&lt;E43,E43/I43-1,I43/E43-1)</f>
        <v>0</v>
      </c>
      <c r="J50" s="619" t="str">
        <f>IF(OR(I50&gt;=0.3,I50&lt;=-0.3),"超过30%","")</f>
        <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3567" t="s">
        <v>2272</v>
      </c>
      <c r="H52" s="3568"/>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f>C45</f>
        <v>1576</v>
      </c>
      <c r="C53" s="627">
        <v>1</v>
      </c>
      <c r="D53" s="2108">
        <v>1</v>
      </c>
      <c r="E53" s="627">
        <f>'数据-汇总表'!E8+'数据-汇总表'!E9</f>
        <v>44852.26</v>
      </c>
      <c r="F53" s="1864">
        <f t="shared" ref="F53:F62" si="15">ROUND(B53*E53/10000,0)</f>
        <v>7069</v>
      </c>
      <c r="G53" s="3569"/>
      <c r="H53" s="3570"/>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f>ROUND($C$45*C54*D54,0)</f>
        <v>0</v>
      </c>
      <c r="C54" s="372">
        <f t="shared" ref="C54:C62" si="16">IF($C$52="北京市系数",I54,J54)</f>
        <v>0</v>
      </c>
      <c r="D54" s="2109">
        <v>0.25</v>
      </c>
      <c r="E54" s="631"/>
      <c r="F54" s="1864">
        <f t="shared" si="15"/>
        <v>0</v>
      </c>
      <c r="G54" s="3571"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f t="shared" ref="B55:B62" si="17">ROUND($C$45*C55*D55,0)</f>
        <v>0</v>
      </c>
      <c r="C55" s="372">
        <f t="shared" si="16"/>
        <v>0</v>
      </c>
      <c r="D55" s="2109">
        <v>0.25</v>
      </c>
      <c r="E55" s="631"/>
      <c r="F55" s="1864">
        <f t="shared" si="15"/>
        <v>0</v>
      </c>
      <c r="G55" s="3571"/>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f t="shared" si="17"/>
        <v>0</v>
      </c>
      <c r="C56" s="372">
        <f t="shared" si="16"/>
        <v>0</v>
      </c>
      <c r="D56" s="2109">
        <v>0.25</v>
      </c>
      <c r="E56" s="631"/>
      <c r="F56" s="1864">
        <f t="shared" si="15"/>
        <v>0</v>
      </c>
      <c r="G56" s="3571"/>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f t="shared" si="17"/>
        <v>0</v>
      </c>
      <c r="C57" s="372">
        <f t="shared" si="16"/>
        <v>0</v>
      </c>
      <c r="D57" s="2109">
        <v>0.25</v>
      </c>
      <c r="E57" s="631"/>
      <c r="F57" s="1864">
        <f t="shared" si="15"/>
        <v>0</v>
      </c>
      <c r="G57" s="3571"/>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f t="shared" si="17"/>
        <v>0</v>
      </c>
      <c r="C58" s="372">
        <f t="shared" si="16"/>
        <v>0</v>
      </c>
      <c r="D58" s="2109">
        <v>0.25</v>
      </c>
      <c r="E58" s="633">
        <f>'数据-汇总表'!E11</f>
        <v>0</v>
      </c>
      <c r="F58" s="1864">
        <f t="shared" si="15"/>
        <v>0</v>
      </c>
      <c r="G58" s="1870" t="s">
        <v>2274</v>
      </c>
      <c r="H58" s="1869">
        <f>项目基本情况!C43</f>
        <v>0</v>
      </c>
      <c r="I58" s="1867">
        <f>SUMIF(修正!$A$45:$A$56,H58,修正!F45:F56)</f>
        <v>0</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f t="shared" si="17"/>
        <v>0</v>
      </c>
      <c r="C59" s="372">
        <f t="shared" si="16"/>
        <v>0</v>
      </c>
      <c r="D59" s="2109">
        <v>0.25</v>
      </c>
      <c r="E59" s="633">
        <f>'数据-汇总表'!E12</f>
        <v>0</v>
      </c>
      <c r="F59" s="1864">
        <f t="shared" si="15"/>
        <v>0</v>
      </c>
      <c r="G59" s="1860" t="s">
        <v>1668</v>
      </c>
      <c r="H59" s="1868">
        <f>IF(G59="商业",项目基本情况!B43,IF(G59="办公",项目基本情况!C43,IF(G59="住宅",项目基本情况!D43,项目基本情况!E43)))</f>
        <v>0</v>
      </c>
      <c r="I59" s="1867">
        <f>SUMIF(修正!$A$45:$A$56,H59,修正!G45:G56)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f t="shared" si="17"/>
        <v>0</v>
      </c>
      <c r="C60" s="372">
        <f t="shared" si="16"/>
        <v>0</v>
      </c>
      <c r="D60" s="2109">
        <v>0.25</v>
      </c>
      <c r="E60" s="633">
        <f>'数据-汇总表'!E13</f>
        <v>0</v>
      </c>
      <c r="F60" s="1864">
        <f t="shared" si="15"/>
        <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f t="shared" si="17"/>
        <v>0</v>
      </c>
      <c r="C61" s="372">
        <f t="shared" si="16"/>
        <v>0</v>
      </c>
      <c r="D61" s="2109">
        <v>0.25</v>
      </c>
      <c r="E61" s="633">
        <f>'数据-汇总表'!E14</f>
        <v>0</v>
      </c>
      <c r="F61" s="1864">
        <f t="shared" si="15"/>
        <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f t="shared" si="17"/>
        <v>0</v>
      </c>
      <c r="C62" s="372">
        <f t="shared" si="16"/>
        <v>0</v>
      </c>
      <c r="D62" s="2109">
        <v>0.25</v>
      </c>
      <c r="E62" s="633">
        <f>'数据-汇总表'!E15</f>
        <v>0</v>
      </c>
      <c r="F62" s="1864">
        <f t="shared" si="15"/>
        <v>0</v>
      </c>
      <c r="G62" s="1871" t="s">
        <v>2274</v>
      </c>
      <c r="H62" s="1872">
        <f>项目基本情况!C43</f>
        <v>0</v>
      </c>
      <c r="I62" s="1867">
        <f>SUMIF(修正!$A$45:$A$56,H62,修正!H45:H56)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44852.26</v>
      </c>
      <c r="F63" s="636">
        <f>IF(B43="楼面地价",SUM(F53:F62),ROUND(C45*E63/10000,0))</f>
        <v>7069</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2021-1-1</v>
      </c>
      <c r="D65" s="2516">
        <f>EDATE(C65,-3)</f>
        <v>44105</v>
      </c>
      <c r="E65" s="2516">
        <f t="shared" ref="E65:O65" si="18">EDATE(D65,-3)</f>
        <v>44013</v>
      </c>
      <c r="F65" s="2516">
        <f t="shared" si="18"/>
        <v>43922</v>
      </c>
      <c r="G65" s="2516">
        <f t="shared" si="18"/>
        <v>43831</v>
      </c>
      <c r="H65" s="2516">
        <f t="shared" si="18"/>
        <v>43739</v>
      </c>
      <c r="I65" s="2516">
        <f t="shared" si="18"/>
        <v>43647</v>
      </c>
      <c r="J65" s="2516">
        <f t="shared" si="18"/>
        <v>43556</v>
      </c>
      <c r="K65" s="2516">
        <f t="shared" si="18"/>
        <v>43466</v>
      </c>
      <c r="L65" s="2516">
        <f t="shared" si="18"/>
        <v>43374</v>
      </c>
      <c r="M65" s="2516">
        <f t="shared" si="18"/>
        <v>43282</v>
      </c>
      <c r="N65" s="2516">
        <f t="shared" si="18"/>
        <v>43191</v>
      </c>
      <c r="O65" s="2029">
        <f t="shared" si="18"/>
        <v>43101</v>
      </c>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2021-1</v>
      </c>
      <c r="D67" s="2518" t="str">
        <f t="shared" ref="D67:O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3311" t="str">
        <f t="shared" si="19"/>
        <v>2018-1</v>
      </c>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北京市平均增长率1.19%</v>
      </c>
      <c r="C68" s="883">
        <v>100</v>
      </c>
      <c r="D68" s="722">
        <v>100</v>
      </c>
      <c r="E68" s="722">
        <f>(1-E69/100)*D68</f>
        <v>99.929999999999993</v>
      </c>
      <c r="F68" s="722">
        <f t="shared" ref="F68:O68" si="20">(1-F69/100)*E68</f>
        <v>99.460328999999987</v>
      </c>
      <c r="G68" s="722">
        <f t="shared" si="20"/>
        <v>99.191786111699983</v>
      </c>
      <c r="H68" s="722">
        <f t="shared" si="20"/>
        <v>98.715665538363822</v>
      </c>
      <c r="I68" s="722">
        <f t="shared" si="20"/>
        <v>97.698894183318671</v>
      </c>
      <c r="J68" s="722">
        <f t="shared" si="20"/>
        <v>96.477658006027198</v>
      </c>
      <c r="K68" s="722">
        <f t="shared" si="20"/>
        <v>95.387460470559091</v>
      </c>
      <c r="L68" s="722">
        <f t="shared" si="20"/>
        <v>94.156962230488872</v>
      </c>
      <c r="M68" s="722">
        <f t="shared" si="20"/>
        <v>92.518631087678372</v>
      </c>
      <c r="N68" s="722">
        <f t="shared" si="20"/>
        <v>90.261176489139018</v>
      </c>
      <c r="O68" s="722">
        <f t="shared" si="20"/>
        <v>88.446926841707324</v>
      </c>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3309"/>
      <c r="D69" s="3310">
        <v>0</v>
      </c>
      <c r="E69" s="3310">
        <f>地价!L7</f>
        <v>7.0000000000000007E-2</v>
      </c>
      <c r="F69" s="3310">
        <f>地价!L8</f>
        <v>0.47</v>
      </c>
      <c r="G69" s="3310">
        <f>地价!L9</f>
        <v>0.27</v>
      </c>
      <c r="H69" s="3310">
        <f>地价!L10</f>
        <v>0.48</v>
      </c>
      <c r="I69" s="3310">
        <f>地价!L11</f>
        <v>1.03</v>
      </c>
      <c r="J69" s="3310">
        <f>地价!L12</f>
        <v>1.25</v>
      </c>
      <c r="K69" s="3310">
        <f>地价!L13</f>
        <v>1.1299999999999999</v>
      </c>
      <c r="L69" s="3310">
        <f>地价!L14</f>
        <v>1.29</v>
      </c>
      <c r="M69" s="3310">
        <f>地价!L15</f>
        <v>1.74</v>
      </c>
      <c r="N69" s="3310">
        <f>地价!L16</f>
        <v>2.44</v>
      </c>
      <c r="O69" s="2043">
        <f>地价!L17</f>
        <v>2.0099999999999998</v>
      </c>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1（含）-3</v>
      </c>
      <c r="D76" s="674" t="str">
        <f t="shared" ref="D76:L76" si="21">D77&amp;"（含）"&amp;"-"&amp;E77</f>
        <v>3（含）-</v>
      </c>
      <c r="E76" s="674" t="str">
        <f t="shared" si="21"/>
        <v>（含）-</v>
      </c>
      <c r="F76" s="674" t="str">
        <f t="shared" si="21"/>
        <v>（含）-</v>
      </c>
      <c r="G76" s="674" t="str">
        <f t="shared" si="21"/>
        <v>（含）-</v>
      </c>
      <c r="H76" s="674" t="str">
        <f t="shared" si="21"/>
        <v>（含）-</v>
      </c>
      <c r="I76" s="674" t="str">
        <f t="shared" si="21"/>
        <v>（含）-</v>
      </c>
      <c r="J76" s="674" t="str">
        <f t="shared" si="21"/>
        <v>（含）-</v>
      </c>
      <c r="K76" s="674" t="str">
        <f t="shared" si="21"/>
        <v>（含）-</v>
      </c>
      <c r="L76" s="674" t="str">
        <f t="shared" si="21"/>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v>1</v>
      </c>
      <c r="D77" s="535">
        <v>3</v>
      </c>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2">IF($B$43="单位面积地价",D78+$K13,D78-$K13)</f>
        <v>100</v>
      </c>
      <c r="F78" s="671">
        <f t="shared" si="22"/>
        <v>100</v>
      </c>
      <c r="G78" s="671">
        <f t="shared" si="22"/>
        <v>100</v>
      </c>
      <c r="H78" s="671">
        <f t="shared" si="22"/>
        <v>100</v>
      </c>
      <c r="I78" s="671">
        <f t="shared" si="22"/>
        <v>100</v>
      </c>
      <c r="J78" s="671">
        <f t="shared" si="22"/>
        <v>100</v>
      </c>
      <c r="K78" s="671">
        <f t="shared" si="22"/>
        <v>100</v>
      </c>
      <c r="L78" s="671">
        <f t="shared" si="22"/>
        <v>100</v>
      </c>
      <c r="M78" s="671">
        <f t="shared" si="22"/>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98</v>
      </c>
      <c r="E86" s="671">
        <f>D86-$K17</f>
        <v>96</v>
      </c>
      <c r="F86" s="671">
        <f>E86-$K17</f>
        <v>94</v>
      </c>
      <c r="G86" s="671">
        <f>F86-$K17</f>
        <v>92</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93</v>
      </c>
      <c r="E92" s="671">
        <f>D92-$K23</f>
        <v>86</v>
      </c>
      <c r="F92" s="671">
        <f>E92-$K23</f>
        <v>79</v>
      </c>
      <c r="G92" s="671">
        <f>F92-$K23</f>
        <v>72</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3">C98-$K29</f>
        <v>100</v>
      </c>
      <c r="E98" s="671">
        <f t="shared" si="23"/>
        <v>100</v>
      </c>
      <c r="F98" s="671">
        <f t="shared" si="23"/>
        <v>100</v>
      </c>
      <c r="G98" s="671">
        <f t="shared" si="23"/>
        <v>100</v>
      </c>
      <c r="H98" s="671">
        <f t="shared" si="23"/>
        <v>100</v>
      </c>
      <c r="I98" s="671">
        <f t="shared" si="23"/>
        <v>100</v>
      </c>
      <c r="J98" s="671">
        <f t="shared" si="23"/>
        <v>100</v>
      </c>
      <c r="K98" s="671">
        <f t="shared" si="23"/>
        <v>100</v>
      </c>
      <c r="L98" s="671">
        <f t="shared" si="23"/>
        <v>100</v>
      </c>
      <c r="M98" s="671">
        <f t="shared" si="23"/>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4">C100-$K30</f>
        <v>100</v>
      </c>
      <c r="E100" s="671">
        <f t="shared" si="24"/>
        <v>100</v>
      </c>
      <c r="F100" s="671">
        <f t="shared" si="24"/>
        <v>100</v>
      </c>
      <c r="G100" s="671">
        <f t="shared" si="24"/>
        <v>100</v>
      </c>
      <c r="H100" s="671">
        <f t="shared" si="24"/>
        <v>100</v>
      </c>
      <c r="I100" s="671">
        <f t="shared" si="24"/>
        <v>100</v>
      </c>
      <c r="J100" s="671">
        <f t="shared" si="24"/>
        <v>100</v>
      </c>
      <c r="K100" s="671">
        <f t="shared" si="24"/>
        <v>100</v>
      </c>
      <c r="L100" s="671">
        <f t="shared" si="24"/>
        <v>100</v>
      </c>
      <c r="M100" s="671">
        <f t="shared" si="24"/>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5">C102-$K32</f>
        <v>100</v>
      </c>
      <c r="E102" s="671">
        <f t="shared" si="25"/>
        <v>100</v>
      </c>
      <c r="F102" s="671">
        <f t="shared" si="25"/>
        <v>100</v>
      </c>
      <c r="G102" s="671">
        <f t="shared" si="25"/>
        <v>100</v>
      </c>
      <c r="H102" s="671">
        <f t="shared" si="25"/>
        <v>100</v>
      </c>
      <c r="I102" s="671">
        <f t="shared" si="25"/>
        <v>100</v>
      </c>
      <c r="J102" s="671">
        <f t="shared" si="25"/>
        <v>100</v>
      </c>
      <c r="K102" s="671">
        <f t="shared" si="25"/>
        <v>100</v>
      </c>
      <c r="L102" s="671">
        <f t="shared" si="25"/>
        <v>100</v>
      </c>
      <c r="M102" s="671">
        <f t="shared" si="25"/>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6">C110&amp;"(含)"&amp;"-"&amp;D110</f>
        <v>0(含)-1000000</v>
      </c>
      <c r="D109" s="696" t="str">
        <f t="shared" si="26"/>
        <v>1000000(含)-</v>
      </c>
      <c r="E109" s="696" t="str">
        <f t="shared" si="26"/>
        <v>(含)-</v>
      </c>
      <c r="F109" s="696" t="str">
        <f t="shared" si="26"/>
        <v>(含)-</v>
      </c>
      <c r="G109" s="696" t="str">
        <f t="shared" si="26"/>
        <v>(含)-</v>
      </c>
      <c r="H109" s="696" t="str">
        <f t="shared" si="26"/>
        <v>(含)-</v>
      </c>
      <c r="I109" s="696" t="str">
        <f t="shared" si="26"/>
        <v>(含)-</v>
      </c>
      <c r="J109" s="696" t="str">
        <f t="shared" si="26"/>
        <v>(含)-</v>
      </c>
      <c r="K109" s="2780" t="str">
        <f t="shared" si="26"/>
        <v>(含)-</v>
      </c>
      <c r="L109" s="2781" t="str">
        <f t="shared" si="26"/>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v>0</v>
      </c>
      <c r="D110" s="722">
        <v>1000000</v>
      </c>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v>100</v>
      </c>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7">C113-$K37</f>
        <v>100</v>
      </c>
      <c r="E113" s="671">
        <f t="shared" si="27"/>
        <v>100</v>
      </c>
      <c r="F113" s="671">
        <f t="shared" si="27"/>
        <v>100</v>
      </c>
      <c r="G113" s="671">
        <f t="shared" si="27"/>
        <v>100</v>
      </c>
      <c r="H113" s="671">
        <f t="shared" si="27"/>
        <v>100</v>
      </c>
      <c r="I113" s="671">
        <f t="shared" si="27"/>
        <v>100</v>
      </c>
      <c r="J113" s="671">
        <f t="shared" si="27"/>
        <v>100</v>
      </c>
      <c r="K113" s="671">
        <f t="shared" si="27"/>
        <v>100</v>
      </c>
      <c r="L113" s="671">
        <f t="shared" si="27"/>
        <v>100</v>
      </c>
      <c r="M113" s="672">
        <f t="shared" si="27"/>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t="s">
        <v>3140</v>
      </c>
      <c r="D114" s="1327" t="s">
        <v>3085</v>
      </c>
      <c r="E114" s="1327" t="s">
        <v>3142</v>
      </c>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8">C115-$K38</f>
        <v>95</v>
      </c>
      <c r="E115" s="671">
        <f t="shared" si="28"/>
        <v>90</v>
      </c>
      <c r="F115" s="671">
        <f t="shared" si="28"/>
        <v>85</v>
      </c>
      <c r="G115" s="671">
        <f t="shared" si="28"/>
        <v>80</v>
      </c>
      <c r="H115" s="671">
        <f t="shared" si="28"/>
        <v>75</v>
      </c>
      <c r="I115" s="671">
        <f t="shared" si="28"/>
        <v>70</v>
      </c>
      <c r="J115" s="671">
        <f t="shared" si="28"/>
        <v>65</v>
      </c>
      <c r="K115" s="671">
        <f t="shared" si="28"/>
        <v>60</v>
      </c>
      <c r="L115" s="671">
        <f t="shared" si="28"/>
        <v>55</v>
      </c>
      <c r="M115" s="672">
        <f t="shared" si="28"/>
        <v>50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9">C117-$K39</f>
        <v>100</v>
      </c>
      <c r="E117" s="671">
        <f t="shared" si="29"/>
        <v>100</v>
      </c>
      <c r="F117" s="671">
        <f t="shared" si="29"/>
        <v>100</v>
      </c>
      <c r="G117" s="671">
        <f t="shared" si="29"/>
        <v>100</v>
      </c>
      <c r="H117" s="671">
        <f t="shared" si="29"/>
        <v>100</v>
      </c>
      <c r="I117" s="671">
        <f t="shared" si="29"/>
        <v>100</v>
      </c>
      <c r="J117" s="671">
        <f t="shared" si="29"/>
        <v>100</v>
      </c>
      <c r="K117" s="671">
        <f t="shared" si="29"/>
        <v>100</v>
      </c>
      <c r="L117" s="671">
        <f t="shared" si="29"/>
        <v>100</v>
      </c>
      <c r="M117" s="672">
        <f t="shared" si="29"/>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Normal="85" zoomScaleSheetLayoutView="100" workbookViewId="0">
      <selection activeCell="N16" sqref="N16"/>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44852.26</v>
      </c>
      <c r="E1" s="1355" t="s">
        <v>2412</v>
      </c>
      <c r="F1" s="2307">
        <f>'数据-基础表'!A3</f>
        <v>44852.26</v>
      </c>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2516</v>
      </c>
      <c r="C2" s="1356" t="s">
        <v>912</v>
      </c>
      <c r="D2" s="1357" t="s">
        <v>913</v>
      </c>
      <c r="E2" s="1358" t="s">
        <v>972</v>
      </c>
      <c r="F2" s="1357" t="s">
        <v>915</v>
      </c>
      <c r="G2" s="1581" t="str">
        <f>IF(E2="商业",项目基本情况!B43,IF(E2="办公",项目基本情况!C43,IF(E2="住宅",项目基本情况!D43,项目基本情况!E43)))</f>
        <v>十一级</v>
      </c>
      <c r="H2" s="1357" t="s">
        <v>917</v>
      </c>
      <c r="I2" s="1582" t="str">
        <f>IF(E2="商业",项目基本情况!B44,IF(E2="办公",项目基本情况!C44,IF(E2="住宅",项目基本情况!D44,项目基本情况!E44)))</f>
        <v>Ⅺ-平2</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1089</v>
      </c>
      <c r="U2" s="2643"/>
      <c r="V2" s="2654">
        <f ca="1">ROUND(T2*U2/10000,0)</f>
        <v>0</v>
      </c>
      <c r="W2" s="2070"/>
      <c r="X2" s="2070"/>
      <c r="Y2" s="2070"/>
      <c r="Z2" s="2070"/>
      <c r="AA2" s="2070"/>
      <c r="AB2" s="2070"/>
      <c r="AC2" s="2071"/>
    </row>
    <row r="3" spans="1:39" ht="15.75">
      <c r="A3" s="1360" t="s">
        <v>1678</v>
      </c>
      <c r="B3" s="1025">
        <f ca="1">ROUND(B2*10000/D1,0)</f>
        <v>561</v>
      </c>
      <c r="C3" s="1356" t="s">
        <v>918</v>
      </c>
      <c r="D3" s="1357" t="s">
        <v>919</v>
      </c>
      <c r="E3" s="1361" t="s">
        <v>3008</v>
      </c>
      <c r="F3" s="1362" t="s">
        <v>3009</v>
      </c>
      <c r="G3" s="1026">
        <f>IF(F3="宗地容积率",'数据-汇总表'!I4,IF(F3="估价对象容积率",'数据-汇总表'!I6,'数据-汇总表'!I7))</f>
        <v>1</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718</v>
      </c>
      <c r="U3" s="2643"/>
      <c r="V3" s="2654">
        <f t="shared" ref="V3:V16" ca="1" si="1">ROUND(T3*U3/10000,0)</f>
        <v>0</v>
      </c>
      <c r="W3" s="2070"/>
      <c r="X3" s="2070"/>
      <c r="Y3" s="2070"/>
      <c r="Z3" s="2070"/>
      <c r="AA3" s="2070"/>
      <c r="AB3" s="2070"/>
      <c r="AC3" s="2071"/>
    </row>
    <row r="4" spans="1:39" ht="28.5">
      <c r="A4" s="1805" t="s">
        <v>2268</v>
      </c>
      <c r="B4" s="2308">
        <f ca="1">ROUND(B2*10000/F1,0)</f>
        <v>561</v>
      </c>
      <c r="C4" s="1808" t="s">
        <v>2243</v>
      </c>
      <c r="D4" s="1808">
        <f ca="1">ROUND(B2/(F1/666.67),0)</f>
        <v>37</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565</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425</v>
      </c>
      <c r="D5" s="2793">
        <f>ROUND(C6+C16,0)</f>
        <v>425</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422</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460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317</v>
      </c>
      <c r="U6" s="2643"/>
      <c r="V6" s="2654">
        <f t="shared" ca="1" si="1"/>
        <v>0</v>
      </c>
      <c r="W6" s="2070"/>
      <c r="X6" s="2070"/>
      <c r="Y6" s="2070"/>
      <c r="Z6" s="2070"/>
      <c r="AA6" s="2070"/>
      <c r="AB6" s="2070"/>
      <c r="AC6" s="2072"/>
      <c r="AD6" s="1368"/>
      <c r="AE6" s="1368"/>
      <c r="AF6" s="1368"/>
      <c r="AG6" s="1368"/>
      <c r="AH6" s="1368"/>
      <c r="AI6" s="1368"/>
      <c r="AJ6" s="1369"/>
    </row>
    <row r="7" spans="1:39" ht="24">
      <c r="A7" s="3580"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254</v>
      </c>
      <c r="U7" s="2643"/>
      <c r="V7" s="2654">
        <f t="shared" ca="1" si="1"/>
        <v>0</v>
      </c>
      <c r="W7" s="2652" t="s">
        <v>2745</v>
      </c>
      <c r="X7" s="2644" t="str">
        <f>G2</f>
        <v>十一级</v>
      </c>
      <c r="Y7" s="2644" t="s">
        <v>2746</v>
      </c>
      <c r="Z7" s="2645">
        <f>G3</f>
        <v>1</v>
      </c>
      <c r="AA7" s="2073"/>
      <c r="AB7" s="2073"/>
      <c r="AC7" s="2074"/>
      <c r="AD7" s="2646"/>
      <c r="AE7" s="2646"/>
      <c r="AF7" s="2646"/>
      <c r="AG7" s="2646"/>
      <c r="AH7" s="2646"/>
      <c r="AI7" s="2646"/>
      <c r="AJ7" s="2647"/>
    </row>
    <row r="8" spans="1:39" ht="15">
      <c r="A8" s="3581"/>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3591" t="s">
        <v>2763</v>
      </c>
      <c r="X8" s="3592"/>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81"/>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590"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81"/>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90"/>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81"/>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460</v>
      </c>
      <c r="N11" s="1801">
        <f>SUMPRODUCT((因素修正幅度!B317:B337=I2)*(因素修正幅度!C3:F3=E2)*(因素修正幅度!C317:F337))</f>
        <v>0.14099999999999999</v>
      </c>
      <c r="O11" s="3235"/>
      <c r="P11" s="2070"/>
      <c r="Q11" s="2070"/>
      <c r="R11" s="2654">
        <v>10</v>
      </c>
      <c r="S11" s="2643"/>
      <c r="T11" s="2654">
        <f t="shared" ca="1" si="0"/>
        <v>0</v>
      </c>
      <c r="U11" s="2643"/>
      <c r="V11" s="2654">
        <f t="shared" ca="1" si="1"/>
        <v>0</v>
      </c>
      <c r="W11" s="3590" t="s">
        <v>2761</v>
      </c>
      <c r="X11" s="1035" t="s">
        <v>2746</v>
      </c>
      <c r="Y11" s="1582">
        <f>$G$3</f>
        <v>1</v>
      </c>
      <c r="Z11" s="1582">
        <f t="shared" ref="Z11:AJ11" si="3">$G$3</f>
        <v>1</v>
      </c>
      <c r="AA11" s="1582">
        <f t="shared" si="3"/>
        <v>1</v>
      </c>
      <c r="AB11" s="1582">
        <f t="shared" si="3"/>
        <v>1</v>
      </c>
      <c r="AC11" s="1582">
        <f t="shared" si="3"/>
        <v>1</v>
      </c>
      <c r="AD11" s="1582">
        <f t="shared" si="3"/>
        <v>1</v>
      </c>
      <c r="AE11" s="1582">
        <f t="shared" si="3"/>
        <v>1</v>
      </c>
      <c r="AF11" s="1582">
        <f t="shared" si="3"/>
        <v>1</v>
      </c>
      <c r="AG11" s="1582">
        <f t="shared" si="3"/>
        <v>1</v>
      </c>
      <c r="AH11" s="1582">
        <f t="shared" si="3"/>
        <v>1</v>
      </c>
      <c r="AI11" s="1582">
        <f t="shared" si="3"/>
        <v>1</v>
      </c>
      <c r="AJ11" s="1582">
        <f t="shared" si="3"/>
        <v>1</v>
      </c>
    </row>
    <row r="12" spans="1:39" ht="25.5" thickBot="1">
      <c r="A12" s="3580"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90"/>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82"/>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590"/>
      <c r="X13" s="2651"/>
      <c r="Y13" s="2650">
        <f>(-0.163*(Y12^2)-0.59*Y12+7617)*(10^(-4))/Y11</f>
        <v>0.76170000000000004</v>
      </c>
      <c r="Z13" s="2650">
        <f t="shared" ref="Z13:AJ13" si="5">(-0.163*(Z12^2)-0.59*Z12+7617)*(10^(-4))/Z11</f>
        <v>0.76170000000000004</v>
      </c>
      <c r="AA13" s="2650">
        <f t="shared" si="5"/>
        <v>0.76170000000000004</v>
      </c>
      <c r="AB13" s="2650">
        <f t="shared" si="5"/>
        <v>0.76170000000000004</v>
      </c>
      <c r="AC13" s="2650">
        <f t="shared" si="5"/>
        <v>0.76170000000000004</v>
      </c>
      <c r="AD13" s="2650">
        <f t="shared" si="5"/>
        <v>0.76170000000000004</v>
      </c>
      <c r="AE13" s="2650">
        <f t="shared" si="5"/>
        <v>0.76170000000000004</v>
      </c>
      <c r="AF13" s="2650">
        <f t="shared" si="5"/>
        <v>0.76170000000000004</v>
      </c>
      <c r="AG13" s="2650">
        <f t="shared" si="5"/>
        <v>0.76170000000000004</v>
      </c>
      <c r="AH13" s="2650">
        <f t="shared" si="5"/>
        <v>0.76170000000000004</v>
      </c>
      <c r="AI13" s="2650">
        <f t="shared" si="5"/>
        <v>0.76170000000000004</v>
      </c>
      <c r="AJ13" s="2650">
        <f t="shared" si="5"/>
        <v>0.76170000000000004</v>
      </c>
    </row>
    <row r="14" spans="1:39" ht="12.75" customHeight="1">
      <c r="A14" s="3582"/>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83"/>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80" t="s">
        <v>1829</v>
      </c>
      <c r="B16" s="1376" t="s">
        <v>941</v>
      </c>
      <c r="C16" s="1039">
        <f>ROUND(IF(F17="与级别开发程度一致",0,(G17-E17)/C17),0)</f>
        <v>-35</v>
      </c>
      <c r="D16" s="3598" t="s">
        <v>945</v>
      </c>
      <c r="E16" s="3599"/>
      <c r="F16" s="3598" t="s">
        <v>942</v>
      </c>
      <c r="G16" s="3599"/>
      <c r="H16" s="1408" t="s">
        <v>3078</v>
      </c>
      <c r="I16" s="1408" t="s">
        <v>3077</v>
      </c>
      <c r="J16" s="1408" t="s">
        <v>943</v>
      </c>
      <c r="K16" s="1408" t="s">
        <v>943</v>
      </c>
      <c r="L16" s="1408" t="s">
        <v>3082</v>
      </c>
      <c r="M16" s="1408" t="s">
        <v>3086</v>
      </c>
      <c r="N16" s="1408" t="s">
        <v>943</v>
      </c>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84"/>
      <c r="B17" s="2854" t="s">
        <v>944</v>
      </c>
      <c r="C17" s="2855">
        <f>SUMPRODUCT((修正!A2:A5=E2)*(修正!B1:M1=G2)*(修正!B2:M5))</f>
        <v>1</v>
      </c>
      <c r="D17" s="2856" t="str">
        <f>IF(OR(G2="八级",G2="九级",G2="十级",G2="十一级",G2="十二级"),"五通一平","七通一平")</f>
        <v>五通一平</v>
      </c>
      <c r="E17" s="2846">
        <f>SUMPRODUCT((修正!B1:M1=G2)*(修正!B15:M15))</f>
        <v>155</v>
      </c>
      <c r="F17" s="2847" t="s">
        <v>3076</v>
      </c>
      <c r="G17" s="2846">
        <f>SUM(H17:O17)</f>
        <v>120</v>
      </c>
      <c r="H17" s="1038">
        <f>SUMPRODUCT((七通一平=H16)*(修正!B1:M1=G2)*(修正!B6:M14))</f>
        <v>50</v>
      </c>
      <c r="I17" s="1038">
        <f>SUMPRODUCT((七通一平=I16)*(修正!B1:M1=G2)*(修正!B6:M14))</f>
        <v>40</v>
      </c>
      <c r="J17" s="1038">
        <f>SUMPRODUCT((七通一平=J16)*(修正!B1:M1=G2)*(修正!B6:M14))</f>
        <v>0</v>
      </c>
      <c r="K17" s="1038">
        <f>SUMPRODUCT((七通一平=K16)*(修正!B1:M1=G2)*(修正!B6:M14))</f>
        <v>0</v>
      </c>
      <c r="L17" s="1038">
        <f>SUMPRODUCT((七通一平=L16)*(修正!B1:M1=G2)*(修正!B6:M14))</f>
        <v>10</v>
      </c>
      <c r="M17" s="1038">
        <f>SUMPRODUCT((七通一平=M16)*(修正!B1:M1=G2)*(修正!B6:M14))</f>
        <v>20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ROUND(IF(H19="按公示增长率计算",SUMPRODUCT((地价!A3:A33=YEAR(G19)&amp;"-"&amp;ROUNDUP(MONTH(G19)/3,0))*(地价!X2:AB2=E2)*(地价!X3:AB33)),IF(H19="地价指数",M20/M19,(1+I19)^O19)),4)</f>
        <v>1.4078999999999999</v>
      </c>
      <c r="D19" s="1415" t="s">
        <v>948</v>
      </c>
      <c r="E19" s="1041">
        <v>41640</v>
      </c>
      <c r="F19" s="1415" t="s">
        <v>949</v>
      </c>
      <c r="G19" s="1042">
        <f>'数据-取费表'!B2</f>
        <v>44201</v>
      </c>
      <c r="H19" s="1416" t="s">
        <v>3010</v>
      </c>
      <c r="I19" s="2503" t="str">
        <f>IF(H19="季度增幅（自定义）",SUMIF(N21:N24,E2,O21:O24),"")</f>
        <v/>
      </c>
      <c r="J19" s="1412"/>
      <c r="K19" s="3234"/>
      <c r="L19" s="2753" t="s">
        <v>2821</v>
      </c>
      <c r="M19" s="2754">
        <f>ROUND(SUMIF(地价!B2:F2,E2,地价!B33:F33),0)</f>
        <v>230</v>
      </c>
      <c r="N19" s="2505" t="s">
        <v>1667</v>
      </c>
      <c r="O19" s="2504">
        <f>ROUNDDOWN(DATEDIF(E19,G19,"M")/3,0)</f>
        <v>28</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0.94120000000000004</v>
      </c>
      <c r="D20" s="2500" t="s">
        <v>963</v>
      </c>
      <c r="E20" s="2783">
        <f ca="1">存贷款利率!I4/100</f>
        <v>4.3499999999999997E-2</v>
      </c>
      <c r="F20" s="2500" t="s">
        <v>964</v>
      </c>
      <c r="G20" s="2501">
        <f ca="1">SUMIF(M26:P26,E2,M28:P28)</f>
        <v>4.8000000000000001E-2</v>
      </c>
      <c r="H20" s="2500" t="s">
        <v>965</v>
      </c>
      <c r="I20" s="2496">
        <f>SUMIF('数据-取费表'!C6:C15,E2,'数据-取费表'!F6:F15)/COUNTIF('数据-取费表'!C6:C15,E2)</f>
        <v>40.6</v>
      </c>
      <c r="J20" s="2502">
        <f>IF(E2="住宅",70,IF(E2="商业",40,50))</f>
        <v>50</v>
      </c>
      <c r="K20" s="2844"/>
      <c r="L20" s="2755" t="s">
        <v>2822</v>
      </c>
      <c r="M20" s="2837">
        <f>ROUND(SUMPRODUCT((地价!A4:A33=YEAR(G19)&amp;"-"&amp;ROUNDUP(MONTH(G19)/3,0))*(地价!B2:F2=E2)*(地价!B4:F33)),0)</f>
        <v>319</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3011</v>
      </c>
      <c r="C21" s="1141">
        <f>IF(B21="容积率修正",IF(G3&lt;=10,D22,J22),C23)</f>
        <v>1</v>
      </c>
      <c r="D21" s="1422"/>
      <c r="E21" s="1422"/>
      <c r="F21" s="1422"/>
      <c r="G21" s="1422"/>
      <c r="H21" s="1422"/>
      <c r="I21" s="1422"/>
      <c r="J21" s="1423"/>
      <c r="K21" s="3234"/>
      <c r="L21" s="1422"/>
      <c r="M21" s="1422"/>
      <c r="N21" s="1419" t="s">
        <v>966</v>
      </c>
      <c r="O21" s="1482"/>
      <c r="P21" s="2495">
        <f>SUMPRODUCT((地价!A3:A33=YEAR(G19)&amp;"-"&amp;ROUNDUP(MONTH(G19)/3,0))*(地价!AD2:AH2=N21)*(地价!AD3:AH33))</f>
        <v>1.0999999999999999E-2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1</v>
      </c>
      <c r="E22" s="1026">
        <f>ROUNDDOWN(G3,1)</f>
        <v>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26">
        <f>ROUNDUP(G3,1)</f>
        <v>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43" t="s">
        <v>968</v>
      </c>
      <c r="J22" s="1043" t="str">
        <f>IF(G3&gt;10,D113,"——")</f>
        <v>——</v>
      </c>
      <c r="K22" s="3240"/>
      <c r="L22" s="1422"/>
      <c r="M22" s="1422"/>
      <c r="N22" s="1419" t="s">
        <v>969</v>
      </c>
      <c r="O22" s="1482"/>
      <c r="P22" s="2495">
        <f>SUMPRODUCT((地价!A3:A33=YEAR(G19)&amp;"-"&amp;ROUNDUP(MONTH(G19)/3,0))*(地价!AD2:AH2=N22)*(地价!AD3:AH33))</f>
        <v>1.0999999999999999E-2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SUMPRODUCT((地价!A3:A33=YEAR(G19)&amp;"-"&amp;ROUNDUP(MONTH(G19)/3,0))*(地价!AD2:AH2=N23)*(地价!AD3:AH33))</f>
        <v>1.8499999999999999E-2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0.99580000000000002</v>
      </c>
      <c r="D24" s="1475"/>
      <c r="E24" s="1476"/>
      <c r="F24" s="1476"/>
      <c r="G24" s="1476"/>
      <c r="H24" s="1476"/>
      <c r="I24" s="1476"/>
      <c r="J24" s="1476"/>
      <c r="K24" s="3241"/>
      <c r="L24" s="1422"/>
      <c r="M24" s="1422"/>
      <c r="N24" s="1419" t="s">
        <v>972</v>
      </c>
      <c r="O24" s="2836"/>
      <c r="P24" s="2495">
        <f>SUMPRODUCT((地价!A3:A33=YEAR(G19)&amp;"-"&amp;ROUNDUP(MONTH(G19)/3,0))*(地价!AD2:AH2=N24)*(地价!AD3:AH33))</f>
        <v>1.1900000000000001E-2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SUMPRODUCT((地价!A3:A33=YEAR(G19)&amp;"-"&amp;ROUNDUP(MONTH(G19)/3,0))*(地价!AD2:AH2=N25)*(地价!AD3:AH33))</f>
        <v>1.6799999999999999E-2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2516</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561</v>
      </c>
      <c r="D29" s="1444">
        <f>F1</f>
        <v>44852.26</v>
      </c>
      <c r="E29" s="1763">
        <f ca="1">ROUND(C29*D29/10000,0)</f>
        <v>2516</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84</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87"/>
      <c r="B33" s="1464" t="s">
        <v>990</v>
      </c>
      <c r="C33" s="1046">
        <f ca="1">ROUND(D5*C19*C20*C24*F33,0)</f>
        <v>336</v>
      </c>
      <c r="D33" s="1477"/>
      <c r="E33" s="1035">
        <f ca="1">ROUND(C33*D33/10000,0)</f>
        <v>0</v>
      </c>
      <c r="F33" s="1035">
        <f>SUMIF(修正!A45:A56,G2,修正!B45:B56)</f>
        <v>0.6</v>
      </c>
      <c r="G33" s="1035">
        <f t="shared" ref="G33" ca="1" si="6">ROUND(IF(E2="工业",C33*$M$39,C33*$M$38),0)</f>
        <v>50</v>
      </c>
      <c r="H33" s="1035">
        <f>D33</f>
        <v>0</v>
      </c>
      <c r="I33" s="1035">
        <f ca="1">ROUND(G33*H33/10000,0)</f>
        <v>0</v>
      </c>
      <c r="J33" s="3587" t="s">
        <v>2992</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88"/>
      <c r="B34" s="1394" t="s">
        <v>991</v>
      </c>
      <c r="C34" s="1046">
        <f ca="1">ROUND(D5*C19*C20*C24*F34,0)</f>
        <v>168</v>
      </c>
      <c r="D34" s="1477"/>
      <c r="E34" s="1035">
        <f t="shared" ref="E34:E39" ca="1" si="7">ROUND(C34*D34/10000,0)</f>
        <v>0</v>
      </c>
      <c r="F34" s="1035">
        <f>SUMIF(修正!A45:A56,G2,修正!C45:C56)</f>
        <v>0.3</v>
      </c>
      <c r="G34" s="1035">
        <f ca="1">ROUND(IF(E2="工业",C34*$M$39,C34*$M$38),0)</f>
        <v>25</v>
      </c>
      <c r="H34" s="1035">
        <f t="shared" ref="H34:H39" si="8">D34</f>
        <v>0</v>
      </c>
      <c r="I34" s="1035">
        <f t="shared" ref="I34:I39" ca="1" si="9">ROUND(G34*H34/10000,0)</f>
        <v>0</v>
      </c>
      <c r="J34" s="3588"/>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88"/>
      <c r="B35" s="1394" t="s">
        <v>992</v>
      </c>
      <c r="C35" s="1046">
        <f ca="1">ROUND(D5*C19*C20*C24*F35,0)</f>
        <v>112</v>
      </c>
      <c r="D35" s="1477"/>
      <c r="E35" s="1035">
        <f t="shared" ca="1" si="7"/>
        <v>0</v>
      </c>
      <c r="F35" s="1035">
        <f>SUMIF(修正!A45:A56,G2,修正!D45:D56)</f>
        <v>0.2</v>
      </c>
      <c r="G35" s="1035">
        <f ca="1">ROUND(IF(E2="工业",C35*$M$39,C35*$M$38),0)</f>
        <v>17</v>
      </c>
      <c r="H35" s="1035">
        <f t="shared" si="8"/>
        <v>0</v>
      </c>
      <c r="I35" s="1035">
        <f t="shared" ca="1" si="9"/>
        <v>0</v>
      </c>
      <c r="J35" s="3588"/>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89"/>
      <c r="B36" s="1394" t="s">
        <v>993</v>
      </c>
      <c r="C36" s="1046">
        <f ca="1">ROUND(D5*C19*C20*C24*F36,0)</f>
        <v>112</v>
      </c>
      <c r="D36" s="1477"/>
      <c r="E36" s="1035">
        <f t="shared" ca="1" si="7"/>
        <v>0</v>
      </c>
      <c r="F36" s="1035">
        <f>SUMIF(修正!A45:A56,G2,修正!E45:E56)</f>
        <v>0.2</v>
      </c>
      <c r="G36" s="1035">
        <f ca="1">ROUND(IF(E2="工业",C36*$M$39,C36*$M$38),0)</f>
        <v>17</v>
      </c>
      <c r="H36" s="1035">
        <f t="shared" si="8"/>
        <v>0</v>
      </c>
      <c r="I36" s="1035">
        <f t="shared" ca="1" si="9"/>
        <v>0</v>
      </c>
      <c r="J36" s="3589"/>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112</v>
      </c>
      <c r="D37" s="1477"/>
      <c r="E37" s="1035">
        <f t="shared" ca="1" si="7"/>
        <v>0</v>
      </c>
      <c r="F37" s="1046">
        <f>SUMIF(修正!A45:A56,G2,修正!F45:F56)</f>
        <v>0.2</v>
      </c>
      <c r="G37" s="1035">
        <f ca="1">ROUND(IF(E2="工业",C37*$M$39,C37*$M$38),0)</f>
        <v>17</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0.15</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2950</v>
      </c>
      <c r="C41" s="828">
        <f ca="1">ROUND(POWER(1+E41,H41-G41)*(POWER(1+E41,G41)-1)/(POWER(1+E41,H41)-1),4)</f>
        <v>0</v>
      </c>
      <c r="D41" s="372" t="s">
        <v>2948</v>
      </c>
      <c r="E41" s="2832">
        <f ca="1">G20</f>
        <v>4.8000000000000001E-2</v>
      </c>
      <c r="F41" s="372" t="s">
        <v>2949</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2906</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2905</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2907</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2905</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2905</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0.99580000000000002</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t="s">
        <v>3079</v>
      </c>
      <c r="D80" s="2272">
        <f t="shared" ref="D80:D87" si="25">SUMIF($J$79:$N$79,C80,J80:N80)</f>
        <v>0</v>
      </c>
      <c r="E80" s="2291">
        <f>ROUND(SUM(D80:D87),4)</f>
        <v>-4.1999999999999997E-3</v>
      </c>
      <c r="F80" s="2292">
        <f>IF(E2="工业",SUMIF(L1:L12,G2,N1:N12),"——")</f>
        <v>0.14099999999999999</v>
      </c>
      <c r="G80" s="2270">
        <v>1.83E-2</v>
      </c>
      <c r="H80" s="2315">
        <f t="shared" ref="H80:H87" si="26">IFERROR(ROUNDDOWN($F$80*I80/2,4),"——")</f>
        <v>1.83E-2</v>
      </c>
      <c r="I80" s="2290">
        <v>0.26</v>
      </c>
      <c r="J80" s="2293">
        <f t="shared" ref="J80:J87" si="27">K80+$G80</f>
        <v>3.6600000000000001E-2</v>
      </c>
      <c r="K80" s="2293">
        <f t="shared" ref="K80:K87" si="28">$L80+$G80</f>
        <v>1.83E-2</v>
      </c>
      <c r="L80" s="2293">
        <v>0</v>
      </c>
      <c r="M80" s="2293">
        <f t="shared" ref="M80:N87" si="29">L80-$G80</f>
        <v>-1.83E-2</v>
      </c>
      <c r="N80" s="2293">
        <f t="shared" si="29"/>
        <v>-3.6600000000000001E-2</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t="s">
        <v>3079</v>
      </c>
      <c r="D81" s="2272">
        <f t="shared" si="25"/>
        <v>0</v>
      </c>
      <c r="E81" s="2300"/>
      <c r="F81" s="2301"/>
      <c r="G81" s="2270">
        <v>2.3199999999999998E-2</v>
      </c>
      <c r="H81" s="2315">
        <f t="shared" si="26"/>
        <v>2.3199999999999998E-2</v>
      </c>
      <c r="I81" s="2290">
        <v>0.33</v>
      </c>
      <c r="J81" s="2293">
        <f t="shared" si="27"/>
        <v>4.6399999999999997E-2</v>
      </c>
      <c r="K81" s="2293">
        <f t="shared" si="28"/>
        <v>2.3199999999999998E-2</v>
      </c>
      <c r="L81" s="2293">
        <v>0</v>
      </c>
      <c r="M81" s="2293">
        <f t="shared" si="29"/>
        <v>-2.3199999999999998E-2</v>
      </c>
      <c r="N81" s="2293">
        <f t="shared" si="29"/>
        <v>-4.6399999999999997E-2</v>
      </c>
      <c r="AC81" s="1354"/>
      <c r="AD81" s="1353"/>
      <c r="AJ81" s="1352"/>
      <c r="AN81" s="1353"/>
    </row>
    <row r="82" spans="1:40" ht="24">
      <c r="A82" s="1050" t="s">
        <v>1013</v>
      </c>
      <c r="B82" s="2263">
        <f>估价对象房地状况!G17</f>
        <v>0</v>
      </c>
      <c r="C82" s="1037" t="s">
        <v>3079</v>
      </c>
      <c r="D82" s="2272">
        <f t="shared" si="25"/>
        <v>0</v>
      </c>
      <c r="E82" s="2300"/>
      <c r="F82" s="2301"/>
      <c r="G82" s="2270">
        <v>3.5000000000000001E-3</v>
      </c>
      <c r="H82" s="2315">
        <f t="shared" si="26"/>
        <v>3.5000000000000001E-3</v>
      </c>
      <c r="I82" s="2290">
        <v>0.05</v>
      </c>
      <c r="J82" s="2293">
        <f t="shared" si="27"/>
        <v>7.0000000000000001E-3</v>
      </c>
      <c r="K82" s="2293">
        <f t="shared" si="28"/>
        <v>3.5000000000000001E-3</v>
      </c>
      <c r="L82" s="2293">
        <v>0</v>
      </c>
      <c r="M82" s="2293">
        <f t="shared" si="29"/>
        <v>-3.5000000000000001E-3</v>
      </c>
      <c r="N82" s="2293">
        <f t="shared" si="29"/>
        <v>-7.0000000000000001E-3</v>
      </c>
      <c r="AC82" s="1354"/>
      <c r="AD82" s="1353"/>
      <c r="AJ82" s="1352"/>
      <c r="AN82" s="1353"/>
    </row>
    <row r="83" spans="1:40" ht="14.25">
      <c r="A83" s="1050" t="s">
        <v>1025</v>
      </c>
      <c r="B83" s="2263">
        <f>估价对象房地状况!G22</f>
        <v>0</v>
      </c>
      <c r="C83" s="1037" t="s">
        <v>3080</v>
      </c>
      <c r="D83" s="2272">
        <f t="shared" si="25"/>
        <v>2.8E-3</v>
      </c>
      <c r="E83" s="2300"/>
      <c r="F83" s="2301"/>
      <c r="G83" s="2270">
        <v>2.8E-3</v>
      </c>
      <c r="H83" s="2315">
        <f t="shared" si="26"/>
        <v>2.8E-3</v>
      </c>
      <c r="I83" s="2290">
        <v>0.04</v>
      </c>
      <c r="J83" s="2293">
        <f t="shared" si="27"/>
        <v>5.5999999999999999E-3</v>
      </c>
      <c r="K83" s="2293">
        <f t="shared" si="28"/>
        <v>2.8E-3</v>
      </c>
      <c r="L83" s="2293">
        <v>0</v>
      </c>
      <c r="M83" s="2293">
        <f t="shared" si="29"/>
        <v>-2.8E-3</v>
      </c>
      <c r="N83" s="2293">
        <f t="shared" si="29"/>
        <v>-5.5999999999999999E-3</v>
      </c>
      <c r="AC83" s="1354"/>
      <c r="AD83" s="1353"/>
      <c r="AJ83" s="1352"/>
      <c r="AN83" s="1353"/>
    </row>
    <row r="84" spans="1:40" ht="24">
      <c r="A84" s="1050" t="s">
        <v>1017</v>
      </c>
      <c r="B84" s="2264" t="str">
        <f>估价对象房地状况!G19</f>
        <v>估价对象所在区域公共配套设施齐备情况</v>
      </c>
      <c r="C84" s="1037" t="s">
        <v>3079</v>
      </c>
      <c r="D84" s="2272">
        <f t="shared" si="25"/>
        <v>0</v>
      </c>
      <c r="E84" s="2300"/>
      <c r="F84" s="2301"/>
      <c r="G84" s="2270">
        <v>4.1999999999999997E-3</v>
      </c>
      <c r="H84" s="2315">
        <f t="shared" si="26"/>
        <v>4.1999999999999997E-3</v>
      </c>
      <c r="I84" s="2290">
        <v>0.06</v>
      </c>
      <c r="J84" s="2293">
        <f t="shared" si="27"/>
        <v>8.3999999999999995E-3</v>
      </c>
      <c r="K84" s="2293">
        <f t="shared" si="28"/>
        <v>4.1999999999999997E-3</v>
      </c>
      <c r="L84" s="2293">
        <v>0</v>
      </c>
      <c r="M84" s="2293">
        <f t="shared" si="29"/>
        <v>-4.1999999999999997E-3</v>
      </c>
      <c r="N84" s="2293">
        <f t="shared" si="29"/>
        <v>-8.3999999999999995E-3</v>
      </c>
      <c r="AC84" s="1354"/>
      <c r="AD84" s="1353"/>
      <c r="AJ84" s="1352"/>
      <c r="AN84" s="1353"/>
    </row>
    <row r="85" spans="1:40" ht="24">
      <c r="A85" s="1050" t="s">
        <v>1018</v>
      </c>
      <c r="B85" s="2264" t="str">
        <f>估价对象房地状况!G20</f>
        <v>估价对象所在区域基础设施水平</v>
      </c>
      <c r="C85" s="1037" t="s">
        <v>3081</v>
      </c>
      <c r="D85" s="2272">
        <f t="shared" si="25"/>
        <v>-1.0500000000000001E-2</v>
      </c>
      <c r="E85" s="2300"/>
      <c r="F85" s="2301"/>
      <c r="G85" s="2270">
        <v>1.0500000000000001E-2</v>
      </c>
      <c r="H85" s="2315">
        <f t="shared" si="26"/>
        <v>1.0500000000000001E-2</v>
      </c>
      <c r="I85" s="2290">
        <v>0.15</v>
      </c>
      <c r="J85" s="2293">
        <f t="shared" si="27"/>
        <v>2.1000000000000001E-2</v>
      </c>
      <c r="K85" s="2293">
        <f t="shared" si="28"/>
        <v>1.0500000000000001E-2</v>
      </c>
      <c r="L85" s="2293">
        <v>0</v>
      </c>
      <c r="M85" s="2293">
        <f t="shared" si="29"/>
        <v>-1.0500000000000001E-2</v>
      </c>
      <c r="N85" s="2293">
        <f t="shared" si="29"/>
        <v>-2.1000000000000001E-2</v>
      </c>
      <c r="AC85" s="1354"/>
      <c r="AD85" s="1353"/>
      <c r="AJ85" s="1352"/>
      <c r="AN85" s="1353"/>
    </row>
    <row r="86" spans="1:40" ht="24">
      <c r="A86" s="1050" t="s">
        <v>1016</v>
      </c>
      <c r="B86" s="2784" t="s">
        <v>2905</v>
      </c>
      <c r="C86" s="1037" t="s">
        <v>3080</v>
      </c>
      <c r="D86" s="2272">
        <f t="shared" si="25"/>
        <v>3.5000000000000001E-3</v>
      </c>
      <c r="E86" s="2300"/>
      <c r="F86" s="2301"/>
      <c r="G86" s="2270">
        <v>3.5000000000000001E-3</v>
      </c>
      <c r="H86" s="2315">
        <f t="shared" si="26"/>
        <v>3.5000000000000001E-3</v>
      </c>
      <c r="I86" s="2290">
        <v>0.05</v>
      </c>
      <c r="J86" s="2293">
        <f t="shared" si="27"/>
        <v>7.0000000000000001E-3</v>
      </c>
      <c r="K86" s="2293">
        <f t="shared" si="28"/>
        <v>3.5000000000000001E-3</v>
      </c>
      <c r="L86" s="2293">
        <v>0</v>
      </c>
      <c r="M86" s="2293">
        <f t="shared" si="29"/>
        <v>-3.5000000000000001E-3</v>
      </c>
      <c r="N86" s="2293">
        <f t="shared" si="29"/>
        <v>-7.0000000000000001E-3</v>
      </c>
      <c r="AC86" s="1354"/>
      <c r="AD86" s="1353"/>
      <c r="AJ86" s="1352"/>
      <c r="AN86" s="1353"/>
    </row>
    <row r="87" spans="1:40" ht="36.75" thickBot="1">
      <c r="A87" s="2296" t="s">
        <v>1029</v>
      </c>
      <c r="B87" s="2265" t="str">
        <f>估价对象房地状况!G18</f>
        <v>该园区内是否有污染型企业，绿化情况，卫生条件，整体环境状况判断</v>
      </c>
      <c r="C87" s="1037" t="s">
        <v>3079</v>
      </c>
      <c r="D87" s="2272">
        <f t="shared" si="25"/>
        <v>0</v>
      </c>
      <c r="E87" s="2302"/>
      <c r="F87" s="2301"/>
      <c r="G87" s="2270">
        <v>4.1999999999999997E-3</v>
      </c>
      <c r="H87" s="2315">
        <f t="shared" si="26"/>
        <v>4.1999999999999997E-3</v>
      </c>
      <c r="I87" s="2297">
        <v>0.06</v>
      </c>
      <c r="J87" s="2293">
        <f t="shared" si="27"/>
        <v>8.3999999999999995E-3</v>
      </c>
      <c r="K87" s="2293">
        <f t="shared" si="28"/>
        <v>4.1999999999999997E-3</v>
      </c>
      <c r="L87" s="2293">
        <v>0</v>
      </c>
      <c r="M87" s="2293">
        <f t="shared" si="29"/>
        <v>-4.1999999999999997E-3</v>
      </c>
      <c r="N87" s="2293">
        <f t="shared" si="29"/>
        <v>-8.3999999999999995E-3</v>
      </c>
      <c r="AC87" s="1354"/>
      <c r="AD87" s="1353"/>
      <c r="AJ87" s="1352"/>
      <c r="AN87" s="1353"/>
    </row>
    <row r="90" spans="1:40">
      <c r="A90" s="3585" t="s">
        <v>1624</v>
      </c>
      <c r="B90" s="3585"/>
      <c r="C90" s="3585"/>
      <c r="D90" s="3585"/>
      <c r="E90" s="3585"/>
      <c r="F90" s="3585"/>
      <c r="G90" s="3585"/>
      <c r="H90" s="3585"/>
      <c r="I90" s="3585"/>
      <c r="J90" s="3585"/>
      <c r="K90" s="2305"/>
      <c r="L90" s="2305"/>
      <c r="M90" s="2305"/>
      <c r="N90" s="2305"/>
    </row>
    <row r="91" spans="1:40">
      <c r="A91" s="3586" t="s">
        <v>1434</v>
      </c>
      <c r="B91" s="3586" t="s">
        <v>1625</v>
      </c>
      <c r="C91" s="1123" t="s">
        <v>1626</v>
      </c>
      <c r="D91" s="1124"/>
      <c r="E91" s="1124"/>
      <c r="F91" s="1124"/>
      <c r="G91" s="1124"/>
      <c r="H91" s="1124"/>
      <c r="I91" s="1124"/>
      <c r="J91" s="1125"/>
      <c r="K91" s="1117"/>
      <c r="L91" s="1117"/>
      <c r="M91" s="1117"/>
      <c r="N91" s="1117"/>
    </row>
    <row r="92" spans="1:40">
      <c r="A92" s="3586"/>
      <c r="B92" s="3586"/>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93"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94"/>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94"/>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94"/>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94"/>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94"/>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94"/>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95"/>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93" t="s">
        <v>1628</v>
      </c>
      <c r="B101" s="1130" t="s">
        <v>897</v>
      </c>
      <c r="C101" s="1131">
        <f>$G$3</f>
        <v>1</v>
      </c>
      <c r="D101" s="1131">
        <f t="shared" ref="D101:N101" si="31">$G$3</f>
        <v>1</v>
      </c>
      <c r="E101" s="1131">
        <f t="shared" si="31"/>
        <v>1</v>
      </c>
      <c r="F101" s="1131">
        <f t="shared" si="31"/>
        <v>1</v>
      </c>
      <c r="G101" s="1131">
        <f t="shared" si="31"/>
        <v>1</v>
      </c>
      <c r="H101" s="1131">
        <f t="shared" si="31"/>
        <v>1</v>
      </c>
      <c r="I101" s="1131">
        <f t="shared" si="31"/>
        <v>1</v>
      </c>
      <c r="J101" s="1131">
        <f t="shared" si="31"/>
        <v>1</v>
      </c>
      <c r="K101" s="1131">
        <f t="shared" si="31"/>
        <v>1</v>
      </c>
      <c r="L101" s="1131">
        <f t="shared" si="31"/>
        <v>1</v>
      </c>
      <c r="M101" s="1131">
        <f t="shared" si="31"/>
        <v>1</v>
      </c>
      <c r="N101" s="1131">
        <f t="shared" si="31"/>
        <v>1</v>
      </c>
    </row>
    <row r="102" spans="1:14">
      <c r="A102" s="3594"/>
      <c r="B102" s="1126">
        <v>1</v>
      </c>
      <c r="C102" s="1127">
        <f>1.9362/C101</f>
        <v>1.9361999999999999</v>
      </c>
      <c r="D102" s="1127">
        <f>1.9362/D101</f>
        <v>1.9361999999999999</v>
      </c>
      <c r="E102" s="1127">
        <f>1.8629/E101</f>
        <v>1.8629</v>
      </c>
      <c r="F102" s="1127">
        <f>1.8629/F101</f>
        <v>1.8629</v>
      </c>
      <c r="G102" s="1127">
        <f>1.8629/G101</f>
        <v>1.8629</v>
      </c>
      <c r="H102" s="1127">
        <f>1.8629/H101</f>
        <v>1.8629</v>
      </c>
      <c r="I102" s="1127">
        <f>1.8629/I101</f>
        <v>1.8629</v>
      </c>
      <c r="J102" s="1127">
        <f>1.942/J101</f>
        <v>1.9419999999999999</v>
      </c>
      <c r="K102" s="1127">
        <f>1.942/K101</f>
        <v>1.9419999999999999</v>
      </c>
      <c r="L102" s="1127">
        <f>1.942/L101</f>
        <v>1.9419999999999999</v>
      </c>
      <c r="M102" s="1127">
        <f>1.942/M101</f>
        <v>1.9419999999999999</v>
      </c>
      <c r="N102" s="1127">
        <f>1.942/N101</f>
        <v>1.9419999999999999</v>
      </c>
    </row>
    <row r="103" spans="1:14">
      <c r="A103" s="3594"/>
      <c r="B103" s="1126">
        <v>2</v>
      </c>
      <c r="C103" s="1127">
        <f>1.4198/C101</f>
        <v>1.4198</v>
      </c>
      <c r="D103" s="1127">
        <f>1.4198/D101</f>
        <v>1.4198</v>
      </c>
      <c r="E103" s="1127">
        <f>1.3372/E101</f>
        <v>1.3371999999999999</v>
      </c>
      <c r="F103" s="1127">
        <f>1.3372/F101</f>
        <v>1.3371999999999999</v>
      </c>
      <c r="G103" s="1127">
        <f>1.3372/G101</f>
        <v>1.3371999999999999</v>
      </c>
      <c r="H103" s="1127">
        <f>1.3372/H101</f>
        <v>1.3371999999999999</v>
      </c>
      <c r="I103" s="1127">
        <f>1.3372/I101</f>
        <v>1.3371999999999999</v>
      </c>
      <c r="J103" s="1127">
        <f>1.2799/J101</f>
        <v>1.2799</v>
      </c>
      <c r="K103" s="1127">
        <f>1.2799/K101</f>
        <v>1.2799</v>
      </c>
      <c r="L103" s="1127">
        <f>1.2799/L101</f>
        <v>1.2799</v>
      </c>
      <c r="M103" s="1127">
        <f>1.2799/M101</f>
        <v>1.2799</v>
      </c>
      <c r="N103" s="1127">
        <f>1.2799/N101</f>
        <v>1.2799</v>
      </c>
    </row>
    <row r="104" spans="1:14">
      <c r="A104" s="3594"/>
      <c r="B104" s="1126">
        <v>3</v>
      </c>
      <c r="C104" s="1127">
        <f>1.1594/C101</f>
        <v>1.1594</v>
      </c>
      <c r="D104" s="1127">
        <f>1.1594/D101</f>
        <v>1.1594</v>
      </c>
      <c r="E104" s="1127">
        <f>1.0788/E101</f>
        <v>1.0788</v>
      </c>
      <c r="F104" s="1127">
        <f>1.0788/F101</f>
        <v>1.0788</v>
      </c>
      <c r="G104" s="1127">
        <f>1.0788/G101</f>
        <v>1.0788</v>
      </c>
      <c r="H104" s="1127">
        <f>1.0788/H101</f>
        <v>1.0788</v>
      </c>
      <c r="I104" s="1127">
        <f>1.0788/I101</f>
        <v>1.0788</v>
      </c>
      <c r="J104" s="1127">
        <f>1.0072/J101</f>
        <v>1.0072000000000001</v>
      </c>
      <c r="K104" s="1127">
        <f>1.0072/K101</f>
        <v>1.0072000000000001</v>
      </c>
      <c r="L104" s="1127">
        <f>1.0072/L101</f>
        <v>1.0072000000000001</v>
      </c>
      <c r="M104" s="1127">
        <f>1.0072/M101</f>
        <v>1.0072000000000001</v>
      </c>
      <c r="N104" s="1127">
        <f>1.0072/N101</f>
        <v>1.0072000000000001</v>
      </c>
    </row>
    <row r="105" spans="1:14">
      <c r="A105" s="3594"/>
      <c r="B105" s="1126">
        <v>4</v>
      </c>
      <c r="C105" s="1127">
        <f>0.9622/C101</f>
        <v>0.96220000000000006</v>
      </c>
      <c r="D105" s="1127">
        <f>0.9622/D101</f>
        <v>0.96220000000000006</v>
      </c>
      <c r="E105" s="1127">
        <f>0.8656/E101</f>
        <v>0.86560000000000004</v>
      </c>
      <c r="F105" s="1127">
        <f>0.8656/F101</f>
        <v>0.86560000000000004</v>
      </c>
      <c r="G105" s="1127">
        <f>0.8656/G101</f>
        <v>0.86560000000000004</v>
      </c>
      <c r="H105" s="1127">
        <f>0.8656/H101</f>
        <v>0.86560000000000004</v>
      </c>
      <c r="I105" s="1127">
        <f>0.8656/I101</f>
        <v>0.86560000000000004</v>
      </c>
      <c r="J105" s="1127">
        <f>0.7525/J101</f>
        <v>0.75249999999999995</v>
      </c>
      <c r="K105" s="1127">
        <f>0.7525/K101</f>
        <v>0.75249999999999995</v>
      </c>
      <c r="L105" s="1127">
        <f>0.7525/L101</f>
        <v>0.75249999999999995</v>
      </c>
      <c r="M105" s="1127">
        <f>0.7525/M101</f>
        <v>0.75249999999999995</v>
      </c>
      <c r="N105" s="1127">
        <f>0.7525/N101</f>
        <v>0.75249999999999995</v>
      </c>
    </row>
    <row r="106" spans="1:14">
      <c r="A106" s="3594"/>
      <c r="B106" s="1126">
        <v>5</v>
      </c>
      <c r="C106" s="1127">
        <f>0.8417/C101</f>
        <v>0.8417</v>
      </c>
      <c r="D106" s="1127">
        <f>0.8417/D101</f>
        <v>0.8417</v>
      </c>
      <c r="E106" s="1127">
        <f>0.7371/E101</f>
        <v>0.73709999999999998</v>
      </c>
      <c r="F106" s="1127">
        <f>0.7371/F101</f>
        <v>0.73709999999999998</v>
      </c>
      <c r="G106" s="1127">
        <f>0.7371/G101</f>
        <v>0.73709999999999998</v>
      </c>
      <c r="H106" s="1127">
        <f>0.7371/H101</f>
        <v>0.73709999999999998</v>
      </c>
      <c r="I106" s="1127">
        <f>0.7371/I101</f>
        <v>0.73709999999999998</v>
      </c>
      <c r="J106" s="1127">
        <f>0.5659/J101</f>
        <v>0.56589999999999996</v>
      </c>
      <c r="K106" s="1127">
        <f>0.5659/K101</f>
        <v>0.56589999999999996</v>
      </c>
      <c r="L106" s="1127">
        <f>0.5659/L101</f>
        <v>0.56589999999999996</v>
      </c>
      <c r="M106" s="1127">
        <f>0.5659/M101</f>
        <v>0.56589999999999996</v>
      </c>
      <c r="N106" s="1127">
        <f>0.5659/N101</f>
        <v>0.56589999999999996</v>
      </c>
    </row>
    <row r="107" spans="1:14">
      <c r="A107" s="3594"/>
      <c r="B107" s="1126">
        <v>6</v>
      </c>
      <c r="C107" s="1127">
        <f>0.7608/C101</f>
        <v>0.76080000000000003</v>
      </c>
      <c r="D107" s="1127">
        <f>0.7608/D101</f>
        <v>0.76080000000000003</v>
      </c>
      <c r="E107" s="1127">
        <f>0.6482/E101</f>
        <v>0.6482</v>
      </c>
      <c r="F107" s="1127">
        <f>0.6482/F101</f>
        <v>0.6482</v>
      </c>
      <c r="G107" s="1127">
        <f>0.6482/G101</f>
        <v>0.6482</v>
      </c>
      <c r="H107" s="1127">
        <f>0.6482/H101</f>
        <v>0.6482</v>
      </c>
      <c r="I107" s="1127">
        <f>0.6482/I101</f>
        <v>0.6482</v>
      </c>
      <c r="J107" s="1127">
        <f>0.4525/J101</f>
        <v>0.45250000000000001</v>
      </c>
      <c r="K107" s="1127">
        <f>0.4525/K101</f>
        <v>0.45250000000000001</v>
      </c>
      <c r="L107" s="1127">
        <f>0.4525/L101</f>
        <v>0.45250000000000001</v>
      </c>
      <c r="M107" s="1127">
        <f>0.4525/M101</f>
        <v>0.45250000000000001</v>
      </c>
      <c r="N107" s="1127">
        <f>0.4525/N101</f>
        <v>0.45250000000000001</v>
      </c>
    </row>
    <row r="108" spans="1:14">
      <c r="A108" s="3594"/>
      <c r="B108" s="3596"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95"/>
      <c r="B109" s="3597"/>
      <c r="C109" s="1129">
        <f>(-0.163*(C108^2)-0.59*C108+7617)*(10^(-4))/C101</f>
        <v>0.76170000000000004</v>
      </c>
      <c r="D109" s="1129">
        <f>(-0.163*(D108^2)-0.59*D108+7617)*(10^(-4))/D101</f>
        <v>0.76170000000000004</v>
      </c>
      <c r="E109" s="1129">
        <f>(-0.161*(E108^2)-7.509*E108+6533)*(10^(-4))/E101</f>
        <v>0.65329999999999999</v>
      </c>
      <c r="F109" s="1129">
        <f>(-0.161*(F108^2)-7.509*F108+6533)*(10^(-4))/F101</f>
        <v>0.65329999999999999</v>
      </c>
      <c r="G109" s="1129">
        <f>(-0.161*(G108^2)-7.509*G108+6533)*(10^(-4))/G101</f>
        <v>0.65329999999999999</v>
      </c>
      <c r="H109" s="1129">
        <f>(-0.161*(H108^2)-7.509*H108+6533)*(10^(-4))/H101</f>
        <v>0.65329999999999999</v>
      </c>
      <c r="I109" s="1129">
        <f>(-0.161*(I108^2)-7.509*I108+6533)*(10^(-4))/I101</f>
        <v>0.65329999999999999</v>
      </c>
      <c r="J109" s="1129">
        <f>(-0.214*(J108^2)-21.991*J108+4665)*(10^(-4))/J101</f>
        <v>0.46650000000000003</v>
      </c>
      <c r="K109" s="1129">
        <f>(-0.214*(K108^2)-21.991*K108+4665)*(10^(-4))/K101</f>
        <v>0.46650000000000003</v>
      </c>
      <c r="L109" s="1129">
        <f>(-0.214*(L108^2)-21.991*L108+4665)*(10^(-4))/L101</f>
        <v>0.46650000000000003</v>
      </c>
      <c r="M109" s="1129">
        <f>(-0.214*(M108^2)-21.991*M108+4665)*(10^(-4))/M101</f>
        <v>0.46650000000000003</v>
      </c>
      <c r="N109" s="1129">
        <f>(-0.214*(N108^2)-21.991*N108+4665)*(10^(-4))/N101</f>
        <v>0.46650000000000003</v>
      </c>
    </row>
    <row r="110" spans="1:14">
      <c r="A110" s="3579" t="s">
        <v>1630</v>
      </c>
      <c r="B110" s="3579"/>
      <c r="C110" s="3579"/>
      <c r="D110" s="3579"/>
      <c r="E110" s="3579"/>
      <c r="F110" s="3579"/>
      <c r="G110" s="3579"/>
      <c r="H110" s="3579"/>
      <c r="I110" s="3579"/>
      <c r="J110" s="3579"/>
      <c r="K110" s="2303"/>
      <c r="L110" s="2303"/>
      <c r="M110" s="2303"/>
      <c r="N110" s="2303"/>
    </row>
    <row r="112" spans="1:14" ht="12.75" thickBot="1"/>
    <row r="113" spans="1:13" ht="25.5" thickBot="1">
      <c r="A113" s="1003" t="s">
        <v>887</v>
      </c>
      <c r="B113" s="2306">
        <f>G3</f>
        <v>1</v>
      </c>
      <c r="C113" s="1004" t="s">
        <v>888</v>
      </c>
      <c r="D113" s="1005">
        <f>SUMPRODUCT((A115:A118=F113)*(B114:M114=H113)*B115:M118)</f>
        <v>0.55310000000000004</v>
      </c>
      <c r="E113" s="1006" t="s">
        <v>889</v>
      </c>
      <c r="F113" s="1007" t="str">
        <f>E2</f>
        <v>工业</v>
      </c>
      <c r="G113" s="1006" t="s">
        <v>890</v>
      </c>
      <c r="H113" s="1007" t="str">
        <f>G2</f>
        <v>十一级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0.92410000000000003</v>
      </c>
      <c r="C115" s="1017">
        <f>B115</f>
        <v>0.92410000000000003</v>
      </c>
      <c r="D115" s="1017">
        <f>ROUND(0.8331-0.0109*B113,4)</f>
        <v>0.82220000000000004</v>
      </c>
      <c r="E115" s="1017">
        <f>D115</f>
        <v>0.82220000000000004</v>
      </c>
      <c r="F115" s="1017">
        <f>E115</f>
        <v>0.82220000000000004</v>
      </c>
      <c r="G115" s="1017">
        <f>F115</f>
        <v>0.82220000000000004</v>
      </c>
      <c r="H115" s="1017">
        <f>G115</f>
        <v>0.82220000000000004</v>
      </c>
      <c r="I115" s="1017">
        <f>ROUND(0.689-0.0155*B113,4)</f>
        <v>0.67349999999999999</v>
      </c>
      <c r="J115" s="1017">
        <f t="shared" ref="J115:M118" si="33">I115</f>
        <v>0.67349999999999999</v>
      </c>
      <c r="K115" s="1017">
        <f t="shared" si="33"/>
        <v>0.67349999999999999</v>
      </c>
      <c r="L115" s="1017">
        <f t="shared" si="33"/>
        <v>0.67349999999999999</v>
      </c>
      <c r="M115" s="1018">
        <f t="shared" si="33"/>
        <v>0.67349999999999999</v>
      </c>
    </row>
    <row r="116" spans="1:13" ht="12.75">
      <c r="A116" s="1016" t="s">
        <v>892</v>
      </c>
      <c r="B116" s="1017">
        <f>ROUND(0.949-0.012*B113,4)</f>
        <v>0.93700000000000006</v>
      </c>
      <c r="C116" s="1017">
        <f>B116</f>
        <v>0.93700000000000006</v>
      </c>
      <c r="D116" s="1017">
        <f>ROUND(0.8567-0.013*B113,4)</f>
        <v>0.84370000000000001</v>
      </c>
      <c r="E116" s="1017">
        <f t="shared" ref="E116:H117" si="34">D116</f>
        <v>0.84370000000000001</v>
      </c>
      <c r="F116" s="1017">
        <f t="shared" si="34"/>
        <v>0.84370000000000001</v>
      </c>
      <c r="G116" s="1017">
        <f t="shared" si="34"/>
        <v>0.84370000000000001</v>
      </c>
      <c r="H116" s="1017">
        <f t="shared" si="34"/>
        <v>0.84370000000000001</v>
      </c>
      <c r="I116" s="1017">
        <f>ROUND(0.7694-0.014*B113,4)</f>
        <v>0.75539999999999996</v>
      </c>
      <c r="J116" s="1017">
        <f t="shared" si="33"/>
        <v>0.75539999999999996</v>
      </c>
      <c r="K116" s="1017">
        <f t="shared" si="33"/>
        <v>0.75539999999999996</v>
      </c>
      <c r="L116" s="1017">
        <f t="shared" si="33"/>
        <v>0.75539999999999996</v>
      </c>
      <c r="M116" s="1018">
        <f t="shared" si="33"/>
        <v>0.75539999999999996</v>
      </c>
    </row>
    <row r="117" spans="1:13" ht="12.75">
      <c r="A117" s="1019" t="s">
        <v>893</v>
      </c>
      <c r="B117" s="1017">
        <f>ROUND(0.8808-0.006*B113,4)</f>
        <v>0.87480000000000002</v>
      </c>
      <c r="C117" s="1017">
        <f>B117</f>
        <v>0.87480000000000002</v>
      </c>
      <c r="D117" s="1017">
        <f>ROUND(0.8748-0.008*B113,4)</f>
        <v>0.86680000000000001</v>
      </c>
      <c r="E117" s="1017">
        <f t="shared" si="34"/>
        <v>0.86680000000000001</v>
      </c>
      <c r="F117" s="1017">
        <f t="shared" si="34"/>
        <v>0.86680000000000001</v>
      </c>
      <c r="G117" s="1017">
        <f t="shared" si="34"/>
        <v>0.86680000000000001</v>
      </c>
      <c r="H117" s="1017">
        <f t="shared" si="34"/>
        <v>0.86680000000000001</v>
      </c>
      <c r="I117" s="1017">
        <f>ROUND(0.7412-0.0095*B113,4)</f>
        <v>0.73170000000000002</v>
      </c>
      <c r="J117" s="1017">
        <f t="shared" si="33"/>
        <v>0.73170000000000002</v>
      </c>
      <c r="K117" s="1017">
        <f t="shared" si="33"/>
        <v>0.73170000000000002</v>
      </c>
      <c r="L117" s="1017">
        <f t="shared" si="33"/>
        <v>0.73170000000000002</v>
      </c>
      <c r="M117" s="1018">
        <f t="shared" si="33"/>
        <v>0.73170000000000002</v>
      </c>
    </row>
    <row r="118" spans="1:13" ht="13.5" thickBot="1">
      <c r="A118" s="1020" t="s">
        <v>894</v>
      </c>
      <c r="B118" s="1021">
        <f>ROUND(0.7275-0.01*B113,4)</f>
        <v>0.71750000000000003</v>
      </c>
      <c r="C118" s="1021">
        <f>B118</f>
        <v>0.71750000000000003</v>
      </c>
      <c r="D118" s="1021">
        <f>ROUND(0.7043-0.012*B113,4)</f>
        <v>0.69230000000000003</v>
      </c>
      <c r="E118" s="1021">
        <f>D118</f>
        <v>0.69230000000000003</v>
      </c>
      <c r="F118" s="1021">
        <f>E118</f>
        <v>0.69230000000000003</v>
      </c>
      <c r="G118" s="1021">
        <f>ROUND(0.6299-0.0122*B113,4)</f>
        <v>0.61770000000000003</v>
      </c>
      <c r="H118" s="1021">
        <f>G118</f>
        <v>0.61770000000000003</v>
      </c>
      <c r="I118" s="1021">
        <f>ROUND(0.5667-0.0136*B113,4)</f>
        <v>0.55310000000000004</v>
      </c>
      <c r="J118" s="1021">
        <f t="shared" si="33"/>
        <v>0.55310000000000004</v>
      </c>
      <c r="K118" s="1021">
        <f t="shared" si="33"/>
        <v>0.55310000000000004</v>
      </c>
      <c r="L118" s="1021">
        <f t="shared" si="33"/>
        <v>0.55310000000000004</v>
      </c>
      <c r="M118" s="1022">
        <f t="shared" si="33"/>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4"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L13" activeCellId="4" sqref="L6 L7 L8 L12 L13"/>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2952</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86" t="s">
        <v>998</v>
      </c>
      <c r="B18" s="1137" t="s">
        <v>1437</v>
      </c>
      <c r="C18" s="1114" t="s">
        <v>1438</v>
      </c>
      <c r="D18" s="1115"/>
      <c r="E18" s="1137">
        <v>1</v>
      </c>
      <c r="F18" s="1116" t="s">
        <v>1439</v>
      </c>
      <c r="G18" s="1117"/>
      <c r="H18" s="1088"/>
      <c r="I18" s="1088"/>
    </row>
    <row r="19" spans="1:9" s="1530" customFormat="1" ht="19.5" customHeight="1">
      <c r="A19" s="3586"/>
      <c r="B19" s="3586" t="s">
        <v>1440</v>
      </c>
      <c r="C19" s="1114" t="s">
        <v>1441</v>
      </c>
      <c r="D19" s="1115"/>
      <c r="E19" s="1137">
        <v>0.9</v>
      </c>
      <c r="F19" s="1116" t="s">
        <v>1442</v>
      </c>
      <c r="G19" s="1117"/>
      <c r="H19" s="1088"/>
      <c r="I19" s="1088"/>
    </row>
    <row r="20" spans="1:9" s="1530" customFormat="1" ht="19.5" customHeight="1">
      <c r="A20" s="3586"/>
      <c r="B20" s="3586"/>
      <c r="C20" s="1114" t="s">
        <v>1443</v>
      </c>
      <c r="D20" s="1115"/>
      <c r="E20" s="1137">
        <v>1.1000000000000001</v>
      </c>
      <c r="F20" s="1116" t="s">
        <v>1444</v>
      </c>
      <c r="G20" s="1117"/>
      <c r="H20" s="1088"/>
      <c r="I20" s="1088"/>
    </row>
    <row r="21" spans="1:9" s="1530" customFormat="1" ht="19.5" customHeight="1">
      <c r="A21" s="3586"/>
      <c r="B21" s="3586"/>
      <c r="C21" s="1114" t="s">
        <v>1445</v>
      </c>
      <c r="D21" s="1115"/>
      <c r="E21" s="1137">
        <v>0.8</v>
      </c>
      <c r="F21" s="1116" t="s">
        <v>1446</v>
      </c>
      <c r="G21" s="1117"/>
      <c r="H21" s="1088"/>
      <c r="I21" s="1088"/>
    </row>
    <row r="22" spans="1:9" s="1530" customFormat="1" ht="19.5" customHeight="1">
      <c r="A22" s="3586"/>
      <c r="B22" s="3586"/>
      <c r="C22" s="1114" t="s">
        <v>1447</v>
      </c>
      <c r="D22" s="1115"/>
      <c r="E22" s="1137">
        <v>0.5</v>
      </c>
      <c r="F22" s="1116"/>
      <c r="G22" s="1117"/>
      <c r="H22" s="1088"/>
      <c r="I22" s="1088"/>
    </row>
    <row r="23" spans="1:9" s="1530" customFormat="1" ht="19.5" customHeight="1">
      <c r="A23" s="3586" t="s">
        <v>1020</v>
      </c>
      <c r="B23" s="1137" t="s">
        <v>1437</v>
      </c>
      <c r="C23" s="1114" t="s">
        <v>1448</v>
      </c>
      <c r="D23" s="1115"/>
      <c r="E23" s="1137">
        <v>1</v>
      </c>
      <c r="F23" s="1116" t="s">
        <v>1449</v>
      </c>
      <c r="G23" s="1117"/>
      <c r="H23" s="1088"/>
      <c r="I23" s="1088"/>
    </row>
    <row r="24" spans="1:9" s="1530" customFormat="1" ht="19.5" customHeight="1">
      <c r="A24" s="3586"/>
      <c r="B24" s="3586" t="s">
        <v>1440</v>
      </c>
      <c r="C24" s="1114" t="s">
        <v>1450</v>
      </c>
      <c r="D24" s="1115"/>
      <c r="E24" s="1137">
        <v>0.5</v>
      </c>
      <c r="F24" s="1116"/>
      <c r="G24" s="1117"/>
      <c r="H24" s="1088"/>
      <c r="I24" s="1088"/>
    </row>
    <row r="25" spans="1:9" s="1530" customFormat="1" ht="19.5" customHeight="1">
      <c r="A25" s="3586"/>
      <c r="B25" s="3586"/>
      <c r="C25" s="1114" t="s">
        <v>1451</v>
      </c>
      <c r="D25" s="1115"/>
      <c r="E25" s="1137">
        <v>1.1000000000000001</v>
      </c>
      <c r="F25" s="1116"/>
      <c r="G25" s="1117"/>
      <c r="H25" s="1088"/>
      <c r="I25" s="1088"/>
    </row>
    <row r="26" spans="1:9" s="1530" customFormat="1" ht="19.5" customHeight="1">
      <c r="A26" s="3586"/>
      <c r="B26" s="3586"/>
      <c r="C26" s="1114" t="s">
        <v>1452</v>
      </c>
      <c r="D26" s="1115"/>
      <c r="E26" s="1137">
        <v>1.1000000000000001</v>
      </c>
      <c r="F26" s="1116"/>
      <c r="G26" s="1117"/>
      <c r="H26" s="1088"/>
      <c r="I26" s="1088"/>
    </row>
    <row r="27" spans="1:9" s="1530" customFormat="1" ht="19.5" customHeight="1">
      <c r="A27" s="3586"/>
      <c r="B27" s="3586"/>
      <c r="C27" s="1114" t="s">
        <v>1453</v>
      </c>
      <c r="D27" s="1115"/>
      <c r="E27" s="1137">
        <v>0.9</v>
      </c>
      <c r="F27" s="1116" t="s">
        <v>1454</v>
      </c>
      <c r="G27" s="1117"/>
      <c r="H27" s="1088"/>
      <c r="I27" s="1088"/>
    </row>
    <row r="28" spans="1:9" s="1530" customFormat="1" ht="19.5" customHeight="1">
      <c r="A28" s="3586"/>
      <c r="B28" s="3586"/>
      <c r="C28" s="1114" t="s">
        <v>1455</v>
      </c>
      <c r="D28" s="1115"/>
      <c r="E28" s="1137">
        <v>0.9</v>
      </c>
      <c r="F28" s="1116" t="s">
        <v>1456</v>
      </c>
      <c r="G28" s="1117"/>
      <c r="H28" s="1088"/>
      <c r="I28" s="1088"/>
    </row>
    <row r="29" spans="1:9" s="1530" customFormat="1" ht="19.5" customHeight="1">
      <c r="A29" s="3586"/>
      <c r="B29" s="3586"/>
      <c r="C29" s="1114" t="s">
        <v>1457</v>
      </c>
      <c r="D29" s="1115"/>
      <c r="E29" s="1137">
        <v>0.9</v>
      </c>
      <c r="F29" s="1116" t="s">
        <v>1458</v>
      </c>
      <c r="G29" s="1117"/>
      <c r="H29" s="1088"/>
      <c r="I29" s="1088"/>
    </row>
    <row r="30" spans="1:9" s="1530" customFormat="1" ht="19.5" customHeight="1">
      <c r="A30" s="3586"/>
      <c r="B30" s="3586"/>
      <c r="C30" s="1114" t="s">
        <v>1459</v>
      </c>
      <c r="D30" s="1115"/>
      <c r="E30" s="1137">
        <v>0.9</v>
      </c>
      <c r="F30" s="1116" t="s">
        <v>1460</v>
      </c>
      <c r="G30" s="1117"/>
      <c r="H30" s="1088"/>
      <c r="I30" s="1088"/>
    </row>
    <row r="31" spans="1:9" s="1530" customFormat="1" ht="19.5" customHeight="1">
      <c r="A31" s="3586"/>
      <c r="B31" s="3586"/>
      <c r="C31" s="1114" t="s">
        <v>1461</v>
      </c>
      <c r="D31" s="1115"/>
      <c r="E31" s="1137">
        <v>0.8</v>
      </c>
      <c r="F31" s="1116" t="s">
        <v>1462</v>
      </c>
      <c r="G31" s="1117"/>
      <c r="H31" s="1088"/>
      <c r="I31" s="1088"/>
    </row>
    <row r="32" spans="1:9" s="1530" customFormat="1" ht="19.5" customHeight="1">
      <c r="A32" s="3586"/>
      <c r="B32" s="3586"/>
      <c r="C32" s="1114" t="s">
        <v>1463</v>
      </c>
      <c r="D32" s="1115"/>
      <c r="E32" s="1137">
        <v>0.8</v>
      </c>
      <c r="F32" s="1116" t="s">
        <v>1464</v>
      </c>
      <c r="G32" s="1117"/>
      <c r="H32" s="1088"/>
      <c r="I32" s="1088"/>
    </row>
    <row r="33" spans="1:9" s="1530" customFormat="1" ht="19.5" customHeight="1">
      <c r="A33" s="3586" t="s">
        <v>1465</v>
      </c>
      <c r="B33" s="1137" t="s">
        <v>1437</v>
      </c>
      <c r="C33" s="1114" t="s">
        <v>1466</v>
      </c>
      <c r="D33" s="1115"/>
      <c r="E33" s="1137">
        <v>1</v>
      </c>
      <c r="F33" s="1116" t="s">
        <v>1467</v>
      </c>
      <c r="G33" s="1117"/>
      <c r="H33" s="1088"/>
      <c r="I33" s="1088"/>
    </row>
    <row r="34" spans="1:9" s="1530" customFormat="1" ht="19.5" customHeight="1">
      <c r="A34" s="3586"/>
      <c r="B34" s="1137" t="s">
        <v>1440</v>
      </c>
      <c r="C34" s="1114" t="s">
        <v>1468</v>
      </c>
      <c r="D34" s="1115"/>
      <c r="E34" s="1137">
        <v>1.5</v>
      </c>
      <c r="F34" s="1116" t="s">
        <v>1469</v>
      </c>
      <c r="G34" s="1117"/>
      <c r="H34" s="1088"/>
      <c r="I34" s="1088"/>
    </row>
    <row r="35" spans="1:9" s="1530" customFormat="1" ht="19.5" customHeight="1">
      <c r="A35" s="3586" t="s">
        <v>1423</v>
      </c>
      <c r="B35" s="1137" t="s">
        <v>1437</v>
      </c>
      <c r="C35" s="1114" t="s">
        <v>1470</v>
      </c>
      <c r="D35" s="1115"/>
      <c r="E35" s="1137">
        <v>1</v>
      </c>
      <c r="F35" s="1116" t="s">
        <v>1471</v>
      </c>
      <c r="G35" s="1117"/>
      <c r="H35" s="1088"/>
      <c r="I35" s="1088"/>
    </row>
    <row r="36" spans="1:9" s="1530" customFormat="1" ht="19.5" customHeight="1">
      <c r="A36" s="3586"/>
      <c r="B36" s="3586" t="s">
        <v>1440</v>
      </c>
      <c r="C36" s="1114" t="s">
        <v>1472</v>
      </c>
      <c r="D36" s="1115"/>
      <c r="E36" s="1137">
        <v>1</v>
      </c>
      <c r="F36" s="1116" t="s">
        <v>1473</v>
      </c>
      <c r="G36" s="1117"/>
      <c r="H36" s="1088"/>
      <c r="I36" s="1088"/>
    </row>
    <row r="37" spans="1:9" s="1530" customFormat="1" ht="19.5" customHeight="1">
      <c r="A37" s="3586"/>
      <c r="B37" s="3586"/>
      <c r="C37" s="1114" t="s">
        <v>1474</v>
      </c>
      <c r="D37" s="1115"/>
      <c r="E37" s="1137">
        <v>1.5</v>
      </c>
      <c r="F37" s="1116" t="s">
        <v>1475</v>
      </c>
      <c r="G37" s="1117"/>
      <c r="H37" s="1088"/>
      <c r="I37" s="1088"/>
    </row>
    <row r="38" spans="1:9" s="1530" customFormat="1" ht="19.5" customHeight="1">
      <c r="A38" s="3586"/>
      <c r="B38" s="3586"/>
      <c r="C38" s="1114" t="s">
        <v>1476</v>
      </c>
      <c r="D38" s="1115"/>
      <c r="E38" s="1137">
        <v>1</v>
      </c>
      <c r="F38" s="1116" t="s">
        <v>1477</v>
      </c>
      <c r="G38" s="1117"/>
      <c r="H38" s="1088"/>
      <c r="I38" s="1088"/>
    </row>
    <row r="39" spans="1:9" s="1530" customFormat="1" ht="19.5" customHeight="1">
      <c r="A39" s="3586"/>
      <c r="B39" s="3586"/>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86" t="s">
        <v>1492</v>
      </c>
      <c r="C61" s="1051" t="s">
        <v>1493</v>
      </c>
      <c r="D61" s="1051" t="s">
        <v>1494</v>
      </c>
      <c r="E61" s="1122">
        <v>0.5</v>
      </c>
      <c r="F61" s="1137">
        <v>80</v>
      </c>
      <c r="H61" s="1088">
        <f>SUMIF(C59:C119,基准地价!C8,E59:E119)</f>
        <v>0</v>
      </c>
    </row>
    <row r="62" spans="1:8" s="1088" customFormat="1" ht="24">
      <c r="A62" s="1137">
        <v>2</v>
      </c>
      <c r="B62" s="3586"/>
      <c r="C62" s="1051" t="s">
        <v>1495</v>
      </c>
      <c r="D62" s="1051" t="s">
        <v>1496</v>
      </c>
      <c r="E62" s="1122">
        <v>0.5</v>
      </c>
      <c r="F62" s="1137">
        <v>80</v>
      </c>
    </row>
    <row r="63" spans="1:8" s="1088" customFormat="1" ht="36">
      <c r="A63" s="1137">
        <v>3</v>
      </c>
      <c r="B63" s="3586"/>
      <c r="C63" s="1051" t="s">
        <v>1497</v>
      </c>
      <c r="D63" s="1051" t="s">
        <v>1498</v>
      </c>
      <c r="E63" s="1122">
        <v>0.5</v>
      </c>
      <c r="F63" s="1137">
        <v>80</v>
      </c>
    </row>
    <row r="64" spans="1:8" s="1088" customFormat="1" ht="36">
      <c r="A64" s="1137">
        <v>4</v>
      </c>
      <c r="B64" s="3586"/>
      <c r="C64" s="1051" t="s">
        <v>1499</v>
      </c>
      <c r="D64" s="1051" t="s">
        <v>1500</v>
      </c>
      <c r="E64" s="1122">
        <v>0.4</v>
      </c>
      <c r="F64" s="1137">
        <v>60</v>
      </c>
    </row>
    <row r="65" spans="1:6" s="1088" customFormat="1" ht="36">
      <c r="A65" s="1137">
        <v>5</v>
      </c>
      <c r="B65" s="3586"/>
      <c r="C65" s="1051" t="s">
        <v>1501</v>
      </c>
      <c r="D65" s="1051" t="s">
        <v>1502</v>
      </c>
      <c r="E65" s="1122">
        <v>0.2</v>
      </c>
      <c r="F65" s="1137">
        <v>30</v>
      </c>
    </row>
    <row r="66" spans="1:6" s="1088" customFormat="1" ht="36">
      <c r="A66" s="1137">
        <v>6</v>
      </c>
      <c r="B66" s="3586"/>
      <c r="C66" s="1051" t="s">
        <v>1503</v>
      </c>
      <c r="D66" s="1051" t="s">
        <v>1504</v>
      </c>
      <c r="E66" s="1122">
        <v>0.3</v>
      </c>
      <c r="F66" s="1137">
        <v>50</v>
      </c>
    </row>
    <row r="67" spans="1:6" s="1088" customFormat="1" ht="36">
      <c r="A67" s="1137">
        <v>7</v>
      </c>
      <c r="B67" s="3586"/>
      <c r="C67" s="1051" t="s">
        <v>1505</v>
      </c>
      <c r="D67" s="1051" t="s">
        <v>1506</v>
      </c>
      <c r="E67" s="1122">
        <v>0.2</v>
      </c>
      <c r="F67" s="1137">
        <v>30</v>
      </c>
    </row>
    <row r="68" spans="1:6" s="1088" customFormat="1" ht="36">
      <c r="A68" s="1137">
        <v>8</v>
      </c>
      <c r="B68" s="3586"/>
      <c r="C68" s="1051" t="s">
        <v>1507</v>
      </c>
      <c r="D68" s="1051" t="s">
        <v>1508</v>
      </c>
      <c r="E68" s="1122">
        <v>0.2</v>
      </c>
      <c r="F68" s="1137">
        <v>30</v>
      </c>
    </row>
    <row r="69" spans="1:6" s="1088" customFormat="1" ht="36">
      <c r="A69" s="1137">
        <v>9</v>
      </c>
      <c r="B69" s="3586"/>
      <c r="C69" s="1051" t="s">
        <v>1509</v>
      </c>
      <c r="D69" s="1051" t="s">
        <v>1510</v>
      </c>
      <c r="E69" s="1122">
        <v>0.2</v>
      </c>
      <c r="F69" s="1137">
        <v>30</v>
      </c>
    </row>
    <row r="70" spans="1:6" s="1088" customFormat="1" ht="48">
      <c r="A70" s="1137">
        <v>10</v>
      </c>
      <c r="B70" s="3586"/>
      <c r="C70" s="1051" t="s">
        <v>1511</v>
      </c>
      <c r="D70" s="1051" t="s">
        <v>1512</v>
      </c>
      <c r="E70" s="1122">
        <v>0.2</v>
      </c>
      <c r="F70" s="1137">
        <v>30</v>
      </c>
    </row>
    <row r="71" spans="1:6" s="1088" customFormat="1" ht="48">
      <c r="A71" s="1137">
        <v>11</v>
      </c>
      <c r="B71" s="3586"/>
      <c r="C71" s="1051" t="s">
        <v>1513</v>
      </c>
      <c r="D71" s="1051" t="s">
        <v>1514</v>
      </c>
      <c r="E71" s="1122">
        <v>0.2</v>
      </c>
      <c r="F71" s="1137">
        <v>30</v>
      </c>
    </row>
    <row r="72" spans="1:6" s="1088" customFormat="1" ht="36">
      <c r="A72" s="1137">
        <v>12</v>
      </c>
      <c r="B72" s="3586"/>
      <c r="C72" s="1051" t="s">
        <v>1515</v>
      </c>
      <c r="D72" s="1051" t="s">
        <v>1516</v>
      </c>
      <c r="E72" s="1122">
        <v>0.5</v>
      </c>
      <c r="F72" s="1137">
        <v>80</v>
      </c>
    </row>
    <row r="73" spans="1:6" s="1088" customFormat="1" ht="24">
      <c r="A73" s="1137">
        <v>13</v>
      </c>
      <c r="B73" s="3586"/>
      <c r="C73" s="1051" t="s">
        <v>1517</v>
      </c>
      <c r="D73" s="1051" t="s">
        <v>1518</v>
      </c>
      <c r="E73" s="1122">
        <v>0.4</v>
      </c>
      <c r="F73" s="1137">
        <v>60</v>
      </c>
    </row>
    <row r="74" spans="1:6" s="1088" customFormat="1" ht="24">
      <c r="A74" s="1137">
        <v>14</v>
      </c>
      <c r="B74" s="3586"/>
      <c r="C74" s="1051" t="s">
        <v>1519</v>
      </c>
      <c r="D74" s="1051" t="s">
        <v>1520</v>
      </c>
      <c r="E74" s="1122">
        <v>0.2</v>
      </c>
      <c r="F74" s="1137">
        <v>30</v>
      </c>
    </row>
    <row r="75" spans="1:6" s="1088" customFormat="1" ht="24">
      <c r="A75" s="1137">
        <v>15</v>
      </c>
      <c r="B75" s="3586"/>
      <c r="C75" s="1051" t="s">
        <v>1521</v>
      </c>
      <c r="D75" s="1051" t="s">
        <v>1522</v>
      </c>
      <c r="E75" s="1122">
        <v>0.2</v>
      </c>
      <c r="F75" s="1137">
        <v>30</v>
      </c>
    </row>
    <row r="76" spans="1:6" s="1088" customFormat="1" ht="24">
      <c r="A76" s="1137">
        <v>16</v>
      </c>
      <c r="B76" s="3586" t="s">
        <v>1523</v>
      </c>
      <c r="C76" s="1051" t="s">
        <v>1524</v>
      </c>
      <c r="D76" s="1051" t="s">
        <v>1525</v>
      </c>
      <c r="E76" s="1122">
        <v>0.5</v>
      </c>
      <c r="F76" s="1137">
        <v>80</v>
      </c>
    </row>
    <row r="77" spans="1:6" s="1088" customFormat="1" ht="24">
      <c r="A77" s="1137">
        <v>17</v>
      </c>
      <c r="B77" s="3586"/>
      <c r="C77" s="1051" t="s">
        <v>1526</v>
      </c>
      <c r="D77" s="1051" t="s">
        <v>1527</v>
      </c>
      <c r="E77" s="1122">
        <v>0.5</v>
      </c>
      <c r="F77" s="1137">
        <v>80</v>
      </c>
    </row>
    <row r="78" spans="1:6" s="1088" customFormat="1" ht="24">
      <c r="A78" s="1137">
        <v>18</v>
      </c>
      <c r="B78" s="3586"/>
      <c r="C78" s="1051" t="s">
        <v>1528</v>
      </c>
      <c r="D78" s="1051" t="s">
        <v>1529</v>
      </c>
      <c r="E78" s="1122">
        <v>0.2</v>
      </c>
      <c r="F78" s="1137">
        <v>30</v>
      </c>
    </row>
    <row r="79" spans="1:6" s="1088" customFormat="1" ht="24">
      <c r="A79" s="1137">
        <v>19</v>
      </c>
      <c r="B79" s="3586"/>
      <c r="C79" s="1051" t="s">
        <v>1530</v>
      </c>
      <c r="D79" s="1051" t="s">
        <v>1531</v>
      </c>
      <c r="E79" s="1122">
        <v>0.5</v>
      </c>
      <c r="F79" s="1137">
        <v>80</v>
      </c>
    </row>
    <row r="80" spans="1:6" s="1088" customFormat="1" ht="36">
      <c r="A80" s="1137">
        <v>20</v>
      </c>
      <c r="B80" s="3586"/>
      <c r="C80" s="1051" t="s">
        <v>1532</v>
      </c>
      <c r="D80" s="1051" t="s">
        <v>1533</v>
      </c>
      <c r="E80" s="1122">
        <v>0.2</v>
      </c>
      <c r="F80" s="1137">
        <v>30</v>
      </c>
    </row>
    <row r="81" spans="1:6" s="1088" customFormat="1" ht="36">
      <c r="A81" s="1137">
        <v>21</v>
      </c>
      <c r="B81" s="3586"/>
      <c r="C81" s="1051" t="s">
        <v>1534</v>
      </c>
      <c r="D81" s="1051" t="s">
        <v>1535</v>
      </c>
      <c r="E81" s="1122">
        <v>0.2</v>
      </c>
      <c r="F81" s="1137">
        <v>30</v>
      </c>
    </row>
    <row r="82" spans="1:6" s="1088" customFormat="1" ht="48">
      <c r="A82" s="1137">
        <v>22</v>
      </c>
      <c r="B82" s="3586"/>
      <c r="C82" s="1051" t="s">
        <v>1536</v>
      </c>
      <c r="D82" s="1051" t="s">
        <v>1537</v>
      </c>
      <c r="E82" s="1122">
        <v>0.2</v>
      </c>
      <c r="F82" s="1137">
        <v>30</v>
      </c>
    </row>
    <row r="83" spans="1:6" s="1088" customFormat="1" ht="48">
      <c r="A83" s="1137">
        <v>23</v>
      </c>
      <c r="B83" s="3586"/>
      <c r="C83" s="1051" t="s">
        <v>1538</v>
      </c>
      <c r="D83" s="1051" t="s">
        <v>1539</v>
      </c>
      <c r="E83" s="1122">
        <v>0.2</v>
      </c>
      <c r="F83" s="1137">
        <v>30</v>
      </c>
    </row>
    <row r="84" spans="1:6" s="1088" customFormat="1" ht="36">
      <c r="A84" s="1137">
        <v>24</v>
      </c>
      <c r="B84" s="3586"/>
      <c r="C84" s="1051" t="s">
        <v>1540</v>
      </c>
      <c r="D84" s="1051" t="s">
        <v>1541</v>
      </c>
      <c r="E84" s="1122">
        <v>0.2</v>
      </c>
      <c r="F84" s="1137">
        <v>30</v>
      </c>
    </row>
    <row r="85" spans="1:6" s="1088" customFormat="1" ht="36">
      <c r="A85" s="1137">
        <v>25</v>
      </c>
      <c r="B85" s="3586"/>
      <c r="C85" s="1051" t="s">
        <v>1542</v>
      </c>
      <c r="D85" s="1051" t="s">
        <v>1543</v>
      </c>
      <c r="E85" s="1122">
        <v>0.5</v>
      </c>
      <c r="F85" s="1137">
        <v>80</v>
      </c>
    </row>
    <row r="86" spans="1:6" s="1088" customFormat="1" ht="36">
      <c r="A86" s="1137">
        <v>26</v>
      </c>
      <c r="B86" s="3586"/>
      <c r="C86" s="1051" t="s">
        <v>1544</v>
      </c>
      <c r="D86" s="1051" t="s">
        <v>1545</v>
      </c>
      <c r="E86" s="1122">
        <v>0.2</v>
      </c>
      <c r="F86" s="1137">
        <v>30</v>
      </c>
    </row>
    <row r="87" spans="1:6" s="1088" customFormat="1" ht="36">
      <c r="A87" s="1137">
        <v>27</v>
      </c>
      <c r="B87" s="3586"/>
      <c r="C87" s="1051" t="s">
        <v>1546</v>
      </c>
      <c r="D87" s="1051" t="s">
        <v>1547</v>
      </c>
      <c r="E87" s="1122">
        <v>0.2</v>
      </c>
      <c r="F87" s="1137">
        <v>30</v>
      </c>
    </row>
    <row r="88" spans="1:6" s="1088" customFormat="1" ht="36">
      <c r="A88" s="1137">
        <v>28</v>
      </c>
      <c r="B88" s="3586"/>
      <c r="C88" s="1051" t="s">
        <v>1548</v>
      </c>
      <c r="D88" s="1051" t="s">
        <v>1549</v>
      </c>
      <c r="E88" s="1122">
        <v>0.2</v>
      </c>
      <c r="F88" s="1137">
        <v>30</v>
      </c>
    </row>
    <row r="89" spans="1:6" s="1088" customFormat="1" ht="24">
      <c r="A89" s="1137">
        <v>29</v>
      </c>
      <c r="B89" s="3586"/>
      <c r="C89" s="1051" t="s">
        <v>1550</v>
      </c>
      <c r="D89" s="1051" t="s">
        <v>1551</v>
      </c>
      <c r="E89" s="1122">
        <v>0.2</v>
      </c>
      <c r="F89" s="1137">
        <v>30</v>
      </c>
    </row>
    <row r="90" spans="1:6" s="1088" customFormat="1" ht="24">
      <c r="A90" s="1137">
        <v>30</v>
      </c>
      <c r="B90" s="3586"/>
      <c r="C90" s="1051" t="s">
        <v>1552</v>
      </c>
      <c r="D90" s="1051" t="s">
        <v>1553</v>
      </c>
      <c r="E90" s="1122">
        <v>0.2</v>
      </c>
      <c r="F90" s="1137">
        <v>30</v>
      </c>
    </row>
    <row r="91" spans="1:6" s="1088" customFormat="1" ht="36">
      <c r="A91" s="1137">
        <v>31</v>
      </c>
      <c r="B91" s="3586"/>
      <c r="C91" s="1051" t="s">
        <v>1554</v>
      </c>
      <c r="D91" s="1051" t="s">
        <v>1555</v>
      </c>
      <c r="E91" s="1122">
        <v>0.2</v>
      </c>
      <c r="F91" s="1137">
        <v>30</v>
      </c>
    </row>
    <row r="92" spans="1:6" s="1088" customFormat="1" ht="24">
      <c r="A92" s="1137">
        <v>32</v>
      </c>
      <c r="B92" s="3586" t="s">
        <v>1556</v>
      </c>
      <c r="C92" s="1137" t="s">
        <v>1557</v>
      </c>
      <c r="D92" s="1051" t="s">
        <v>1558</v>
      </c>
      <c r="E92" s="1122">
        <v>0.2</v>
      </c>
      <c r="F92" s="1137">
        <v>30</v>
      </c>
    </row>
    <row r="93" spans="1:6" s="1088" customFormat="1" ht="36">
      <c r="A93" s="1137">
        <v>33</v>
      </c>
      <c r="B93" s="3586"/>
      <c r="C93" s="1137" t="s">
        <v>1559</v>
      </c>
      <c r="D93" s="1051" t="s">
        <v>1560</v>
      </c>
      <c r="E93" s="1122">
        <v>0.2</v>
      </c>
      <c r="F93" s="1137">
        <v>30</v>
      </c>
    </row>
    <row r="94" spans="1:6" s="1088" customFormat="1" ht="48">
      <c r="A94" s="1137">
        <v>34</v>
      </c>
      <c r="B94" s="3586"/>
      <c r="C94" s="1137" t="s">
        <v>1561</v>
      </c>
      <c r="D94" s="1051" t="s">
        <v>1562</v>
      </c>
      <c r="E94" s="1122">
        <v>0.2</v>
      </c>
      <c r="F94" s="1137">
        <v>30</v>
      </c>
    </row>
    <row r="95" spans="1:6" s="1088" customFormat="1" ht="36">
      <c r="A95" s="1137">
        <v>35</v>
      </c>
      <c r="B95" s="3586"/>
      <c r="C95" s="1137" t="s">
        <v>1563</v>
      </c>
      <c r="D95" s="1051" t="s">
        <v>1564</v>
      </c>
      <c r="E95" s="1122">
        <v>0.2</v>
      </c>
      <c r="F95" s="1137">
        <v>30</v>
      </c>
    </row>
    <row r="96" spans="1:6" s="1088" customFormat="1" ht="48">
      <c r="A96" s="1137">
        <v>36</v>
      </c>
      <c r="B96" s="3586"/>
      <c r="C96" s="1051" t="s">
        <v>1565</v>
      </c>
      <c r="D96" s="1051" t="s">
        <v>1566</v>
      </c>
      <c r="E96" s="1122">
        <v>0.2</v>
      </c>
      <c r="F96" s="1137">
        <v>30</v>
      </c>
    </row>
    <row r="97" spans="1:6" s="1088" customFormat="1" ht="36">
      <c r="A97" s="1137">
        <v>37</v>
      </c>
      <c r="B97" s="3586"/>
      <c r="C97" s="1137" t="s">
        <v>1567</v>
      </c>
      <c r="D97" s="1051" t="s">
        <v>1568</v>
      </c>
      <c r="E97" s="1122">
        <v>0.2</v>
      </c>
      <c r="F97" s="1137">
        <v>30</v>
      </c>
    </row>
    <row r="98" spans="1:6" s="1088" customFormat="1" ht="36">
      <c r="A98" s="1137">
        <v>38</v>
      </c>
      <c r="B98" s="3586"/>
      <c r="C98" s="1137" t="s">
        <v>1569</v>
      </c>
      <c r="D98" s="1051" t="s">
        <v>1570</v>
      </c>
      <c r="E98" s="1122">
        <v>0.2</v>
      </c>
      <c r="F98" s="1137">
        <v>30</v>
      </c>
    </row>
    <row r="99" spans="1:6" s="1088" customFormat="1" ht="36">
      <c r="A99" s="1137">
        <v>39</v>
      </c>
      <c r="B99" s="3586" t="s">
        <v>1571</v>
      </c>
      <c r="C99" s="1137" t="s">
        <v>1572</v>
      </c>
      <c r="D99" s="1051" t="s">
        <v>1573</v>
      </c>
      <c r="E99" s="1122">
        <v>0.3</v>
      </c>
      <c r="F99" s="1137">
        <v>50</v>
      </c>
    </row>
    <row r="100" spans="1:6" s="1088" customFormat="1" ht="24">
      <c r="A100" s="1137">
        <v>40</v>
      </c>
      <c r="B100" s="3586"/>
      <c r="C100" s="1137" t="s">
        <v>1574</v>
      </c>
      <c r="D100" s="1051" t="s">
        <v>1575</v>
      </c>
      <c r="E100" s="1122">
        <v>0.2</v>
      </c>
      <c r="F100" s="1137">
        <v>30</v>
      </c>
    </row>
    <row r="101" spans="1:6" s="1088" customFormat="1" ht="36">
      <c r="A101" s="1137">
        <v>41</v>
      </c>
      <c r="B101" s="3586"/>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86" t="s">
        <v>1586</v>
      </c>
      <c r="C105" s="1137" t="s">
        <v>1587</v>
      </c>
      <c r="D105" s="1051" t="s">
        <v>1588</v>
      </c>
      <c r="E105" s="1122">
        <v>0.2</v>
      </c>
      <c r="F105" s="1137">
        <v>30</v>
      </c>
    </row>
    <row r="106" spans="1:6" s="1088" customFormat="1" ht="36">
      <c r="A106" s="1137">
        <v>46</v>
      </c>
      <c r="B106" s="3586"/>
      <c r="C106" s="1137" t="s">
        <v>1589</v>
      </c>
      <c r="D106" s="1051" t="s">
        <v>1590</v>
      </c>
      <c r="E106" s="1122">
        <v>0.2</v>
      </c>
      <c r="F106" s="1137">
        <v>30</v>
      </c>
    </row>
    <row r="107" spans="1:6" s="1088" customFormat="1" ht="36">
      <c r="A107" s="1137">
        <v>47</v>
      </c>
      <c r="B107" s="3586" t="s">
        <v>1591</v>
      </c>
      <c r="C107" s="1137" t="s">
        <v>1592</v>
      </c>
      <c r="D107" s="1051" t="s">
        <v>1593</v>
      </c>
      <c r="E107" s="1122">
        <v>0.3</v>
      </c>
      <c r="F107" s="1137">
        <v>50</v>
      </c>
    </row>
    <row r="108" spans="1:6" s="1088" customFormat="1" ht="36">
      <c r="A108" s="1137">
        <v>48</v>
      </c>
      <c r="B108" s="3586"/>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86" t="s">
        <v>1602</v>
      </c>
      <c r="C111" s="1137" t="s">
        <v>1603</v>
      </c>
      <c r="D111" s="1051" t="s">
        <v>1604</v>
      </c>
      <c r="E111" s="1122">
        <v>0.2</v>
      </c>
      <c r="F111" s="1137">
        <v>30</v>
      </c>
    </row>
    <row r="112" spans="1:6" s="1088" customFormat="1" ht="24">
      <c r="A112" s="1137">
        <v>52</v>
      </c>
      <c r="B112" s="3586"/>
      <c r="C112" s="1137" t="s">
        <v>1605</v>
      </c>
      <c r="D112" s="1051" t="s">
        <v>1606</v>
      </c>
      <c r="E112" s="1122">
        <v>0.2</v>
      </c>
      <c r="F112" s="1137">
        <v>30</v>
      </c>
    </row>
    <row r="113" spans="1:14" s="1088" customFormat="1" ht="24">
      <c r="A113" s="1137">
        <v>53</v>
      </c>
      <c r="B113" s="3586"/>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86" t="s">
        <v>1615</v>
      </c>
      <c r="C116" s="1137" t="s">
        <v>1616</v>
      </c>
      <c r="D116" s="1051" t="s">
        <v>1617</v>
      </c>
      <c r="E116" s="1122">
        <v>0.2</v>
      </c>
      <c r="F116" s="1137">
        <v>30</v>
      </c>
    </row>
    <row r="117" spans="1:14" ht="36">
      <c r="A117" s="1137">
        <v>57</v>
      </c>
      <c r="B117" s="3586"/>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85" t="s">
        <v>1624</v>
      </c>
      <c r="B121" s="3585"/>
      <c r="C121" s="3585"/>
      <c r="D121" s="3585"/>
      <c r="E121" s="3585"/>
      <c r="F121" s="3585"/>
      <c r="G121" s="3585"/>
      <c r="H121" s="3585"/>
      <c r="I121" s="3585"/>
      <c r="J121" s="3585"/>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600" t="s">
        <v>1030</v>
      </c>
      <c r="B1" s="3600"/>
      <c r="C1" s="3600"/>
      <c r="D1" s="3600"/>
      <c r="E1" s="3600"/>
      <c r="F1" s="3600"/>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601" t="s">
        <v>1043</v>
      </c>
      <c r="B2" s="3601"/>
      <c r="C2" s="3601"/>
      <c r="D2" s="3601"/>
      <c r="E2" s="3601"/>
      <c r="F2" s="3601"/>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602"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603"/>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460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1.2383999999999999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604" t="s">
        <v>2068</v>
      </c>
      <c r="B1" s="3604"/>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10" sqref="A10:XFD10"/>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607" t="s">
        <v>2557</v>
      </c>
      <c r="C1" s="3607"/>
      <c r="D1" s="3607"/>
      <c r="E1" s="3607"/>
      <c r="F1" s="3607"/>
      <c r="G1" s="3606" t="s">
        <v>2558</v>
      </c>
      <c r="H1" s="3606"/>
      <c r="I1" s="3606"/>
      <c r="J1" s="3606"/>
      <c r="K1" s="3606"/>
      <c r="L1" s="3606"/>
      <c r="N1" s="3606" t="s">
        <v>2559</v>
      </c>
      <c r="O1" s="3606"/>
      <c r="P1" s="3606"/>
      <c r="Q1" s="3606"/>
      <c r="S1" s="3606" t="s">
        <v>2560</v>
      </c>
      <c r="T1" s="3606"/>
      <c r="U1" s="3606"/>
      <c r="V1" s="3606"/>
      <c r="X1" s="3605" t="s">
        <v>2620</v>
      </c>
      <c r="Y1" s="3606"/>
      <c r="Z1" s="3606"/>
      <c r="AA1" s="3606"/>
      <c r="AB1" s="3606"/>
      <c r="AD1" s="3605" t="s">
        <v>2624</v>
      </c>
      <c r="AE1" s="3606"/>
      <c r="AF1" s="3606"/>
      <c r="AG1" s="3606"/>
      <c r="AH1" s="3606"/>
    </row>
    <row r="2" spans="1:34" s="2865" customFormat="1" ht="14.25" thickBot="1">
      <c r="B2" s="2866" t="s">
        <v>2561</v>
      </c>
      <c r="C2" s="2866" t="s">
        <v>2622</v>
      </c>
      <c r="D2" s="2867" t="s">
        <v>1635</v>
      </c>
      <c r="E2" s="2867" t="s">
        <v>1938</v>
      </c>
      <c r="F2" s="2866" t="s">
        <v>2623</v>
      </c>
      <c r="G2" s="2868"/>
      <c r="I2" s="2866" t="s">
        <v>2923</v>
      </c>
      <c r="J2" s="2867" t="s">
        <v>2925</v>
      </c>
      <c r="K2" s="2867" t="s">
        <v>2926</v>
      </c>
      <c r="L2" s="2866" t="s">
        <v>2927</v>
      </c>
      <c r="N2" s="2866" t="s">
        <v>2561</v>
      </c>
      <c r="O2" s="2867" t="s">
        <v>2924</v>
      </c>
      <c r="P2" s="2867" t="s">
        <v>1938</v>
      </c>
      <c r="Q2" s="2866" t="s">
        <v>2623</v>
      </c>
      <c r="S2" s="2866" t="s">
        <v>2561</v>
      </c>
      <c r="T2" s="2867" t="s">
        <v>2924</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2934</v>
      </c>
      <c r="B3" s="2870"/>
      <c r="C3" s="2870"/>
      <c r="D3" s="2871"/>
      <c r="E3" s="2871"/>
      <c r="F3" s="2870"/>
      <c r="G3" s="2872"/>
      <c r="H3" s="2873"/>
      <c r="I3" s="2874">
        <f>ROUND(AVERAGE($I4:$I33),2)</f>
        <v>1.68</v>
      </c>
      <c r="J3" s="2874">
        <f>ROUND(AVERAGE($J4:$J33),2)</f>
        <v>1.1000000000000001</v>
      </c>
      <c r="K3" s="2874">
        <f>ROUND(AVERAGE($K4:$K33),2)</f>
        <v>1.85</v>
      </c>
      <c r="L3" s="2874">
        <f>ROUND(AVERAGE($L4:$L33),2)</f>
        <v>1.19</v>
      </c>
      <c r="N3" s="2872"/>
      <c r="S3" s="2872"/>
      <c r="W3" s="2876"/>
      <c r="X3" s="2877">
        <f>ROUND(SUMPRODUCT(PRODUCT(1+N3:N$32)),4)</f>
        <v>1.571</v>
      </c>
      <c r="Y3" s="2877">
        <f>ROUND(SUMPRODUCT(PRODUCT(1+O3:O$32)),4)</f>
        <v>1.3420000000000001</v>
      </c>
      <c r="Z3" s="2877">
        <f t="shared" ref="Z3" si="0">Y3</f>
        <v>1.3420000000000001</v>
      </c>
      <c r="AA3" s="2877">
        <f>ROUND(SUMPRODUCT(PRODUCT(1+P3:P$32)),4)</f>
        <v>1.6415999999999999</v>
      </c>
      <c r="AB3" s="2877">
        <f>ROUND(SUMPRODUCT(PRODUCT(1+Q3:Q$32)),4)</f>
        <v>1.389</v>
      </c>
      <c r="AD3" s="2878">
        <f>ROUND(AVERAGE(I3:I$33)/100,4)</f>
        <v>1.6799999999999999E-2</v>
      </c>
      <c r="AE3" s="2878">
        <f>ROUND(AVERAGE(J3:J$33)/100,4)</f>
        <v>1.0999999999999999E-2</v>
      </c>
      <c r="AF3" s="2878">
        <f t="shared" ref="AF3:AF31" si="1">AE3</f>
        <v>1.0999999999999999E-2</v>
      </c>
      <c r="AG3" s="2878">
        <f>ROUND(AVERAGE(K3:K$33)/100,4)</f>
        <v>1.8499999999999999E-2</v>
      </c>
      <c r="AH3" s="2878">
        <f>ROUND(AVERAGE(L3:L$33)/100,4)</f>
        <v>1.1900000000000001E-2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2999</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2935</v>
      </c>
      <c r="X5" s="2896">
        <f>ROUND(SUMPRODUCT(PRODUCT(1+N5:N$33)),4)</f>
        <v>1.6175999999999999</v>
      </c>
      <c r="Y5" s="2896">
        <f>ROUND(SUMPRODUCT(PRODUCT(1+O5:O$33)),4)</f>
        <v>1.3734</v>
      </c>
      <c r="Z5" s="2896">
        <f t="shared" ref="Z5" si="11">Y5</f>
        <v>1.3734</v>
      </c>
      <c r="AA5" s="2896">
        <f>ROUND(SUMPRODUCT(PRODUCT(1+P5:P$33)),4)</f>
        <v>1.6955</v>
      </c>
      <c r="AB5" s="2896">
        <f>ROUND(SUMPRODUCT(PRODUCT(1+Q5:Q$33)),4)</f>
        <v>1.4078999999999999</v>
      </c>
      <c r="AD5" s="2897">
        <f>ROUND(AVERAGE(I5:I$33)/100,4)</f>
        <v>1.6799999999999999E-2</v>
      </c>
      <c r="AE5" s="2897">
        <f>ROUND(AVERAGE(J5:J$33)/100,4)</f>
        <v>1.0999999999999999E-2</v>
      </c>
      <c r="AF5" s="2897">
        <f t="shared" ref="AF5" si="12">AE5</f>
        <v>1.0999999999999999E-2</v>
      </c>
      <c r="AG5" s="2897">
        <f>ROUND(AVERAGE(K5:K$33)/100,4)</f>
        <v>1.8499999999999999E-2</v>
      </c>
      <c r="AH5" s="2897">
        <f>ROUND(AVERAGE(L5:L$33)/100,4)</f>
        <v>1.1900000000000001E-2</v>
      </c>
    </row>
    <row r="6" spans="1:34" s="2905" customFormat="1">
      <c r="A6" s="2898" t="s">
        <v>3000</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4</v>
      </c>
      <c r="I6" s="2862">
        <v>0</v>
      </c>
      <c r="J6" s="2862">
        <v>0</v>
      </c>
      <c r="K6" s="2862">
        <v>0</v>
      </c>
      <c r="L6" s="2863">
        <v>0</v>
      </c>
      <c r="M6" s="2886"/>
      <c r="N6" s="2901">
        <f t="shared" ref="N6" si="18">I6/100</f>
        <v>0</v>
      </c>
      <c r="O6" s="2887">
        <f t="shared" ref="O6" si="19">J6/100</f>
        <v>0</v>
      </c>
      <c r="P6" s="2887">
        <f t="shared" ref="P6" si="20">K6/100</f>
        <v>0</v>
      </c>
      <c r="Q6" s="2887">
        <f t="shared" ref="Q6" si="21">L6/100</f>
        <v>0</v>
      </c>
      <c r="R6" s="2902"/>
      <c r="S6" s="2903"/>
      <c r="T6" s="2904"/>
      <c r="U6" s="2904"/>
      <c r="V6" s="2904"/>
      <c r="W6" s="2886"/>
      <c r="X6" s="2886">
        <f>ROUND(SUMPRODUCT(PRODUCT(1+N6:N$33)),4)</f>
        <v>1.6175999999999999</v>
      </c>
      <c r="Y6" s="2886">
        <f>ROUND(SUMPRODUCT(PRODUCT(1+O6:O$33)),4)</f>
        <v>1.3734</v>
      </c>
      <c r="Z6" s="2886">
        <f t="shared" ref="Z6" si="22">Y6</f>
        <v>1.3734</v>
      </c>
      <c r="AA6" s="2886">
        <f>ROUND(SUMPRODUCT(PRODUCT(1+P6:P$33)),4)</f>
        <v>1.6955</v>
      </c>
      <c r="AB6" s="2886">
        <f>ROUND(SUMPRODUCT(PRODUCT(1+Q6:Q$33)),4)</f>
        <v>1.4078999999999999</v>
      </c>
      <c r="AC6" s="2886"/>
      <c r="AD6" s="2887">
        <f>ROUND(AVERAGE(I6:I$33)/100,4)</f>
        <v>1.7399999999999999E-2</v>
      </c>
      <c r="AE6" s="2887">
        <f>ROUND(AVERAGE(J6:J$33)/100,4)</f>
        <v>1.14E-2</v>
      </c>
      <c r="AF6" s="2887">
        <f t="shared" ref="AF6" si="23">AE6</f>
        <v>1.14E-2</v>
      </c>
      <c r="AG6" s="2887">
        <f>ROUND(AVERAGE(K6:K$33)/100,4)</f>
        <v>1.9199999999999998E-2</v>
      </c>
      <c r="AH6" s="2887">
        <f>ROUND(AVERAGE(L6:L$33)/100,4)</f>
        <v>1.23E-2</v>
      </c>
    </row>
    <row r="7" spans="1:34" s="2905" customFormat="1">
      <c r="A7" s="2898" t="s">
        <v>2998</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ROUND(SUMPRODUCT(PRODUCT(1+N7:N$33)),4)</f>
        <v>1.6175999999999999</v>
      </c>
      <c r="Y7" s="2886">
        <f>ROUND(SUMPRODUCT(PRODUCT(1+O7:O$33)),4)</f>
        <v>1.3734</v>
      </c>
      <c r="Z7" s="2886">
        <f t="shared" ref="Z7" si="33">Y7</f>
        <v>1.3734</v>
      </c>
      <c r="AA7" s="2886">
        <f>ROUND(SUMPRODUCT(PRODUCT(1+P7:P$33)),4)</f>
        <v>1.6955</v>
      </c>
      <c r="AB7" s="2886">
        <f>ROUND(SUMPRODUCT(PRODUCT(1+Q7:Q$33)),4)</f>
        <v>1.4078999999999999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2961</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ROUND(SUMPRODUCT(PRODUCT(1+N8:N$33)),4)</f>
        <v>1.6117999999999999</v>
      </c>
      <c r="Y8" s="2886">
        <f>ROUND(SUMPRODUCT(PRODUCT(1+O8:O$33)),4)</f>
        <v>1.3788</v>
      </c>
      <c r="Z8" s="2886">
        <f t="shared" ref="Z8" si="44">Y8</f>
        <v>1.3788</v>
      </c>
      <c r="AA8" s="2886">
        <f>ROUND(SUMPRODUCT(PRODUCT(1+P8:P$33)),4)</f>
        <v>1.6872</v>
      </c>
      <c r="AB8" s="2886">
        <f>ROUND(SUMPRODUCT(PRODUCT(1+Q8:Q$33)),4)</f>
        <v>1.4069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2959</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ROUND(SUMPRODUCT(PRODUCT(1+N9:N$33)),4)</f>
        <v>1.6068</v>
      </c>
      <c r="Y9" s="2886">
        <f>ROUND(SUMPRODUCT(PRODUCT(1+O9:O$33)),4)</f>
        <v>1.3895999999999999</v>
      </c>
      <c r="Z9" s="2886">
        <f t="shared" ref="Z9:Z32" si="55">Y9</f>
        <v>1.3895999999999999</v>
      </c>
      <c r="AA9" s="2886">
        <f>ROUND(SUMPRODUCT(PRODUCT(1+P9:P$33)),4)</f>
        <v>1.6788000000000001</v>
      </c>
      <c r="AB9" s="2886">
        <f>ROUND(SUMPRODUCT(PRODUCT(1+Q9:Q$33)),4)</f>
        <v>1.4004000000000001</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2956</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ROUND(SUMPRODUCT(PRODUCT(1+N10:N$33)),4)</f>
        <v>1.6049</v>
      </c>
      <c r="Y10" s="2886">
        <f>ROUND(SUMPRODUCT(PRODUCT(1+O10:O$33)),4)</f>
        <v>1.3952</v>
      </c>
      <c r="Z10" s="2886">
        <f t="shared" si="55"/>
        <v>1.3952</v>
      </c>
      <c r="AA10" s="2886">
        <f>ROUND(SUMPRODUCT(PRODUCT(1+P10:P$33)),4)</f>
        <v>1.6753</v>
      </c>
      <c r="AB10" s="2886">
        <f>ROUND(SUMPRODUCT(PRODUCT(1+Q10:Q$33)),4)</f>
        <v>1.3966000000000001</v>
      </c>
      <c r="AC10" s="2886"/>
      <c r="AD10" s="2887">
        <f>ROUND(AVERAGE(I10:I$33)/100,4)</f>
        <v>0.02</v>
      </c>
      <c r="AE10" s="2887">
        <f>ROUND(AVERAGE(J10:J$33)/100,4)</f>
        <v>1.4E-2</v>
      </c>
      <c r="AF10" s="2887">
        <f t="shared" ref="AF10" si="66">AE10</f>
        <v>1.4E-2</v>
      </c>
      <c r="AG10" s="2887">
        <f>ROUND(AVERAGE(K10:K$33)/100,4)</f>
        <v>2.1899999999999999E-2</v>
      </c>
      <c r="AH10" s="2887">
        <f>ROUND(AVERAGE(L10:L$33)/100,4)</f>
        <v>1.4E-2</v>
      </c>
    </row>
    <row r="11" spans="1:34" s="2905" customFormat="1" ht="13.5" thickBot="1">
      <c r="A11" s="2898" t="s">
        <v>2955</v>
      </c>
      <c r="B11" s="2899">
        <f t="shared" ref="B11" si="67">B12*(1+N11)</f>
        <v>477.19997390765138</v>
      </c>
      <c r="C11" s="2899">
        <f t="shared" ref="C11" si="68">C12*(1+O11)</f>
        <v>351.84874729536665</v>
      </c>
      <c r="D11" s="2899">
        <f t="shared" ref="D11" si="69">C11</f>
        <v>351.84874729536665</v>
      </c>
      <c r="E11" s="2899">
        <f t="shared" ref="E11" si="70">E12*(1+P11)</f>
        <v>682.29768951465201</v>
      </c>
      <c r="F11" s="2899">
        <f t="shared" ref="F11" si="71">F12*(1+Q11)</f>
        <v>315.26985675409043</v>
      </c>
      <c r="G11" s="2882">
        <v>2019</v>
      </c>
      <c r="H11" s="2900">
        <v>3</v>
      </c>
      <c r="I11" s="2900">
        <v>0.61</v>
      </c>
      <c r="J11" s="2900">
        <v>0.67</v>
      </c>
      <c r="K11" s="2900">
        <v>0.6</v>
      </c>
      <c r="L11" s="2906">
        <v>1.03</v>
      </c>
      <c r="M11" s="2886"/>
      <c r="N11" s="2901">
        <f t="shared" ref="N11" si="72">I11/100</f>
        <v>6.0999999999999995E-3</v>
      </c>
      <c r="O11" s="2887">
        <f t="shared" ref="O11" si="73">J11/100</f>
        <v>6.7000000000000002E-3</v>
      </c>
      <c r="P11" s="2887">
        <f t="shared" ref="P11" si="74">K11/100</f>
        <v>6.0000000000000001E-3</v>
      </c>
      <c r="Q11" s="2887">
        <f t="shared" ref="Q11" si="75">L11/100</f>
        <v>1.03E-2</v>
      </c>
      <c r="R11" s="2902"/>
      <c r="S11" s="2903"/>
      <c r="T11" s="2904"/>
      <c r="U11" s="2904"/>
      <c r="V11" s="2904"/>
      <c r="W11" s="2886"/>
      <c r="X11" s="2886">
        <f>ROUND(SUMPRODUCT(PRODUCT(1+N11:N$33)),4)</f>
        <v>1.5976999999999999</v>
      </c>
      <c r="Y11" s="2886">
        <f>ROUND(SUMPRODUCT(PRODUCT(1+O11:O$33)),4)</f>
        <v>1.3969</v>
      </c>
      <c r="Z11" s="2886">
        <f t="shared" si="55"/>
        <v>1.3969</v>
      </c>
      <c r="AA11" s="2886">
        <f>ROUND(SUMPRODUCT(PRODUCT(1+P11:P$33)),4)</f>
        <v>1.6662999999999999</v>
      </c>
      <c r="AB11" s="2886">
        <f>ROUND(SUMPRODUCT(PRODUCT(1+Q11:Q$33)),4)</f>
        <v>1.3898999999999999</v>
      </c>
      <c r="AC11" s="2886"/>
      <c r="AD11" s="2887">
        <f>ROUND(AVERAGE(I11:I$33)/100,4)</f>
        <v>2.07E-2</v>
      </c>
      <c r="AE11" s="2887">
        <f>ROUND(AVERAGE(J11:J$33)/100,4)</f>
        <v>1.47E-2</v>
      </c>
      <c r="AF11" s="2887">
        <f t="shared" ref="AF11" si="76">AE11</f>
        <v>1.47E-2</v>
      </c>
      <c r="AG11" s="2887">
        <f>ROUND(AVERAGE(K11:K$33)/100,4)</f>
        <v>2.2599999999999999E-2</v>
      </c>
      <c r="AH11" s="2887">
        <f>ROUND(AVERAGE(L11:L$33)/100,4)</f>
        <v>1.44E-2</v>
      </c>
    </row>
    <row r="12" spans="1:34" s="2905" customFormat="1">
      <c r="A12" s="2898" t="s">
        <v>2954</v>
      </c>
      <c r="B12" s="2899">
        <f t="shared" ref="B12:B17" si="77">B13*(1+N12)</f>
        <v>474.30670301923408</v>
      </c>
      <c r="C12" s="2899">
        <f t="shared" ref="C12" si="78">C13*(1+O12)</f>
        <v>349.50705005996491</v>
      </c>
      <c r="D12" s="2899">
        <f t="shared" ref="D12" si="79">C12</f>
        <v>349.50705005996491</v>
      </c>
      <c r="E12" s="2899">
        <f t="shared" ref="E12" si="80">E13*(1+P12)</f>
        <v>678.22831959706957</v>
      </c>
      <c r="F12" s="2899">
        <f t="shared" ref="F12" si="81">F13*(1+Q12)</f>
        <v>312.0556832169558</v>
      </c>
      <c r="G12" s="2882">
        <v>2019</v>
      </c>
      <c r="H12" s="2907">
        <v>2</v>
      </c>
      <c r="I12" s="2907">
        <v>1.53</v>
      </c>
      <c r="J12" s="2907">
        <v>1.01</v>
      </c>
      <c r="K12" s="2907">
        <v>1.62</v>
      </c>
      <c r="L12" s="2908">
        <v>1.25</v>
      </c>
      <c r="M12" s="2886"/>
      <c r="N12" s="2901">
        <f t="shared" ref="N12" si="82">I12/100</f>
        <v>1.5300000000000001E-2</v>
      </c>
      <c r="O12" s="2887">
        <f t="shared" ref="O12" si="83">J12/100</f>
        <v>1.01E-2</v>
      </c>
      <c r="P12" s="2887">
        <f t="shared" ref="P12" si="84">K12/100</f>
        <v>1.6200000000000003E-2</v>
      </c>
      <c r="Q12" s="2887">
        <f t="shared" ref="Q12" si="85">L12/100</f>
        <v>1.2500000000000001E-2</v>
      </c>
      <c r="R12" s="2902"/>
      <c r="S12" s="2903"/>
      <c r="T12" s="2904"/>
      <c r="U12" s="2904"/>
      <c r="V12" s="2904"/>
      <c r="W12" s="2886"/>
      <c r="X12" s="2886">
        <f>ROUND(SUMPRODUCT(PRODUCT(1+N12:N$33)),4)</f>
        <v>1.5880000000000001</v>
      </c>
      <c r="Y12" s="2886">
        <f>ROUND(SUMPRODUCT(PRODUCT(1+O12:O$33)),4)</f>
        <v>1.3875999999999999</v>
      </c>
      <c r="Z12" s="2886">
        <f t="shared" si="55"/>
        <v>1.3875999999999999</v>
      </c>
      <c r="AA12" s="2886">
        <f>ROUND(SUMPRODUCT(PRODUCT(1+P12:P$33)),4)</f>
        <v>1.6563000000000001</v>
      </c>
      <c r="AB12" s="2886">
        <f>ROUND(SUMPRODUCT(PRODUCT(1+Q12:Q$33)),4)</f>
        <v>1.3756999999999999</v>
      </c>
      <c r="AC12" s="2886"/>
      <c r="AD12" s="2887">
        <f>ROUND(AVERAGE(I12:I$33)/100,4)</f>
        <v>2.1299999999999999E-2</v>
      </c>
      <c r="AE12" s="2887">
        <f>ROUND(AVERAGE(J12:J$33)/100,4)</f>
        <v>1.4999999999999999E-2</v>
      </c>
      <c r="AF12" s="2887">
        <f t="shared" ref="AF12" si="86">AE12</f>
        <v>1.4999999999999999E-2</v>
      </c>
      <c r="AG12" s="2887">
        <f>ROUND(AVERAGE(K12:K$33)/100,4)</f>
        <v>2.3300000000000001E-2</v>
      </c>
      <c r="AH12" s="2887">
        <f>ROUND(AVERAGE(L12:L$33)/100,4)</f>
        <v>1.46E-2</v>
      </c>
    </row>
    <row r="13" spans="1:34" s="2905" customFormat="1" ht="13.5" thickBot="1">
      <c r="A13" s="2898" t="s">
        <v>2953</v>
      </c>
      <c r="B13" s="2899">
        <f t="shared" si="77"/>
        <v>467.15916775261894</v>
      </c>
      <c r="C13" s="2899">
        <f t="shared" ref="C13" si="87">C14*(1+O13)</f>
        <v>346.01232557169084</v>
      </c>
      <c r="D13" s="2899">
        <f t="shared" ref="D13" si="88">C13</f>
        <v>346.01232557169084</v>
      </c>
      <c r="E13" s="2899">
        <f t="shared" ref="E13" si="89">E14*(1+P13)</f>
        <v>667.41617752122568</v>
      </c>
      <c r="F13" s="2899">
        <f t="shared" ref="F13" si="90">F14*(1+Q13)</f>
        <v>308.20314391798104</v>
      </c>
      <c r="G13" s="2882">
        <v>2019</v>
      </c>
      <c r="H13" s="2900">
        <v>1</v>
      </c>
      <c r="I13" s="2900">
        <v>0.6</v>
      </c>
      <c r="J13" s="2900">
        <v>0.37</v>
      </c>
      <c r="K13" s="2900">
        <v>0.63</v>
      </c>
      <c r="L13" s="2906">
        <v>1.1299999999999999</v>
      </c>
      <c r="M13" s="2886"/>
      <c r="N13" s="2901">
        <f t="shared" ref="N13" si="91">I13/100</f>
        <v>6.0000000000000001E-3</v>
      </c>
      <c r="O13" s="2887">
        <f t="shared" ref="O13" si="92">J13/100</f>
        <v>3.7000000000000002E-3</v>
      </c>
      <c r="P13" s="2887">
        <f t="shared" ref="P13" si="93">K13/100</f>
        <v>6.3E-3</v>
      </c>
      <c r="Q13" s="2887">
        <f t="shared" ref="Q13" si="94">L13/100</f>
        <v>1.1299999999999999E-2</v>
      </c>
      <c r="R13" s="2902"/>
      <c r="S13" s="2903">
        <f>B13/B14-1</f>
        <v>6.0000000000000053E-3</v>
      </c>
      <c r="T13" s="2904">
        <f>C13/C14-1</f>
        <v>3.7000000000000366E-3</v>
      </c>
      <c r="U13" s="2904">
        <f>E13/E14-1</f>
        <v>6.2999999999999723E-3</v>
      </c>
      <c r="V13" s="2904">
        <f>F13/F14-1</f>
        <v>1.1300000000000088E-2</v>
      </c>
      <c r="W13" s="2886"/>
      <c r="X13" s="2886">
        <f>ROUND(SUMPRODUCT(PRODUCT(1+N13:N$33)),4)</f>
        <v>1.5641</v>
      </c>
      <c r="Y13" s="2886">
        <f>ROUND(SUMPRODUCT(PRODUCT(1+O13:O$33)),4)</f>
        <v>1.3736999999999999</v>
      </c>
      <c r="Z13" s="2886">
        <f t="shared" si="55"/>
        <v>1.3736999999999999</v>
      </c>
      <c r="AA13" s="2886">
        <f>ROUND(SUMPRODUCT(PRODUCT(1+P13:P$33)),4)</f>
        <v>1.6298999999999999</v>
      </c>
      <c r="AB13" s="2886">
        <f>ROUND(SUMPRODUCT(PRODUCT(1+Q13:Q$33)),4)</f>
        <v>1.3588</v>
      </c>
      <c r="AC13" s="2886"/>
      <c r="AD13" s="2887">
        <f>ROUND(AVERAGE(I13:I$33)/100,4)</f>
        <v>2.1600000000000001E-2</v>
      </c>
      <c r="AE13" s="2887">
        <f>ROUND(AVERAGE(J13:J$33)/100,4)</f>
        <v>1.5299999999999999E-2</v>
      </c>
      <c r="AF13" s="2887">
        <f t="shared" ref="AF13" si="95">AE13</f>
        <v>1.5299999999999999E-2</v>
      </c>
      <c r="AG13" s="2887">
        <f>ROUND(AVERAGE(K13:K$33)/100,4)</f>
        <v>2.3699999999999999E-2</v>
      </c>
      <c r="AH13" s="2887">
        <f>ROUND(AVERAGE(L13:L$33)/100,4)</f>
        <v>1.47E-2</v>
      </c>
    </row>
    <row r="14" spans="1:34" s="2905" customFormat="1">
      <c r="A14" s="2898" t="s">
        <v>2951</v>
      </c>
      <c r="B14" s="2909">
        <f t="shared" si="77"/>
        <v>464.37293017158942</v>
      </c>
      <c r="C14" s="2909">
        <f t="shared" ref="C14" si="96">C15*(1+O14)</f>
        <v>344.73679941385956</v>
      </c>
      <c r="D14" s="2909">
        <f t="shared" ref="D14" si="97">C14</f>
        <v>344.73679941385956</v>
      </c>
      <c r="E14" s="2909">
        <f t="shared" ref="E14" si="98">E15*(1+P14)</f>
        <v>663.2377795103107</v>
      </c>
      <c r="F14" s="2910">
        <f t="shared" ref="F14" si="99">F15*(1+Q14)</f>
        <v>304.75936311478398</v>
      </c>
      <c r="G14" s="3609">
        <v>2018</v>
      </c>
      <c r="H14" s="2907">
        <v>4</v>
      </c>
      <c r="I14" s="2907">
        <v>0.96</v>
      </c>
      <c r="J14" s="2907">
        <v>1.03</v>
      </c>
      <c r="K14" s="2907">
        <v>0.92</v>
      </c>
      <c r="L14" s="2908">
        <v>1.29</v>
      </c>
      <c r="M14" s="2886"/>
      <c r="N14" s="2901">
        <f t="shared" ref="N14" si="100">I14/100</f>
        <v>9.5999999999999992E-3</v>
      </c>
      <c r="O14" s="2887">
        <f t="shared" ref="O14" si="101">J14/100</f>
        <v>1.03E-2</v>
      </c>
      <c r="P14" s="2887">
        <f t="shared" ref="P14" si="102">K14/100</f>
        <v>9.1999999999999998E-3</v>
      </c>
      <c r="Q14" s="2887">
        <f t="shared" ref="Q14" si="103">L14/100</f>
        <v>1.29E-2</v>
      </c>
      <c r="R14" s="2902"/>
      <c r="S14" s="2911"/>
      <c r="T14" s="2912"/>
      <c r="U14" s="2912"/>
      <c r="V14" s="2912"/>
      <c r="W14" s="2886"/>
      <c r="X14" s="2886">
        <f>ROUND(SUMPRODUCT(PRODUCT(1+N14:N$33)),4)</f>
        <v>1.5548</v>
      </c>
      <c r="Y14" s="2886">
        <f>ROUND(SUMPRODUCT(PRODUCT(1+O14:O$33)),4)</f>
        <v>1.3686</v>
      </c>
      <c r="Z14" s="2886">
        <f t="shared" si="55"/>
        <v>1.3686</v>
      </c>
      <c r="AA14" s="2886">
        <f>ROUND(SUMPRODUCT(PRODUCT(1+P14:P$33)),4)</f>
        <v>1.6196999999999999</v>
      </c>
      <c r="AB14" s="2886">
        <f>ROUND(SUMPRODUCT(PRODUCT(1+Q14:Q$33)),4)</f>
        <v>1.3435999999999999</v>
      </c>
      <c r="AC14" s="2886"/>
      <c r="AD14" s="2887">
        <f>ROUND(AVERAGE(I14:I$33)/100,4)</f>
        <v>2.24E-2</v>
      </c>
      <c r="AE14" s="2887">
        <f>ROUND(AVERAGE(J14:J$33)/100,4)</f>
        <v>1.5800000000000002E-2</v>
      </c>
      <c r="AF14" s="2887">
        <f t="shared" ref="AF14" si="104">AE14</f>
        <v>1.5800000000000002E-2</v>
      </c>
      <c r="AG14" s="2887">
        <f>ROUND(AVERAGE(K14:K$33)/100,4)</f>
        <v>2.4500000000000001E-2</v>
      </c>
      <c r="AH14" s="2887">
        <f>ROUND(AVERAGE(L14:L$33)/100,4)</f>
        <v>1.49E-2</v>
      </c>
    </row>
    <row r="15" spans="1:34" s="2905" customFormat="1" ht="14.45" customHeight="1">
      <c r="A15" s="2898" t="s">
        <v>2944</v>
      </c>
      <c r="B15" s="2899">
        <f t="shared" si="77"/>
        <v>459.95733971036987</v>
      </c>
      <c r="C15" s="2899">
        <f t="shared" ref="C15" si="105">C16*(1+O15)</f>
        <v>341.22221064422405</v>
      </c>
      <c r="D15" s="2899">
        <f t="shared" ref="D15" si="106">C15</f>
        <v>341.22221064422405</v>
      </c>
      <c r="E15" s="2899">
        <f t="shared" ref="E15" si="107">E16*(1+P15)</f>
        <v>657.19161663724799</v>
      </c>
      <c r="F15" s="2899">
        <f t="shared" ref="F15" si="108">F16*(1+Q15)</f>
        <v>300.87803644464805</v>
      </c>
      <c r="G15" s="3609"/>
      <c r="H15" s="2900">
        <v>3</v>
      </c>
      <c r="I15" s="2900">
        <v>1.51</v>
      </c>
      <c r="J15" s="2900">
        <v>1.41</v>
      </c>
      <c r="K15" s="2900">
        <v>1.52</v>
      </c>
      <c r="L15" s="2906">
        <v>1.74</v>
      </c>
      <c r="M15" s="2886"/>
      <c r="N15" s="2901">
        <f t="shared" ref="N15" si="109">I15/100</f>
        <v>1.5100000000000001E-2</v>
      </c>
      <c r="O15" s="2887">
        <f t="shared" ref="O15" si="110">J15/100</f>
        <v>1.41E-2</v>
      </c>
      <c r="P15" s="2887">
        <f t="shared" ref="P15" si="111">K15/100</f>
        <v>1.52E-2</v>
      </c>
      <c r="Q15" s="2887">
        <f t="shared" ref="Q15" si="112">L15/100</f>
        <v>1.7399999999999999E-2</v>
      </c>
      <c r="R15" s="2902"/>
      <c r="S15" s="2901"/>
      <c r="T15" s="2887"/>
      <c r="U15" s="2887"/>
      <c r="V15" s="2887"/>
      <c r="W15" s="2886"/>
      <c r="X15" s="2886">
        <f>ROUND(SUMPRODUCT(PRODUCT(1+N15:N$33)),4)</f>
        <v>1.54</v>
      </c>
      <c r="Y15" s="2886">
        <f>ROUND(SUMPRODUCT(PRODUCT(1+O15:O$33)),4)</f>
        <v>1.3547</v>
      </c>
      <c r="Z15" s="2886">
        <f t="shared" si="55"/>
        <v>1.3547</v>
      </c>
      <c r="AA15" s="2886">
        <f>ROUND(SUMPRODUCT(PRODUCT(1+P15:P$33)),4)</f>
        <v>1.605</v>
      </c>
      <c r="AB15" s="2886">
        <f>ROUND(SUMPRODUCT(PRODUCT(1+Q15:Q$33)),4)</f>
        <v>1.3265</v>
      </c>
      <c r="AC15" s="2886"/>
      <c r="AD15" s="2887">
        <f>ROUND(AVERAGE(I15:I$33)/100,4)</f>
        <v>2.3099999999999999E-2</v>
      </c>
      <c r="AE15" s="2887">
        <f>ROUND(AVERAGE(J15:J$33)/100,4)</f>
        <v>1.61E-2</v>
      </c>
      <c r="AF15" s="2887">
        <f t="shared" ref="AF15" si="113">AE15</f>
        <v>1.61E-2</v>
      </c>
      <c r="AG15" s="2887">
        <f>ROUND(AVERAGE(K15:K$33)/100,4)</f>
        <v>2.53E-2</v>
      </c>
      <c r="AH15" s="2887">
        <f>ROUND(AVERAGE(L15:L$33)/100,4)</f>
        <v>1.4999999999999999E-2</v>
      </c>
    </row>
    <row r="16" spans="1:34" s="2905" customFormat="1" ht="14.45" customHeight="1">
      <c r="A16" s="2898" t="s">
        <v>2945</v>
      </c>
      <c r="B16" s="2899">
        <f t="shared" si="77"/>
        <v>453.11529869999993</v>
      </c>
      <c r="C16" s="2899">
        <f t="shared" ref="C16" si="114">C17*(1+O16)</f>
        <v>336.47787264000004</v>
      </c>
      <c r="D16" s="2899">
        <f t="shared" ref="D16" si="115">C16</f>
        <v>336.47787264000004</v>
      </c>
      <c r="E16" s="2899">
        <f t="shared" ref="E16" si="116">E17*(1+P16)</f>
        <v>647.35186823999993</v>
      </c>
      <c r="F16" s="2899">
        <f t="shared" ref="F16" si="117">F17*(1+Q16)</f>
        <v>295.73229452000004</v>
      </c>
      <c r="G16" s="3609"/>
      <c r="H16" s="2913">
        <v>2</v>
      </c>
      <c r="I16" s="2913">
        <v>1.49</v>
      </c>
      <c r="J16" s="2913">
        <v>0.96</v>
      </c>
      <c r="K16" s="2913">
        <v>1.58</v>
      </c>
      <c r="L16" s="3308">
        <v>2.44</v>
      </c>
      <c r="M16" s="2886"/>
      <c r="N16" s="2901">
        <f t="shared" ref="N16" si="118">I16/100</f>
        <v>1.49E-2</v>
      </c>
      <c r="O16" s="2887">
        <f t="shared" ref="O16" si="119">J16/100</f>
        <v>9.5999999999999992E-3</v>
      </c>
      <c r="P16" s="2887">
        <f t="shared" ref="P16" si="120">K16/100</f>
        <v>1.5800000000000002E-2</v>
      </c>
      <c r="Q16" s="2887">
        <f t="shared" ref="Q16" si="121">L16/100</f>
        <v>2.4399999999999998E-2</v>
      </c>
      <c r="R16" s="2902"/>
      <c r="S16" s="2901"/>
      <c r="T16" s="2887"/>
      <c r="U16" s="2887"/>
      <c r="V16" s="2887"/>
      <c r="W16" s="2886"/>
      <c r="X16" s="2886">
        <f>ROUND(SUMPRODUCT(PRODUCT(1+N16:N$33)),4)</f>
        <v>1.5170999999999999</v>
      </c>
      <c r="Y16" s="2886">
        <f>ROUND(SUMPRODUCT(PRODUCT(1+O16:O$33)),4)</f>
        <v>1.3358000000000001</v>
      </c>
      <c r="Z16" s="2886">
        <f t="shared" si="55"/>
        <v>1.3358000000000001</v>
      </c>
      <c r="AA16" s="2886">
        <f>ROUND(SUMPRODUCT(PRODUCT(1+P16:P$33)),4)</f>
        <v>1.5809</v>
      </c>
      <c r="AB16" s="2886">
        <f>ROUND(SUMPRODUCT(PRODUCT(1+Q16:Q$33)),4)</f>
        <v>1.3038000000000001</v>
      </c>
      <c r="AC16" s="2886"/>
      <c r="AD16" s="2887">
        <f>ROUND(AVERAGE(I16:I$33)/100,4)</f>
        <v>2.35E-2</v>
      </c>
      <c r="AE16" s="2887">
        <f>ROUND(AVERAGE(J16:J$33)/100,4)</f>
        <v>1.6199999999999999E-2</v>
      </c>
      <c r="AF16" s="2887">
        <f t="shared" ref="AF16" si="122">AE16</f>
        <v>1.6199999999999999E-2</v>
      </c>
      <c r="AG16" s="2887">
        <f>ROUND(AVERAGE(K16:K$33)/100,4)</f>
        <v>2.5899999999999999E-2</v>
      </c>
      <c r="AH16" s="2887">
        <f>ROUND(AVERAGE(L16:L$33)/100,4)</f>
        <v>1.49E-2</v>
      </c>
    </row>
    <row r="17" spans="1:34" s="2905" customFormat="1" ht="15" customHeight="1" thickBot="1">
      <c r="A17" s="2898" t="s">
        <v>2941</v>
      </c>
      <c r="B17" s="2899">
        <f t="shared" si="77"/>
        <v>446.46299999999997</v>
      </c>
      <c r="C17" s="2899">
        <f t="shared" ref="C17" si="123">C18*(1+O17)</f>
        <v>333.27840000000003</v>
      </c>
      <c r="D17" s="2899">
        <f t="shared" ref="D17:D22" si="124">C17</f>
        <v>333.27840000000003</v>
      </c>
      <c r="E17" s="2899">
        <f t="shared" ref="E17" si="125">E18*(1+P17)</f>
        <v>637.28279999999995</v>
      </c>
      <c r="F17" s="2899">
        <f t="shared" ref="F17" si="126">F18*(1+Q17)</f>
        <v>288.68830000000003</v>
      </c>
      <c r="G17" s="3615"/>
      <c r="H17" s="2900">
        <v>1</v>
      </c>
      <c r="I17" s="2900">
        <v>1.7</v>
      </c>
      <c r="J17" s="2900">
        <v>1.92</v>
      </c>
      <c r="K17" s="2900">
        <v>1.64</v>
      </c>
      <c r="L17" s="2906">
        <v>2.0099999999999998</v>
      </c>
      <c r="M17" s="2886"/>
      <c r="N17" s="2901">
        <f t="shared" ref="N17:N22" si="127">I17/100</f>
        <v>1.7000000000000001E-2</v>
      </c>
      <c r="O17" s="2887">
        <f t="shared" ref="O17" si="128">J17/100</f>
        <v>1.9199999999999998E-2</v>
      </c>
      <c r="P17" s="2887">
        <f t="shared" ref="P17" si="129">K17/100</f>
        <v>1.6399999999999998E-2</v>
      </c>
      <c r="Q17" s="2887">
        <f t="shared" ref="Q17" si="130">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ROUND(SUMPRODUCT(PRODUCT(1+N17:N$33)),4)</f>
        <v>1.4947999999999999</v>
      </c>
      <c r="Y17" s="2886">
        <f>ROUND(SUMPRODUCT(PRODUCT(1+O17:O$33)),4)</f>
        <v>1.3230999999999999</v>
      </c>
      <c r="Z17" s="2886">
        <f t="shared" si="55"/>
        <v>1.3230999999999999</v>
      </c>
      <c r="AA17" s="2886">
        <f>ROUND(SUMPRODUCT(PRODUCT(1+P17:P$33)),4)</f>
        <v>1.5564</v>
      </c>
      <c r="AB17" s="2886">
        <f>ROUND(SUMPRODUCT(PRODUCT(1+Q17:Q$33)),4)</f>
        <v>1.2726999999999999</v>
      </c>
      <c r="AC17" s="2886"/>
      <c r="AD17" s="2887">
        <f>ROUND(AVERAGE(I17:I$33)/100,4)</f>
        <v>2.4E-2</v>
      </c>
      <c r="AE17" s="2887">
        <f>ROUND(AVERAGE(J17:J$33)/100,4)</f>
        <v>1.66E-2</v>
      </c>
      <c r="AF17" s="2887">
        <f t="shared" ref="AF17" si="131">AE17</f>
        <v>1.66E-2</v>
      </c>
      <c r="AG17" s="2887">
        <f>ROUND(AVERAGE(K17:K$33)/100,4)</f>
        <v>2.6499999999999999E-2</v>
      </c>
      <c r="AH17" s="2887">
        <f>ROUND(AVERAGE(L17:L$33)/100,4)</f>
        <v>1.43E-2</v>
      </c>
    </row>
    <row r="18" spans="1:34">
      <c r="A18" s="2898" t="s">
        <v>2933</v>
      </c>
      <c r="B18" s="2915">
        <v>439</v>
      </c>
      <c r="C18" s="2915">
        <v>327</v>
      </c>
      <c r="D18" s="2915">
        <f t="shared" si="124"/>
        <v>327</v>
      </c>
      <c r="E18" s="2915">
        <v>627</v>
      </c>
      <c r="F18" s="2916">
        <v>283</v>
      </c>
      <c r="G18" s="3614">
        <v>2017</v>
      </c>
      <c r="H18" s="2907">
        <v>4</v>
      </c>
      <c r="I18" s="2907">
        <v>1.71</v>
      </c>
      <c r="J18" s="2907">
        <v>1.78</v>
      </c>
      <c r="K18" s="2907">
        <v>1.71</v>
      </c>
      <c r="L18" s="2908">
        <v>1.43</v>
      </c>
      <c r="N18" s="2917">
        <f t="shared" si="127"/>
        <v>1.7100000000000001E-2</v>
      </c>
      <c r="O18" s="2918">
        <f t="shared" ref="O18" si="132">J18/100</f>
        <v>1.78E-2</v>
      </c>
      <c r="P18" s="2918">
        <f t="shared" ref="P18" si="133">K18/100</f>
        <v>1.7100000000000001E-2</v>
      </c>
      <c r="Q18" s="2918">
        <f t="shared" ref="Q18" si="134">L18/100</f>
        <v>1.43E-2</v>
      </c>
      <c r="R18" s="2902"/>
      <c r="S18" s="2911"/>
      <c r="T18" s="2912"/>
      <c r="U18" s="2912"/>
      <c r="V18" s="2912"/>
      <c r="X18" s="2886">
        <f>ROUND(SUMPRODUCT(PRODUCT(1+N18:N$33)),4)</f>
        <v>1.4698</v>
      </c>
      <c r="Y18" s="2886">
        <f>ROUND(SUMPRODUCT(PRODUCT(1+O18:O$33)),4)</f>
        <v>1.2982</v>
      </c>
      <c r="Z18" s="2886">
        <f t="shared" si="55"/>
        <v>1.2982</v>
      </c>
      <c r="AA18" s="2886">
        <f>ROUND(SUMPRODUCT(PRODUCT(1+P18:P$33)),4)</f>
        <v>1.5311999999999999</v>
      </c>
      <c r="AB18" s="2886">
        <f>ROUND(SUMPRODUCT(PRODUCT(1+Q18:Q$33)),4)</f>
        <v>1.2476</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2936</v>
      </c>
      <c r="B19" s="2899">
        <f t="shared" ref="B19:C21" si="135">B20*(1+N19)</f>
        <v>431.80730811680002</v>
      </c>
      <c r="C19" s="2899">
        <f t="shared" si="135"/>
        <v>320.57880516480003</v>
      </c>
      <c r="D19" s="2899">
        <f t="shared" si="124"/>
        <v>320.57880516480003</v>
      </c>
      <c r="E19" s="2899">
        <f t="shared" ref="E19:F21" si="136">E20*(1+P19)</f>
        <v>615.96110553196797</v>
      </c>
      <c r="F19" s="2899">
        <f t="shared" si="136"/>
        <v>279.46777300108801</v>
      </c>
      <c r="G19" s="3609"/>
      <c r="H19" s="2900">
        <v>3</v>
      </c>
      <c r="I19" s="2900">
        <v>2.98</v>
      </c>
      <c r="J19" s="2900">
        <v>2.11</v>
      </c>
      <c r="K19" s="2900">
        <v>3.24</v>
      </c>
      <c r="L19" s="2906">
        <v>1.72</v>
      </c>
      <c r="M19" s="2886"/>
      <c r="N19" s="2901">
        <f t="shared" si="127"/>
        <v>2.98E-2</v>
      </c>
      <c r="O19" s="2919">
        <f t="shared" ref="O19:O20" si="137">J19/100</f>
        <v>2.1099999999999997E-2</v>
      </c>
      <c r="P19" s="2919">
        <f t="shared" ref="P19:P20" si="138">K19/100</f>
        <v>3.2400000000000005E-2</v>
      </c>
      <c r="Q19" s="2919">
        <f t="shared" ref="Q19:Q20" si="139">L19/100</f>
        <v>1.72E-2</v>
      </c>
      <c r="R19" s="2902"/>
      <c r="S19" s="2901"/>
      <c r="T19" s="2887"/>
      <c r="U19" s="2887"/>
      <c r="V19" s="2887"/>
      <c r="W19" s="2886"/>
      <c r="X19" s="2886">
        <f>ROUND(SUMPRODUCT(PRODUCT(1+N19:N$33)),4)</f>
        <v>1.4451000000000001</v>
      </c>
      <c r="Y19" s="2886">
        <f>ROUND(SUMPRODUCT(PRODUCT(1+O19:O$33)),4)</f>
        <v>1.2755000000000001</v>
      </c>
      <c r="Z19" s="2886">
        <f t="shared" si="55"/>
        <v>1.2755000000000001</v>
      </c>
      <c r="AA19" s="2886">
        <f>ROUND(SUMPRODUCT(PRODUCT(1+P19:P$33)),4)</f>
        <v>1.5055000000000001</v>
      </c>
      <c r="AB19" s="2886">
        <f>ROUND(SUMPRODUCT(PRODUCT(1+Q19:Q$33)),4)</f>
        <v>1.2301</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2562</v>
      </c>
      <c r="B20" s="2899">
        <f t="shared" si="135"/>
        <v>419.31181600000002</v>
      </c>
      <c r="C20" s="2899">
        <f t="shared" si="135"/>
        <v>313.95436800000004</v>
      </c>
      <c r="D20" s="2899">
        <f t="shared" si="124"/>
        <v>313.95436800000004</v>
      </c>
      <c r="E20" s="2899">
        <f t="shared" si="136"/>
        <v>596.63028431999999</v>
      </c>
      <c r="F20" s="2899">
        <f t="shared" si="136"/>
        <v>274.74220703999998</v>
      </c>
      <c r="G20" s="3609"/>
      <c r="H20" s="2913">
        <v>2</v>
      </c>
      <c r="I20" s="2913">
        <v>3.4</v>
      </c>
      <c r="J20" s="2913">
        <v>2</v>
      </c>
      <c r="K20" s="2913">
        <v>3.82</v>
      </c>
      <c r="L20" s="2914">
        <v>1.68</v>
      </c>
      <c r="N20" s="2901">
        <f t="shared" si="127"/>
        <v>3.4000000000000002E-2</v>
      </c>
      <c r="O20" s="2919">
        <f t="shared" si="137"/>
        <v>0.02</v>
      </c>
      <c r="P20" s="2919">
        <f t="shared" si="138"/>
        <v>3.8199999999999998E-2</v>
      </c>
      <c r="Q20" s="2919">
        <f t="shared" si="139"/>
        <v>1.6799999999999999E-2</v>
      </c>
      <c r="S20" s="2901"/>
      <c r="T20" s="2887"/>
      <c r="U20" s="2887"/>
      <c r="V20" s="2887"/>
      <c r="X20" s="2886">
        <f>ROUND(SUMPRODUCT(PRODUCT(1+N20:N$33)),4)</f>
        <v>1.4033</v>
      </c>
      <c r="Y20" s="2886">
        <f>ROUND(SUMPRODUCT(PRODUCT(1+O20:O$33)),4)</f>
        <v>1.2491000000000001</v>
      </c>
      <c r="Z20" s="2886">
        <f t="shared" si="55"/>
        <v>1.2491000000000001</v>
      </c>
      <c r="AA20" s="2886">
        <f>ROUND(SUMPRODUCT(PRODUCT(1+P20:P$33)),4)</f>
        <v>1.4581999999999999</v>
      </c>
      <c r="AB20" s="2886">
        <f>ROUND(SUMPRODUCT(PRODUCT(1+Q20:Q$33)),4)</f>
        <v>1.2093</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2563</v>
      </c>
      <c r="B21" s="2899">
        <f t="shared" si="135"/>
        <v>405.524</v>
      </c>
      <c r="C21" s="2899">
        <f t="shared" si="135"/>
        <v>307.79840000000002</v>
      </c>
      <c r="D21" s="2899">
        <f t="shared" si="124"/>
        <v>307.79840000000002</v>
      </c>
      <c r="E21" s="2899">
        <f t="shared" si="136"/>
        <v>574.67759999999998</v>
      </c>
      <c r="F21" s="2899">
        <f t="shared" si="136"/>
        <v>270.20280000000002</v>
      </c>
      <c r="G21" s="3615"/>
      <c r="H21" s="2900">
        <v>1</v>
      </c>
      <c r="I21" s="2900">
        <v>3.45</v>
      </c>
      <c r="J21" s="2900">
        <v>1.92</v>
      </c>
      <c r="K21" s="2900">
        <v>3.92</v>
      </c>
      <c r="L21" s="2906">
        <v>1.58</v>
      </c>
      <c r="M21" s="2886"/>
      <c r="N21" s="2903">
        <f t="shared" si="127"/>
        <v>3.4500000000000003E-2</v>
      </c>
      <c r="O21" s="2904">
        <f t="shared" ref="O21" si="140">J21/100</f>
        <v>1.9199999999999998E-2</v>
      </c>
      <c r="P21" s="2904">
        <f t="shared" ref="P21" si="141">K21/100</f>
        <v>3.9199999999999999E-2</v>
      </c>
      <c r="Q21" s="2904">
        <f t="shared" ref="Q21" si="142">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ROUND(SUMPRODUCT(PRODUCT(1+N21:N$33)),4)</f>
        <v>1.3571</v>
      </c>
      <c r="Y21" s="2886">
        <f>ROUND(SUMPRODUCT(PRODUCT(1+O21:O$33)),4)</f>
        <v>1.2245999999999999</v>
      </c>
      <c r="Z21" s="2886">
        <f t="shared" si="55"/>
        <v>1.2245999999999999</v>
      </c>
      <c r="AA21" s="2886">
        <f>ROUND(SUMPRODUCT(PRODUCT(1+P21:P$33)),4)</f>
        <v>1.4046000000000001</v>
      </c>
      <c r="AB21" s="2886">
        <f>ROUND(SUMPRODUCT(PRODUCT(1+Q21:Q$33)),4)</f>
        <v>1.1893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961</v>
      </c>
      <c r="B22" s="2920">
        <v>392</v>
      </c>
      <c r="C22" s="2920">
        <v>302</v>
      </c>
      <c r="D22" s="2920">
        <f t="shared" si="124"/>
        <v>302</v>
      </c>
      <c r="E22" s="2920">
        <v>553</v>
      </c>
      <c r="F22" s="2921">
        <v>266</v>
      </c>
      <c r="G22" s="3614">
        <v>2016</v>
      </c>
      <c r="H22" s="2907">
        <v>4</v>
      </c>
      <c r="I22" s="2907">
        <v>4.5599999999999996</v>
      </c>
      <c r="J22" s="2907">
        <v>2.15</v>
      </c>
      <c r="K22" s="2907">
        <v>5.32</v>
      </c>
      <c r="L22" s="2908">
        <v>1.57</v>
      </c>
      <c r="N22" s="2901">
        <f t="shared" si="127"/>
        <v>4.5599999999999995E-2</v>
      </c>
      <c r="O22" s="2887">
        <f t="shared" ref="O22:Q37" si="143">J22/100</f>
        <v>2.1499999999999998E-2</v>
      </c>
      <c r="P22" s="2887">
        <f t="shared" si="143"/>
        <v>5.3200000000000004E-2</v>
      </c>
      <c r="Q22" s="2887">
        <f t="shared" si="143"/>
        <v>1.5700000000000002E-2</v>
      </c>
      <c r="R22" s="2902"/>
      <c r="S22" s="2911"/>
      <c r="T22" s="2912"/>
      <c r="U22" s="2912"/>
      <c r="V22" s="2912"/>
      <c r="X22" s="2886">
        <f>ROUND(SUMPRODUCT(PRODUCT(1+N22:N$33)),4)</f>
        <v>1.3119000000000001</v>
      </c>
      <c r="Y22" s="2886">
        <f>ROUND(SUMPRODUCT(PRODUCT(1+O22:O$33)),4)</f>
        <v>1.2016</v>
      </c>
      <c r="Z22" s="2886">
        <f t="shared" si="55"/>
        <v>1.2016</v>
      </c>
      <c r="AA22" s="2886">
        <f>ROUND(SUMPRODUCT(PRODUCT(1+P22:P$33)),4)</f>
        <v>1.3515999999999999</v>
      </c>
      <c r="AB22" s="2886">
        <f>ROUND(SUMPRODUCT(PRODUCT(1+Q22:Q$33)),4)</f>
        <v>1.1708000000000001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960</v>
      </c>
      <c r="B23" s="2899">
        <f t="shared" ref="B23:C25" si="144">B22/(1+N22)</f>
        <v>374.90436113236416</v>
      </c>
      <c r="C23" s="2899">
        <f t="shared" si="144"/>
        <v>295.64366128242779</v>
      </c>
      <c r="D23" s="2899">
        <f t="shared" ref="D23:D82" si="145">C23</f>
        <v>295.64366128242779</v>
      </c>
      <c r="E23" s="2899">
        <f t="shared" ref="E23:F25" si="146">E22/(1+P22)</f>
        <v>525.06646410938095</v>
      </c>
      <c r="F23" s="2899">
        <f t="shared" si="146"/>
        <v>261.88835286009646</v>
      </c>
      <c r="G23" s="3609"/>
      <c r="H23" s="2900">
        <v>3</v>
      </c>
      <c r="I23" s="2900">
        <v>4.12</v>
      </c>
      <c r="J23" s="2900">
        <v>2</v>
      </c>
      <c r="K23" s="2900">
        <v>4.79</v>
      </c>
      <c r="L23" s="2906">
        <v>1.97</v>
      </c>
      <c r="N23" s="2901">
        <f t="shared" ref="N23:Q57" si="147">I23/100</f>
        <v>4.1200000000000001E-2</v>
      </c>
      <c r="O23" s="2887">
        <f t="shared" si="143"/>
        <v>0.02</v>
      </c>
      <c r="P23" s="2887">
        <f t="shared" si="143"/>
        <v>4.7899999999999998E-2</v>
      </c>
      <c r="Q23" s="2887">
        <f t="shared" si="143"/>
        <v>1.9699999999999999E-2</v>
      </c>
      <c r="R23" s="2902"/>
      <c r="S23" s="2901"/>
      <c r="T23" s="2887"/>
      <c r="U23" s="2887"/>
      <c r="V23" s="2887"/>
      <c r="X23" s="2886">
        <f>ROUND(SUMPRODUCT(PRODUCT(1+N23:N$33)),4)</f>
        <v>1.2546999999999999</v>
      </c>
      <c r="Y23" s="2886">
        <f>ROUND(SUMPRODUCT(PRODUCT(1+O23:O$33)),4)</f>
        <v>1.1762999999999999</v>
      </c>
      <c r="Z23" s="2886">
        <f t="shared" si="55"/>
        <v>1.1762999999999999</v>
      </c>
      <c r="AA23" s="2886">
        <f>ROUND(SUMPRODUCT(PRODUCT(1+P23:P$33)),4)</f>
        <v>1.2833000000000001</v>
      </c>
      <c r="AB23" s="2886">
        <f>ROUND(SUMPRODUCT(PRODUCT(1+Q23:Q$33)),4)</f>
        <v>1.1527000000000001</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950</v>
      </c>
      <c r="B24" s="2899">
        <f t="shared" si="144"/>
        <v>360.06949782209392</v>
      </c>
      <c r="C24" s="2899">
        <f t="shared" si="144"/>
        <v>289.84672674747821</v>
      </c>
      <c r="D24" s="2899">
        <f t="shared" si="145"/>
        <v>289.84672674747821</v>
      </c>
      <c r="E24" s="2899">
        <f t="shared" si="146"/>
        <v>501.06543001181495</v>
      </c>
      <c r="F24" s="2899">
        <f t="shared" si="146"/>
        <v>256.82882500744967</v>
      </c>
      <c r="G24" s="3609"/>
      <c r="H24" s="2913">
        <v>2</v>
      </c>
      <c r="I24" s="2913">
        <v>3.85</v>
      </c>
      <c r="J24" s="2913">
        <v>1.95</v>
      </c>
      <c r="K24" s="2913">
        <v>4.4800000000000004</v>
      </c>
      <c r="L24" s="2914">
        <v>1.41</v>
      </c>
      <c r="N24" s="2901">
        <f t="shared" si="147"/>
        <v>3.85E-2</v>
      </c>
      <c r="O24" s="2887">
        <f t="shared" si="143"/>
        <v>1.95E-2</v>
      </c>
      <c r="P24" s="2887">
        <f t="shared" si="143"/>
        <v>4.4800000000000006E-2</v>
      </c>
      <c r="Q24" s="2887">
        <f t="shared" si="143"/>
        <v>1.41E-2</v>
      </c>
      <c r="R24" s="2902"/>
      <c r="S24" s="2901"/>
      <c r="T24" s="2887"/>
      <c r="U24" s="2887"/>
      <c r="V24" s="2887"/>
      <c r="X24" s="2886">
        <f>ROUND(SUMPRODUCT(PRODUCT(1+N24:N$33)),4)</f>
        <v>1.2050000000000001</v>
      </c>
      <c r="Y24" s="2886">
        <f>ROUND(SUMPRODUCT(PRODUCT(1+O24:O$33)),4)</f>
        <v>1.1532</v>
      </c>
      <c r="Z24" s="2886">
        <f t="shared" si="55"/>
        <v>1.1532</v>
      </c>
      <c r="AA24" s="2886">
        <f>ROUND(SUMPRODUCT(PRODUCT(1+P24:P$33)),4)</f>
        <v>1.2246999999999999</v>
      </c>
      <c r="AB24" s="2886">
        <f>ROUND(SUMPRODUCT(PRODUCT(1+Q24:Q$33)),4)</f>
        <v>1.1304000000000001</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959</v>
      </c>
      <c r="B25" s="2899">
        <f t="shared" si="144"/>
        <v>346.720748986128</v>
      </c>
      <c r="C25" s="2899">
        <f t="shared" si="144"/>
        <v>284.30282172386285</v>
      </c>
      <c r="D25" s="2899">
        <f t="shared" si="145"/>
        <v>284.30282172386285</v>
      </c>
      <c r="E25" s="2899">
        <f t="shared" si="146"/>
        <v>479.58023546306947</v>
      </c>
      <c r="F25" s="2899">
        <f t="shared" si="146"/>
        <v>253.25788877571213</v>
      </c>
      <c r="G25" s="3610"/>
      <c r="H25" s="2900">
        <v>1</v>
      </c>
      <c r="I25" s="2900">
        <v>4.09</v>
      </c>
      <c r="J25" s="2900">
        <v>2.93</v>
      </c>
      <c r="K25" s="2900">
        <v>4.54</v>
      </c>
      <c r="L25" s="2906">
        <v>1.48</v>
      </c>
      <c r="N25" s="2901">
        <f t="shared" si="147"/>
        <v>4.0899999999999999E-2</v>
      </c>
      <c r="O25" s="2887">
        <f t="shared" si="143"/>
        <v>2.9300000000000003E-2</v>
      </c>
      <c r="P25" s="2887">
        <f t="shared" si="143"/>
        <v>4.5400000000000003E-2</v>
      </c>
      <c r="Q25" s="2887">
        <f t="shared" si="143"/>
        <v>1.4800000000000001E-2</v>
      </c>
      <c r="R25" s="2902"/>
      <c r="S25" s="2903">
        <f>B25/B26-1</f>
        <v>4.1203450408792808E-2</v>
      </c>
      <c r="T25" s="2904">
        <f>C25/C26-1</f>
        <v>2.6363977342465095E-2</v>
      </c>
      <c r="U25" s="2904">
        <f>E25/E26-1</f>
        <v>4.4837114298626357E-2</v>
      </c>
      <c r="V25" s="2904">
        <f>F25/F26-1</f>
        <v>1.7099954922538574E-2</v>
      </c>
      <c r="X25" s="2886">
        <f>ROUND(SUMPRODUCT(PRODUCT(1+N25:N$33)),4)</f>
        <v>1.1604000000000001</v>
      </c>
      <c r="Y25" s="2886">
        <f>ROUND(SUMPRODUCT(PRODUCT(1+O25:O$33)),4)</f>
        <v>1.1312</v>
      </c>
      <c r="Z25" s="2886">
        <f t="shared" si="55"/>
        <v>1.1312</v>
      </c>
      <c r="AA25" s="2886">
        <f>ROUND(SUMPRODUCT(PRODUCT(1+P25:P$33)),4)</f>
        <v>1.1721999999999999</v>
      </c>
      <c r="AB25" s="2886">
        <f>ROUND(SUMPRODUCT(PRODUCT(1+Q25:Q$33)),4)</f>
        <v>1.1147</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958</v>
      </c>
      <c r="B26" s="2920">
        <v>333</v>
      </c>
      <c r="C26" s="2920">
        <v>277</v>
      </c>
      <c r="D26" s="2920">
        <f t="shared" si="145"/>
        <v>277</v>
      </c>
      <c r="E26" s="2920">
        <v>459</v>
      </c>
      <c r="F26" s="2921">
        <v>249</v>
      </c>
      <c r="G26" s="3608">
        <v>2015</v>
      </c>
      <c r="H26" s="2922">
        <v>4</v>
      </c>
      <c r="I26" s="2922">
        <v>1.63</v>
      </c>
      <c r="J26" s="2922">
        <v>1.1100000000000001</v>
      </c>
      <c r="K26" s="2922">
        <v>1.77</v>
      </c>
      <c r="L26" s="2923">
        <v>1.89</v>
      </c>
      <c r="N26" s="2917">
        <f t="shared" si="147"/>
        <v>1.6299999999999999E-2</v>
      </c>
      <c r="O26" s="2918">
        <f t="shared" si="143"/>
        <v>1.11E-2</v>
      </c>
      <c r="P26" s="2918">
        <f t="shared" si="143"/>
        <v>1.77E-2</v>
      </c>
      <c r="Q26" s="2918">
        <f t="shared" si="143"/>
        <v>1.89E-2</v>
      </c>
      <c r="R26" s="2902"/>
      <c r="X26" s="2886">
        <f>ROUND(SUMPRODUCT(PRODUCT(1+N26:N$33)),4)</f>
        <v>1.1148</v>
      </c>
      <c r="Y26" s="2886">
        <f>ROUND(SUMPRODUCT(PRODUCT(1+O26:O$33)),4)</f>
        <v>1.099</v>
      </c>
      <c r="Z26" s="2886">
        <f t="shared" si="55"/>
        <v>1.099</v>
      </c>
      <c r="AA26" s="2886">
        <f>ROUND(SUMPRODUCT(PRODUCT(1+P26:P$33)),4)</f>
        <v>1.1213</v>
      </c>
      <c r="AB26" s="2886">
        <f>ROUND(SUMPRODUCT(PRODUCT(1+Q26:Q$33)),4)</f>
        <v>1.0984</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957</v>
      </c>
      <c r="B27" s="2899">
        <f t="shared" ref="B27:C29" si="148">B26/(1+N26)</f>
        <v>327.65915576109415</v>
      </c>
      <c r="C27" s="2899">
        <f t="shared" si="148"/>
        <v>273.95905449510434</v>
      </c>
      <c r="D27" s="2899">
        <f t="shared" si="145"/>
        <v>273.95905449510434</v>
      </c>
      <c r="E27" s="2899">
        <f t="shared" ref="E27:F29" si="149">E26/(1+P26)</f>
        <v>451.01699911565294</v>
      </c>
      <c r="F27" s="2899">
        <f t="shared" si="149"/>
        <v>244.38119540681129</v>
      </c>
      <c r="G27" s="3609"/>
      <c r="H27" s="2925">
        <v>3</v>
      </c>
      <c r="I27" s="2925">
        <v>1.65</v>
      </c>
      <c r="J27" s="2925">
        <v>0.92</v>
      </c>
      <c r="K27" s="2925">
        <v>1.88</v>
      </c>
      <c r="L27" s="2926">
        <v>1.26</v>
      </c>
      <c r="N27" s="2901">
        <f t="shared" si="147"/>
        <v>1.6500000000000001E-2</v>
      </c>
      <c r="O27" s="2919">
        <f t="shared" si="143"/>
        <v>9.1999999999999998E-3</v>
      </c>
      <c r="P27" s="2919">
        <f t="shared" si="143"/>
        <v>1.8799999999999997E-2</v>
      </c>
      <c r="Q27" s="2919">
        <f t="shared" si="143"/>
        <v>1.26E-2</v>
      </c>
      <c r="R27" s="2902"/>
      <c r="S27" s="2901"/>
      <c r="T27" s="2887"/>
      <c r="U27" s="2887"/>
      <c r="V27" s="2887"/>
      <c r="X27" s="2886">
        <f>ROUND(SUMPRODUCT(PRODUCT(1+N27:N$33)),4)</f>
        <v>1.0969</v>
      </c>
      <c r="Y27" s="2886">
        <f>ROUND(SUMPRODUCT(PRODUCT(1+O27:O$33)),4)</f>
        <v>1.0869</v>
      </c>
      <c r="Z27" s="2886">
        <f t="shared" si="55"/>
        <v>1.0869</v>
      </c>
      <c r="AA27" s="2886">
        <f>ROUND(SUMPRODUCT(PRODUCT(1+P27:P$33)),4)</f>
        <v>1.1017999999999999</v>
      </c>
      <c r="AB27" s="2886">
        <f>ROUND(SUMPRODUCT(PRODUCT(1+Q27:Q$33)),4)</f>
        <v>1.0781000000000001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956</v>
      </c>
      <c r="B28" s="2899">
        <f t="shared" si="148"/>
        <v>322.34053690220776</v>
      </c>
      <c r="C28" s="2899">
        <f t="shared" si="148"/>
        <v>271.46160770422546</v>
      </c>
      <c r="D28" s="2899">
        <f t="shared" si="145"/>
        <v>271.46160770422546</v>
      </c>
      <c r="E28" s="2899">
        <f t="shared" si="149"/>
        <v>442.69434542172456</v>
      </c>
      <c r="F28" s="2899">
        <f t="shared" si="149"/>
        <v>241.34030753190925</v>
      </c>
      <c r="G28" s="3609"/>
      <c r="H28" s="2913">
        <v>2</v>
      </c>
      <c r="I28" s="2913">
        <v>0.77</v>
      </c>
      <c r="J28" s="2913">
        <v>0.69</v>
      </c>
      <c r="K28" s="2913">
        <v>0.8</v>
      </c>
      <c r="L28" s="2914">
        <v>0.88</v>
      </c>
      <c r="N28" s="2901">
        <f t="shared" si="147"/>
        <v>7.7000000000000002E-3</v>
      </c>
      <c r="O28" s="2919">
        <f t="shared" si="143"/>
        <v>6.8999999999999999E-3</v>
      </c>
      <c r="P28" s="2919">
        <f t="shared" si="143"/>
        <v>8.0000000000000002E-3</v>
      </c>
      <c r="Q28" s="2919">
        <f t="shared" si="143"/>
        <v>8.8000000000000005E-3</v>
      </c>
      <c r="R28" s="2902"/>
      <c r="S28" s="2901"/>
      <c r="T28" s="2887"/>
      <c r="U28" s="2887"/>
      <c r="V28" s="2887"/>
      <c r="X28" s="2886">
        <f>ROUND(SUMPRODUCT(PRODUCT(1+N28:N$33)),4)</f>
        <v>1.0790999999999999</v>
      </c>
      <c r="Y28" s="2886">
        <f>ROUND(SUMPRODUCT(PRODUCT(1+O28:O$33)),4)</f>
        <v>1.077</v>
      </c>
      <c r="Z28" s="2886">
        <f t="shared" si="55"/>
        <v>1.077</v>
      </c>
      <c r="AA28" s="2886">
        <f>ROUND(SUMPRODUCT(PRODUCT(1+P28:P$33)),4)</f>
        <v>1.0813999999999999</v>
      </c>
      <c r="AB28" s="2886">
        <f>ROUND(SUMPRODUCT(PRODUCT(1+Q28:Q$33)),4)</f>
        <v>1.0647</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955</v>
      </c>
      <c r="B29" s="2899">
        <f t="shared" si="148"/>
        <v>319.87748030386797</v>
      </c>
      <c r="C29" s="2899">
        <f t="shared" si="148"/>
        <v>269.60135833173649</v>
      </c>
      <c r="D29" s="2899">
        <f t="shared" si="145"/>
        <v>269.60135833173649</v>
      </c>
      <c r="E29" s="2899">
        <f t="shared" si="149"/>
        <v>439.18089823583784</v>
      </c>
      <c r="F29" s="2899">
        <f t="shared" si="149"/>
        <v>239.23503918706311</v>
      </c>
      <c r="G29" s="3610"/>
      <c r="H29" s="2900">
        <v>1</v>
      </c>
      <c r="I29" s="2900">
        <v>0.51</v>
      </c>
      <c r="J29" s="2900">
        <v>0.54</v>
      </c>
      <c r="K29" s="2900">
        <v>0.48</v>
      </c>
      <c r="L29" s="2906">
        <v>0.93</v>
      </c>
      <c r="N29" s="2903">
        <f t="shared" si="147"/>
        <v>5.1000000000000004E-3</v>
      </c>
      <c r="O29" s="2904">
        <f t="shared" si="143"/>
        <v>5.4000000000000003E-3</v>
      </c>
      <c r="P29" s="2904">
        <f t="shared" si="143"/>
        <v>4.7999999999999996E-3</v>
      </c>
      <c r="Q29" s="2904">
        <f t="shared" si="143"/>
        <v>9.300000000000001E-3</v>
      </c>
      <c r="R29" s="2902"/>
      <c r="S29" s="2903">
        <f>B29/B30-1</f>
        <v>5.9040261127922822E-3</v>
      </c>
      <c r="T29" s="2904">
        <f>C29/C30-1</f>
        <v>5.9752176557332781E-3</v>
      </c>
      <c r="U29" s="2904">
        <f>E29/E30-1</f>
        <v>4.9906138119859556E-3</v>
      </c>
      <c r="V29" s="2904">
        <f>F29/F30-1</f>
        <v>9.4305450930933787E-3</v>
      </c>
      <c r="X29" s="2886">
        <f>ROUND(SUMPRODUCT(PRODUCT(1+N29:N$33)),4)</f>
        <v>1.0708</v>
      </c>
      <c r="Y29" s="2886">
        <f>ROUND(SUMPRODUCT(PRODUCT(1+O29:O$33)),4)</f>
        <v>1.0696000000000001</v>
      </c>
      <c r="Z29" s="2886">
        <f t="shared" si="55"/>
        <v>1.0696000000000001</v>
      </c>
      <c r="AA29" s="2886">
        <f>ROUND(SUMPRODUCT(PRODUCT(1+P29:P$33)),4)</f>
        <v>1.0728</v>
      </c>
      <c r="AB29" s="2886">
        <f>ROUND(SUMPRODUCT(PRODUCT(1+Q29:Q$33)),4)</f>
        <v>1.0553999999999999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954</v>
      </c>
      <c r="B30" s="2927">
        <v>318</v>
      </c>
      <c r="C30" s="2927">
        <v>268</v>
      </c>
      <c r="D30" s="2927">
        <f t="shared" si="145"/>
        <v>268</v>
      </c>
      <c r="E30" s="2927">
        <v>437</v>
      </c>
      <c r="F30" s="2928">
        <v>237</v>
      </c>
      <c r="G30" s="3608">
        <v>2014</v>
      </c>
      <c r="H30" s="2922">
        <v>4</v>
      </c>
      <c r="I30" s="2922">
        <v>0.21</v>
      </c>
      <c r="J30" s="2922">
        <v>0.41</v>
      </c>
      <c r="K30" s="2922">
        <v>0.12</v>
      </c>
      <c r="L30" s="2923">
        <v>0.89</v>
      </c>
      <c r="N30" s="2901">
        <f t="shared" si="147"/>
        <v>2.0999999999999999E-3</v>
      </c>
      <c r="O30" s="2887">
        <f t="shared" si="143"/>
        <v>4.0999999999999995E-3</v>
      </c>
      <c r="P30" s="2887">
        <f t="shared" si="143"/>
        <v>1.1999999999999999E-3</v>
      </c>
      <c r="Q30" s="2887">
        <f t="shared" si="143"/>
        <v>8.8999999999999999E-3</v>
      </c>
      <c r="R30" s="2902"/>
      <c r="S30" s="2911"/>
      <c r="T30" s="2912"/>
      <c r="U30" s="2912"/>
      <c r="V30" s="2912"/>
      <c r="X30" s="2886">
        <f>ROUND(SUMPRODUCT(PRODUCT(1+N30:N$33)),4)</f>
        <v>1.0653999999999999</v>
      </c>
      <c r="Y30" s="2886">
        <f>ROUND(SUMPRODUCT(PRODUCT(1+O30:O$33)),4)</f>
        <v>1.0639000000000001</v>
      </c>
      <c r="Z30" s="2886">
        <f t="shared" si="55"/>
        <v>1.0639000000000001</v>
      </c>
      <c r="AA30" s="2886">
        <f>ROUND(SUMPRODUCT(PRODUCT(1+P30:P$33)),4)</f>
        <v>1.0677000000000001</v>
      </c>
      <c r="AB30" s="2886">
        <f>ROUND(SUMPRODUCT(PRODUCT(1+Q30:Q$33)),4)</f>
        <v>1.0456000000000001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953</v>
      </c>
      <c r="B31" s="2899">
        <f t="shared" ref="B31:C33" si="150">B30/(1+N30)</f>
        <v>317.33359944117353</v>
      </c>
      <c r="C31" s="2899">
        <f t="shared" si="150"/>
        <v>266.90568668459315</v>
      </c>
      <c r="D31" s="2899">
        <f t="shared" si="145"/>
        <v>266.90568668459315</v>
      </c>
      <c r="E31" s="2899">
        <f t="shared" ref="E31:F33" si="151">E30/(1+P30)</f>
        <v>436.47622852576905</v>
      </c>
      <c r="F31" s="2899">
        <f t="shared" si="151"/>
        <v>234.90930716622066</v>
      </c>
      <c r="G31" s="3609"/>
      <c r="H31" s="2929">
        <v>3</v>
      </c>
      <c r="I31" s="2929">
        <v>0.83</v>
      </c>
      <c r="J31" s="2929">
        <v>1.47</v>
      </c>
      <c r="K31" s="2929">
        <v>0.65</v>
      </c>
      <c r="L31" s="2930">
        <v>0.72</v>
      </c>
      <c r="N31" s="2901">
        <f t="shared" si="147"/>
        <v>8.3000000000000001E-3</v>
      </c>
      <c r="O31" s="2887">
        <f t="shared" si="143"/>
        <v>1.47E-2</v>
      </c>
      <c r="P31" s="2887">
        <f t="shared" si="143"/>
        <v>6.5000000000000006E-3</v>
      </c>
      <c r="Q31" s="2887">
        <f t="shared" si="143"/>
        <v>7.1999999999999998E-3</v>
      </c>
      <c r="R31" s="2902"/>
      <c r="S31" s="2901"/>
      <c r="T31" s="2887"/>
      <c r="U31" s="2887"/>
      <c r="V31" s="2887"/>
      <c r="X31" s="2886">
        <f>ROUND(SUMPRODUCT(PRODUCT(1+N31:N$33)),4)</f>
        <v>1.0631999999999999</v>
      </c>
      <c r="Y31" s="2886">
        <f>ROUND(SUMPRODUCT(PRODUCT(1+O31:O$33)),4)</f>
        <v>1.0595000000000001</v>
      </c>
      <c r="Z31" s="2886">
        <f t="shared" si="55"/>
        <v>1.0595000000000001</v>
      </c>
      <c r="AA31" s="2886">
        <f>ROUND(SUMPRODUCT(PRODUCT(1+P31:P$33)),4)</f>
        <v>1.0664</v>
      </c>
      <c r="AB31" s="2886">
        <f>ROUND(SUMPRODUCT(PRODUCT(1+Q31:Q$33)),4)</f>
        <v>1.0364</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952</v>
      </c>
      <c r="B32" s="2899">
        <f t="shared" si="150"/>
        <v>314.72141172386546</v>
      </c>
      <c r="C32" s="2899">
        <f t="shared" si="150"/>
        <v>263.03901319069001</v>
      </c>
      <c r="D32" s="2899">
        <f t="shared" si="145"/>
        <v>263.03901319069001</v>
      </c>
      <c r="E32" s="2899">
        <f t="shared" si="151"/>
        <v>433.65745506782821</v>
      </c>
      <c r="F32" s="2899">
        <f t="shared" si="151"/>
        <v>233.23005080045735</v>
      </c>
      <c r="G32" s="3609"/>
      <c r="H32" s="2922">
        <v>2</v>
      </c>
      <c r="I32" s="2922">
        <v>2.4</v>
      </c>
      <c r="J32" s="2922">
        <v>2.0299999999999998</v>
      </c>
      <c r="K32" s="2922">
        <v>2.59</v>
      </c>
      <c r="L32" s="2923">
        <v>1.52</v>
      </c>
      <c r="N32" s="2901">
        <f t="shared" si="147"/>
        <v>2.4E-2</v>
      </c>
      <c r="O32" s="2887">
        <f t="shared" si="143"/>
        <v>2.0299999999999999E-2</v>
      </c>
      <c r="P32" s="2887">
        <f t="shared" si="143"/>
        <v>2.5899999999999999E-2</v>
      </c>
      <c r="Q32" s="2887">
        <f t="shared" si="143"/>
        <v>1.52E-2</v>
      </c>
      <c r="R32" s="2902"/>
      <c r="S32" s="2901"/>
      <c r="T32" s="2887"/>
      <c r="U32" s="2887"/>
      <c r="V32" s="2887"/>
      <c r="X32" s="2886">
        <f>ROUND(SUMPRODUCT(PRODUCT(1+N32:N$33)),4)</f>
        <v>1.0544</v>
      </c>
      <c r="Y32" s="2886">
        <f>ROUND(SUMPRODUCT(PRODUCT(1+O32:O$33)),4)</f>
        <v>1.0442</v>
      </c>
      <c r="Z32" s="2886">
        <f t="shared" si="55"/>
        <v>1.0442</v>
      </c>
      <c r="AA32" s="2886">
        <f>ROUND(SUMPRODUCT(PRODUCT(1+P32:P$33)),4)</f>
        <v>1.0595000000000001</v>
      </c>
      <c r="AB32" s="2886">
        <f>ROUND(SUMPRODUCT(PRODUCT(1+Q32:Q$33)),4)</f>
        <v>1.0289999999999999</v>
      </c>
      <c r="AD32" s="2887">
        <f>ROUND(AVERAGE(I32:I$33)/100,4)</f>
        <v>2.69E-2</v>
      </c>
      <c r="AE32" s="2887">
        <f>ROUND(AVERAGE(J32:J$33)/100,4)</f>
        <v>2.1899999999999999E-2</v>
      </c>
      <c r="AF32" s="2887">
        <f t="shared" ref="AF32" si="152">AE32</f>
        <v>2.1899999999999999E-2</v>
      </c>
      <c r="AG32" s="2887">
        <f>ROUND(AVERAGE(K32:K$33)/100,4)</f>
        <v>2.9399999999999999E-2</v>
      </c>
      <c r="AH32" s="2887">
        <f>ROUND(AVERAGE(L32:L$33)/100,4)</f>
        <v>1.44E-2</v>
      </c>
    </row>
    <row r="33" spans="1:34" s="2935" customFormat="1" ht="13.5" thickBot="1">
      <c r="A33" s="2931" t="s">
        <v>951</v>
      </c>
      <c r="B33" s="2932">
        <f t="shared" si="150"/>
        <v>307.34512863658733</v>
      </c>
      <c r="C33" s="2932">
        <f t="shared" si="150"/>
        <v>257.80556031626975</v>
      </c>
      <c r="D33" s="2932">
        <f t="shared" si="145"/>
        <v>257.80556031626975</v>
      </c>
      <c r="E33" s="2932">
        <f t="shared" si="151"/>
        <v>422.70928459677179</v>
      </c>
      <c r="F33" s="2932">
        <f t="shared" si="151"/>
        <v>229.73803270336617</v>
      </c>
      <c r="G33" s="3610"/>
      <c r="H33" s="2933">
        <v>1</v>
      </c>
      <c r="I33" s="2933">
        <v>2.97</v>
      </c>
      <c r="J33" s="2933">
        <v>2.34</v>
      </c>
      <c r="K33" s="2933">
        <v>3.28</v>
      </c>
      <c r="L33" s="2934">
        <v>1.36</v>
      </c>
      <c r="N33" s="2936">
        <f t="shared" si="147"/>
        <v>2.9700000000000001E-2</v>
      </c>
      <c r="O33" s="2937">
        <f t="shared" si="143"/>
        <v>2.3399999999999997E-2</v>
      </c>
      <c r="P33" s="2937">
        <f t="shared" si="143"/>
        <v>3.2799999999999996E-2</v>
      </c>
      <c r="Q33" s="2937">
        <f t="shared" si="143"/>
        <v>1.3600000000000001E-2</v>
      </c>
      <c r="R33" s="2938"/>
      <c r="S33" s="2939">
        <f>B33/B34-1</f>
        <v>2.7910129219355539E-2</v>
      </c>
      <c r="T33" s="2940">
        <f>C33/C34-1</f>
        <v>2.3037937762975247E-2</v>
      </c>
      <c r="U33" s="2940">
        <f>E33/E34-1</f>
        <v>3.3519033243940788E-2</v>
      </c>
      <c r="V33" s="2940">
        <f>F33/F34-1</f>
        <v>1.2061818076502862E-2</v>
      </c>
      <c r="W33" s="2941" t="s">
        <v>2621</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2564</v>
      </c>
      <c r="B34" s="2920">
        <v>299</v>
      </c>
      <c r="C34" s="2920">
        <v>252</v>
      </c>
      <c r="D34" s="2920">
        <f t="shared" si="145"/>
        <v>252</v>
      </c>
      <c r="E34" s="2920">
        <v>409</v>
      </c>
      <c r="F34" s="2921">
        <v>227</v>
      </c>
      <c r="G34" s="3611">
        <v>2013</v>
      </c>
      <c r="H34" s="2943">
        <v>4</v>
      </c>
      <c r="I34" s="2943">
        <v>1.83</v>
      </c>
      <c r="J34" s="2943">
        <v>1.68</v>
      </c>
      <c r="K34" s="2943">
        <v>1.97</v>
      </c>
      <c r="L34" s="2944">
        <v>0.87</v>
      </c>
      <c r="N34" s="2917">
        <f t="shared" si="147"/>
        <v>1.83E-2</v>
      </c>
      <c r="O34" s="2918">
        <f t="shared" si="143"/>
        <v>1.6799999999999999E-2</v>
      </c>
      <c r="P34" s="2918">
        <f t="shared" si="143"/>
        <v>1.9699999999999999E-2</v>
      </c>
      <c r="Q34" s="2918">
        <f t="shared" si="143"/>
        <v>8.6999999999999994E-3</v>
      </c>
      <c r="R34" s="2902"/>
      <c r="S34" s="2911"/>
      <c r="T34" s="2912"/>
      <c r="U34" s="2912"/>
      <c r="V34" s="2912"/>
      <c r="X34" s="2912"/>
      <c r="Y34" s="2912"/>
      <c r="Z34" s="2912"/>
    </row>
    <row r="35" spans="1:34">
      <c r="A35" s="2898" t="s">
        <v>2565</v>
      </c>
      <c r="B35" s="2899">
        <f t="shared" ref="B35:C37" si="153">B34/(1+N34)</f>
        <v>293.62663262299913</v>
      </c>
      <c r="C35" s="2899">
        <f t="shared" si="153"/>
        <v>247.83634933123525</v>
      </c>
      <c r="D35" s="2899">
        <f t="shared" si="145"/>
        <v>247.83634933123525</v>
      </c>
      <c r="E35" s="2899">
        <f t="shared" ref="E35:F37" si="154">E34/(1+P34)</f>
        <v>401.09836226341076</v>
      </c>
      <c r="F35" s="2899">
        <f t="shared" si="154"/>
        <v>225.04213343908003</v>
      </c>
      <c r="G35" s="3612"/>
      <c r="H35" s="2925">
        <v>3</v>
      </c>
      <c r="I35" s="2925">
        <v>1.86</v>
      </c>
      <c r="J35" s="2925">
        <v>1.72</v>
      </c>
      <c r="K35" s="2925">
        <v>1.98</v>
      </c>
      <c r="L35" s="2926">
        <v>0.88</v>
      </c>
      <c r="N35" s="2901">
        <f t="shared" si="147"/>
        <v>1.8600000000000002E-2</v>
      </c>
      <c r="O35" s="2919">
        <f t="shared" si="143"/>
        <v>1.72E-2</v>
      </c>
      <c r="P35" s="2919">
        <f t="shared" si="143"/>
        <v>1.9799999999999998E-2</v>
      </c>
      <c r="Q35" s="2919">
        <f t="shared" si="143"/>
        <v>8.8000000000000005E-3</v>
      </c>
      <c r="R35" s="2902"/>
      <c r="S35" s="2901"/>
      <c r="T35" s="2887"/>
      <c r="U35" s="2887"/>
      <c r="V35" s="2887"/>
    </row>
    <row r="36" spans="1:34">
      <c r="A36" s="2898" t="s">
        <v>2566</v>
      </c>
      <c r="B36" s="2899">
        <f t="shared" si="153"/>
        <v>288.2649053828776</v>
      </c>
      <c r="C36" s="2899">
        <f t="shared" si="153"/>
        <v>243.64564425013293</v>
      </c>
      <c r="D36" s="2899">
        <f t="shared" si="145"/>
        <v>243.64564425013293</v>
      </c>
      <c r="E36" s="2899">
        <f t="shared" si="154"/>
        <v>393.31080825986544</v>
      </c>
      <c r="F36" s="2899">
        <f t="shared" si="154"/>
        <v>223.07903790551154</v>
      </c>
      <c r="G36" s="3612"/>
      <c r="H36" s="2913">
        <v>2</v>
      </c>
      <c r="I36" s="2913">
        <v>2.04</v>
      </c>
      <c r="J36" s="2913">
        <v>2.33</v>
      </c>
      <c r="K36" s="2913">
        <v>2.0699999999999998</v>
      </c>
      <c r="L36" s="2914">
        <v>0.69</v>
      </c>
      <c r="N36" s="2901">
        <f t="shared" si="147"/>
        <v>2.0400000000000001E-2</v>
      </c>
      <c r="O36" s="2919">
        <f t="shared" si="143"/>
        <v>2.3300000000000001E-2</v>
      </c>
      <c r="P36" s="2919">
        <f t="shared" si="143"/>
        <v>2.07E-2</v>
      </c>
      <c r="Q36" s="2919">
        <f t="shared" si="143"/>
        <v>6.8999999999999999E-3</v>
      </c>
      <c r="R36" s="2902"/>
      <c r="S36" s="2901"/>
      <c r="T36" s="2887"/>
      <c r="U36" s="2887"/>
      <c r="V36" s="2887"/>
      <c r="X36" s="2945"/>
      <c r="Y36" s="2946"/>
    </row>
    <row r="37" spans="1:34">
      <c r="A37" s="2898" t="s">
        <v>2567</v>
      </c>
      <c r="B37" s="2899">
        <f t="shared" si="153"/>
        <v>282.50186729015837</v>
      </c>
      <c r="C37" s="2899">
        <f t="shared" si="153"/>
        <v>238.09796174155468</v>
      </c>
      <c r="D37" s="2899">
        <f t="shared" si="145"/>
        <v>238.09796174155468</v>
      </c>
      <c r="E37" s="2899">
        <f t="shared" si="154"/>
        <v>385.33438646014054</v>
      </c>
      <c r="F37" s="2899">
        <f t="shared" si="154"/>
        <v>221.55034055567739</v>
      </c>
      <c r="G37" s="3613"/>
      <c r="H37" s="2900">
        <v>1</v>
      </c>
      <c r="I37" s="2900">
        <v>1.67</v>
      </c>
      <c r="J37" s="2900">
        <v>1.31</v>
      </c>
      <c r="K37" s="2900">
        <v>1.85</v>
      </c>
      <c r="L37" s="2906">
        <v>0.96</v>
      </c>
      <c r="N37" s="2903">
        <f t="shared" si="147"/>
        <v>1.67E-2</v>
      </c>
      <c r="O37" s="2904">
        <f t="shared" si="143"/>
        <v>1.3100000000000001E-2</v>
      </c>
      <c r="P37" s="2904">
        <f t="shared" si="143"/>
        <v>1.8500000000000003E-2</v>
      </c>
      <c r="Q37" s="2904">
        <f t="shared" si="143"/>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2568</v>
      </c>
      <c r="B38" s="2948">
        <v>278</v>
      </c>
      <c r="C38" s="2948">
        <v>234</v>
      </c>
      <c r="D38" s="2948">
        <f t="shared" si="145"/>
        <v>234</v>
      </c>
      <c r="E38" s="2948">
        <v>379</v>
      </c>
      <c r="F38" s="2949">
        <v>220</v>
      </c>
      <c r="G38" s="3608">
        <v>2012</v>
      </c>
      <c r="H38" s="2922">
        <v>4</v>
      </c>
      <c r="I38" s="2922">
        <v>0.91</v>
      </c>
      <c r="J38" s="2922">
        <v>0.68</v>
      </c>
      <c r="K38" s="2922">
        <v>0.98</v>
      </c>
      <c r="L38" s="2923">
        <v>0.9</v>
      </c>
      <c r="N38" s="2901">
        <f t="shared" si="147"/>
        <v>9.1000000000000004E-3</v>
      </c>
      <c r="O38" s="2887">
        <f t="shared" si="147"/>
        <v>6.8000000000000005E-3</v>
      </c>
      <c r="P38" s="2887">
        <f t="shared" si="147"/>
        <v>9.7999999999999997E-3</v>
      </c>
      <c r="Q38" s="2887">
        <f t="shared" si="147"/>
        <v>9.0000000000000011E-3</v>
      </c>
      <c r="R38" s="2902"/>
      <c r="S38" s="2911"/>
      <c r="T38" s="2912"/>
      <c r="U38" s="2912"/>
      <c r="V38" s="2912"/>
      <c r="X38" s="2912"/>
      <c r="Y38" s="2912"/>
      <c r="Z38" s="2912"/>
    </row>
    <row r="39" spans="1:34">
      <c r="A39" s="2898" t="s">
        <v>2569</v>
      </c>
      <c r="B39" s="2899">
        <f>B38/(1+N38)</f>
        <v>275.49301357645425</v>
      </c>
      <c r="C39" s="2899">
        <f>C38/(1+O38)</f>
        <v>232.41954707985698</v>
      </c>
      <c r="D39" s="2899">
        <f t="shared" si="145"/>
        <v>232.41954707985698</v>
      </c>
      <c r="E39" s="2899">
        <f t="shared" ref="E39:F41" si="155">E38/(1+P38)</f>
        <v>375.32184591008121</v>
      </c>
      <c r="F39" s="2899">
        <f t="shared" si="155"/>
        <v>218.03766105054513</v>
      </c>
      <c r="G39" s="3609"/>
      <c r="H39" s="2925">
        <v>3</v>
      </c>
      <c r="I39" s="2925">
        <v>0.09</v>
      </c>
      <c r="J39" s="2925">
        <v>0.28999999999999998</v>
      </c>
      <c r="K39" s="2925">
        <v>-0.01</v>
      </c>
      <c r="L39" s="2926">
        <v>0.57999999999999996</v>
      </c>
      <c r="N39" s="2901">
        <f t="shared" si="147"/>
        <v>8.9999999999999998E-4</v>
      </c>
      <c r="O39" s="2887">
        <f t="shared" si="147"/>
        <v>2.8999999999999998E-3</v>
      </c>
      <c r="P39" s="2887">
        <f t="shared" si="147"/>
        <v>-1E-4</v>
      </c>
      <c r="Q39" s="2887">
        <f t="shared" si="147"/>
        <v>5.7999999999999996E-3</v>
      </c>
      <c r="R39" s="2902"/>
      <c r="S39" s="2901"/>
      <c r="T39" s="2887"/>
      <c r="U39" s="2887"/>
      <c r="V39" s="2887"/>
    </row>
    <row r="40" spans="1:34">
      <c r="A40" s="2898" t="s">
        <v>2570</v>
      </c>
      <c r="B40" s="2899">
        <f>B39/(1+N39)</f>
        <v>275.24529281292263</v>
      </c>
      <c r="C40" s="2899">
        <f>C39/(1+O39)</f>
        <v>231.74747938962707</v>
      </c>
      <c r="D40" s="2899">
        <f t="shared" si="145"/>
        <v>231.74747938962707</v>
      </c>
      <c r="E40" s="2899">
        <f t="shared" si="155"/>
        <v>375.35938184826603</v>
      </c>
      <c r="F40" s="2899">
        <f t="shared" si="155"/>
        <v>216.78033510692495</v>
      </c>
      <c r="G40" s="3609"/>
      <c r="H40" s="2913">
        <v>2</v>
      </c>
      <c r="I40" s="2913">
        <v>0.02</v>
      </c>
      <c r="J40" s="2913">
        <v>0.12</v>
      </c>
      <c r="K40" s="2913">
        <v>-0.08</v>
      </c>
      <c r="L40" s="2914">
        <v>1.24</v>
      </c>
      <c r="N40" s="2901">
        <f t="shared" si="147"/>
        <v>2.0000000000000001E-4</v>
      </c>
      <c r="O40" s="2887">
        <f t="shared" si="147"/>
        <v>1.1999999999999999E-3</v>
      </c>
      <c r="P40" s="2887">
        <f t="shared" si="147"/>
        <v>-8.0000000000000004E-4</v>
      </c>
      <c r="Q40" s="2887">
        <f t="shared" si="147"/>
        <v>1.24E-2</v>
      </c>
      <c r="R40" s="2902"/>
      <c r="S40" s="2901"/>
      <c r="T40" s="2887"/>
      <c r="U40" s="2887"/>
      <c r="V40" s="2887"/>
    </row>
    <row r="41" spans="1:34" ht="13.5" thickBot="1">
      <c r="A41" s="2898" t="s">
        <v>2571</v>
      </c>
      <c r="B41" s="2899">
        <f>B40/(1+N40)</f>
        <v>275.19025476197027</v>
      </c>
      <c r="C41" s="2950">
        <v>232</v>
      </c>
      <c r="D41" s="2950">
        <f t="shared" si="145"/>
        <v>232</v>
      </c>
      <c r="E41" s="2899">
        <f t="shared" si="155"/>
        <v>375.65990977608692</v>
      </c>
      <c r="F41" s="2899">
        <f t="shared" si="155"/>
        <v>214.12518283971252</v>
      </c>
      <c r="G41" s="3610"/>
      <c r="H41" s="2900">
        <v>1</v>
      </c>
      <c r="I41" s="2900">
        <v>0.02</v>
      </c>
      <c r="J41" s="2900">
        <v>0.13</v>
      </c>
      <c r="K41" s="2900">
        <v>-0.04</v>
      </c>
      <c r="L41" s="2906">
        <v>0.46</v>
      </c>
      <c r="N41" s="2901">
        <f t="shared" si="147"/>
        <v>2.0000000000000001E-4</v>
      </c>
      <c r="O41" s="2887">
        <f t="shared" si="147"/>
        <v>1.2999999999999999E-3</v>
      </c>
      <c r="P41" s="2887">
        <f t="shared" si="147"/>
        <v>-4.0000000000000002E-4</v>
      </c>
      <c r="Q41" s="2887">
        <f t="shared" si="147"/>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2572</v>
      </c>
      <c r="B42" s="2920">
        <v>275</v>
      </c>
      <c r="C42" s="2920">
        <v>232</v>
      </c>
      <c r="D42" s="2920">
        <f t="shared" si="145"/>
        <v>232</v>
      </c>
      <c r="E42" s="2920">
        <v>376</v>
      </c>
      <c r="F42" s="2921">
        <v>213</v>
      </c>
      <c r="G42" s="3608">
        <v>2011</v>
      </c>
      <c r="H42" s="2922">
        <v>4</v>
      </c>
      <c r="I42" s="2922">
        <v>-0.2</v>
      </c>
      <c r="J42" s="2922">
        <v>0.04</v>
      </c>
      <c r="K42" s="2922">
        <v>-0.34</v>
      </c>
      <c r="L42" s="2923">
        <v>0.46</v>
      </c>
      <c r="N42" s="2917">
        <f t="shared" si="147"/>
        <v>-2E-3</v>
      </c>
      <c r="O42" s="2918">
        <f t="shared" si="147"/>
        <v>4.0000000000000002E-4</v>
      </c>
      <c r="P42" s="2918">
        <f t="shared" si="147"/>
        <v>-3.4000000000000002E-3</v>
      </c>
      <c r="Q42" s="2918">
        <f t="shared" si="147"/>
        <v>4.5999999999999999E-3</v>
      </c>
      <c r="R42" s="2902"/>
      <c r="S42" s="2911"/>
      <c r="T42" s="2912"/>
      <c r="U42" s="2912"/>
      <c r="V42" s="2912"/>
      <c r="X42" s="2912"/>
      <c r="Y42" s="2912"/>
      <c r="Z42" s="2912"/>
    </row>
    <row r="43" spans="1:34">
      <c r="A43" s="2898" t="s">
        <v>2573</v>
      </c>
      <c r="B43" s="2899">
        <f t="shared" ref="B43:C45" si="156">B42/(1+N42)</f>
        <v>275.55110220440883</v>
      </c>
      <c r="C43" s="2899">
        <f t="shared" si="156"/>
        <v>231.90723710515795</v>
      </c>
      <c r="D43" s="2899">
        <f t="shared" si="145"/>
        <v>231.90723710515795</v>
      </c>
      <c r="E43" s="2899">
        <f t="shared" ref="E43:F45" si="157">E42/(1+P42)</f>
        <v>377.28276138872161</v>
      </c>
      <c r="F43" s="2899">
        <f t="shared" si="157"/>
        <v>212.02468644236512</v>
      </c>
      <c r="G43" s="3609">
        <v>2011</v>
      </c>
      <c r="H43" s="2925">
        <v>3</v>
      </c>
      <c r="I43" s="2925">
        <v>0.13</v>
      </c>
      <c r="J43" s="2925">
        <v>0.75</v>
      </c>
      <c r="K43" s="2925">
        <v>-0.08</v>
      </c>
      <c r="L43" s="2926">
        <v>0.53</v>
      </c>
      <c r="N43" s="2901">
        <f t="shared" si="147"/>
        <v>1.2999999999999999E-3</v>
      </c>
      <c r="O43" s="2919">
        <f t="shared" si="147"/>
        <v>7.4999999999999997E-3</v>
      </c>
      <c r="P43" s="2919">
        <f t="shared" si="147"/>
        <v>-8.0000000000000004E-4</v>
      </c>
      <c r="Q43" s="2919">
        <f t="shared" si="147"/>
        <v>5.3E-3</v>
      </c>
      <c r="R43" s="2902"/>
      <c r="S43" s="2901"/>
      <c r="T43" s="2887"/>
      <c r="U43" s="2887"/>
      <c r="V43" s="2887"/>
    </row>
    <row r="44" spans="1:34">
      <c r="A44" s="2898" t="s">
        <v>2574</v>
      </c>
      <c r="B44" s="2899">
        <f t="shared" si="156"/>
        <v>275.19335084830601</v>
      </c>
      <c r="C44" s="2899">
        <f t="shared" si="156"/>
        <v>230.18088050139744</v>
      </c>
      <c r="D44" s="2899">
        <f t="shared" si="145"/>
        <v>230.18088050139744</v>
      </c>
      <c r="E44" s="2899">
        <f t="shared" si="157"/>
        <v>377.58482925212331</v>
      </c>
      <c r="F44" s="2899">
        <f t="shared" si="157"/>
        <v>210.90687997847917</v>
      </c>
      <c r="G44" s="3609">
        <v>2011</v>
      </c>
      <c r="H44" s="2913">
        <v>2</v>
      </c>
      <c r="I44" s="2913">
        <v>-0.4</v>
      </c>
      <c r="J44" s="2913">
        <v>0.17</v>
      </c>
      <c r="K44" s="2913">
        <v>-0.57999999999999996</v>
      </c>
      <c r="L44" s="2914">
        <v>-0.2</v>
      </c>
      <c r="N44" s="2901">
        <f t="shared" si="147"/>
        <v>-4.0000000000000001E-3</v>
      </c>
      <c r="O44" s="2919">
        <f t="shared" si="147"/>
        <v>1.7000000000000001E-3</v>
      </c>
      <c r="P44" s="2919">
        <f t="shared" si="147"/>
        <v>-5.7999999999999996E-3</v>
      </c>
      <c r="Q44" s="2919">
        <f t="shared" si="147"/>
        <v>-2E-3</v>
      </c>
      <c r="R44" s="2902"/>
      <c r="S44" s="2901"/>
      <c r="T44" s="2887"/>
      <c r="U44" s="2887"/>
      <c r="V44" s="2887"/>
    </row>
    <row r="45" spans="1:34" ht="13.5" thickBot="1">
      <c r="A45" s="2898" t="s">
        <v>2575</v>
      </c>
      <c r="B45" s="2899">
        <f t="shared" si="156"/>
        <v>276.29854502841971</v>
      </c>
      <c r="C45" s="2899">
        <f t="shared" si="156"/>
        <v>229.79023709833027</v>
      </c>
      <c r="D45" s="2899">
        <f t="shared" si="145"/>
        <v>229.79023709833027</v>
      </c>
      <c r="E45" s="2899">
        <f t="shared" si="157"/>
        <v>379.78759731655936</v>
      </c>
      <c r="F45" s="2899">
        <f t="shared" si="157"/>
        <v>211.32953905659235</v>
      </c>
      <c r="G45" s="3610">
        <v>2011</v>
      </c>
      <c r="H45" s="2900">
        <v>1</v>
      </c>
      <c r="I45" s="2900">
        <v>2.65</v>
      </c>
      <c r="J45" s="2900">
        <v>3.76</v>
      </c>
      <c r="K45" s="2900">
        <v>1.89</v>
      </c>
      <c r="L45" s="2906">
        <v>7.95</v>
      </c>
      <c r="N45" s="2903">
        <f t="shared" si="147"/>
        <v>2.6499999999999999E-2</v>
      </c>
      <c r="O45" s="2904">
        <f t="shared" si="147"/>
        <v>3.7599999999999995E-2</v>
      </c>
      <c r="P45" s="2904">
        <f t="shared" si="147"/>
        <v>1.89E-2</v>
      </c>
      <c r="Q45" s="2904">
        <f t="shared" si="147"/>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2576</v>
      </c>
      <c r="B46" s="2920">
        <v>269</v>
      </c>
      <c r="C46" s="2920">
        <v>221</v>
      </c>
      <c r="D46" s="2920">
        <f t="shared" si="145"/>
        <v>221</v>
      </c>
      <c r="E46" s="2920">
        <v>373</v>
      </c>
      <c r="F46" s="2921">
        <v>196</v>
      </c>
      <c r="G46" s="3608">
        <v>2010</v>
      </c>
      <c r="H46" s="2922">
        <v>4</v>
      </c>
      <c r="I46" s="2922">
        <v>5.72</v>
      </c>
      <c r="J46" s="2922">
        <v>6.57</v>
      </c>
      <c r="K46" s="2922">
        <v>5.72</v>
      </c>
      <c r="L46" s="2923">
        <v>2.72</v>
      </c>
      <c r="N46" s="2901">
        <f t="shared" si="147"/>
        <v>5.7200000000000001E-2</v>
      </c>
      <c r="O46" s="2887">
        <f t="shared" si="147"/>
        <v>6.5700000000000008E-2</v>
      </c>
      <c r="P46" s="2887">
        <f t="shared" si="147"/>
        <v>5.7200000000000001E-2</v>
      </c>
      <c r="Q46" s="2887">
        <f t="shared" si="147"/>
        <v>2.7200000000000002E-2</v>
      </c>
      <c r="R46" s="2902"/>
      <c r="S46" s="2911"/>
      <c r="T46" s="2912"/>
      <c r="U46" s="2912"/>
      <c r="V46" s="2912"/>
      <c r="X46" s="2912"/>
      <c r="Y46" s="2912"/>
      <c r="Z46" s="2912"/>
    </row>
    <row r="47" spans="1:34">
      <c r="A47" s="2898" t="s">
        <v>2577</v>
      </c>
      <c r="B47" s="2899">
        <f t="shared" ref="B47:C49" si="158">B46/(1+N46)</f>
        <v>254.44570563753314</v>
      </c>
      <c r="C47" s="2899">
        <f t="shared" si="158"/>
        <v>207.37543398705074</v>
      </c>
      <c r="D47" s="2899">
        <f t="shared" si="145"/>
        <v>207.37543398705074</v>
      </c>
      <c r="E47" s="2899">
        <f t="shared" ref="E47:F49" si="159">E46/(1+P46)</f>
        <v>352.81876655315932</v>
      </c>
      <c r="F47" s="2899">
        <f t="shared" si="159"/>
        <v>190.809968847352</v>
      </c>
      <c r="G47" s="3609">
        <v>2010</v>
      </c>
      <c r="H47" s="2925">
        <v>3</v>
      </c>
      <c r="I47" s="2925">
        <v>4.7300000000000004</v>
      </c>
      <c r="J47" s="2925">
        <v>3.9</v>
      </c>
      <c r="K47" s="2925">
        <v>5.03</v>
      </c>
      <c r="L47" s="2926">
        <v>4.21</v>
      </c>
      <c r="N47" s="2901">
        <f t="shared" si="147"/>
        <v>4.7300000000000002E-2</v>
      </c>
      <c r="O47" s="2887">
        <f t="shared" si="147"/>
        <v>3.9E-2</v>
      </c>
      <c r="P47" s="2887">
        <f t="shared" si="147"/>
        <v>5.0300000000000004E-2</v>
      </c>
      <c r="Q47" s="2887">
        <f t="shared" si="147"/>
        <v>4.2099999999999999E-2</v>
      </c>
      <c r="R47" s="2902"/>
      <c r="S47" s="2901"/>
      <c r="T47" s="2887"/>
      <c r="U47" s="2887"/>
      <c r="V47" s="2887"/>
    </row>
    <row r="48" spans="1:34">
      <c r="A48" s="2898" t="s">
        <v>2578</v>
      </c>
      <c r="B48" s="2899">
        <f t="shared" si="158"/>
        <v>242.95398227588385</v>
      </c>
      <c r="C48" s="2899">
        <f t="shared" si="158"/>
        <v>199.59137053614126</v>
      </c>
      <c r="D48" s="2899">
        <f t="shared" si="145"/>
        <v>199.59137053614126</v>
      </c>
      <c r="E48" s="2899">
        <f t="shared" si="159"/>
        <v>335.92189522342125</v>
      </c>
      <c r="F48" s="2899">
        <f t="shared" si="159"/>
        <v>183.10139991109489</v>
      </c>
      <c r="G48" s="3609">
        <v>2010</v>
      </c>
      <c r="H48" s="2913">
        <v>2</v>
      </c>
      <c r="I48" s="2913">
        <v>4.6900000000000004</v>
      </c>
      <c r="J48" s="2913">
        <v>3.55</v>
      </c>
      <c r="K48" s="2913">
        <v>5.07</v>
      </c>
      <c r="L48" s="2914">
        <v>4.2300000000000004</v>
      </c>
      <c r="N48" s="2901">
        <f t="shared" si="147"/>
        <v>4.6900000000000004E-2</v>
      </c>
      <c r="O48" s="2887">
        <f t="shared" si="147"/>
        <v>3.5499999999999997E-2</v>
      </c>
      <c r="P48" s="2887">
        <f t="shared" si="147"/>
        <v>5.0700000000000002E-2</v>
      </c>
      <c r="Q48" s="2887">
        <f t="shared" si="147"/>
        <v>4.2300000000000004E-2</v>
      </c>
      <c r="R48" s="2902"/>
      <c r="S48" s="2901"/>
      <c r="T48" s="2887"/>
      <c r="U48" s="2887"/>
      <c r="V48" s="2887"/>
    </row>
    <row r="49" spans="1:26" ht="13.5" thickBot="1">
      <c r="A49" s="2898" t="s">
        <v>2579</v>
      </c>
      <c r="B49" s="2899">
        <f t="shared" si="158"/>
        <v>232.06990378821649</v>
      </c>
      <c r="C49" s="2899">
        <f t="shared" si="158"/>
        <v>192.74878854286936</v>
      </c>
      <c r="D49" s="2899">
        <f t="shared" si="145"/>
        <v>192.74878854286936</v>
      </c>
      <c r="E49" s="2899">
        <f t="shared" si="159"/>
        <v>319.71247284992984</v>
      </c>
      <c r="F49" s="2899">
        <f t="shared" si="159"/>
        <v>175.67053622862409</v>
      </c>
      <c r="G49" s="3610">
        <v>2010</v>
      </c>
      <c r="H49" s="2900">
        <v>1</v>
      </c>
      <c r="I49" s="2900">
        <v>5.4</v>
      </c>
      <c r="J49" s="2900">
        <v>3.2</v>
      </c>
      <c r="K49" s="2900">
        <v>6.16</v>
      </c>
      <c r="L49" s="2906">
        <v>4.51</v>
      </c>
      <c r="N49" s="2901">
        <f t="shared" si="147"/>
        <v>5.4000000000000006E-2</v>
      </c>
      <c r="O49" s="2887">
        <f t="shared" si="147"/>
        <v>3.2000000000000001E-2</v>
      </c>
      <c r="P49" s="2887">
        <f t="shared" si="147"/>
        <v>6.1600000000000002E-2</v>
      </c>
      <c r="Q49" s="2887">
        <f t="shared" si="147"/>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2580</v>
      </c>
      <c r="B50" s="2920">
        <v>220</v>
      </c>
      <c r="C50" s="2920">
        <v>187</v>
      </c>
      <c r="D50" s="2920">
        <f t="shared" si="145"/>
        <v>187</v>
      </c>
      <c r="E50" s="2920">
        <v>301</v>
      </c>
      <c r="F50" s="2921">
        <v>168</v>
      </c>
      <c r="G50" s="3608">
        <v>2009</v>
      </c>
      <c r="H50" s="2922">
        <v>4</v>
      </c>
      <c r="I50" s="2922">
        <v>2.2999999999999998</v>
      </c>
      <c r="J50" s="2922">
        <v>1.04</v>
      </c>
      <c r="K50" s="2922">
        <v>2.84</v>
      </c>
      <c r="L50" s="2923">
        <v>0.67</v>
      </c>
      <c r="N50" s="2917">
        <f t="shared" si="147"/>
        <v>2.3E-2</v>
      </c>
      <c r="O50" s="2918">
        <f t="shared" si="147"/>
        <v>1.04E-2</v>
      </c>
      <c r="P50" s="2918">
        <f t="shared" si="147"/>
        <v>2.8399999999999998E-2</v>
      </c>
      <c r="Q50" s="2918">
        <f t="shared" si="147"/>
        <v>6.7000000000000002E-3</v>
      </c>
      <c r="R50" s="2902"/>
      <c r="S50" s="2911"/>
      <c r="T50" s="2912"/>
      <c r="U50" s="2912"/>
      <c r="V50" s="2912"/>
      <c r="X50" s="2912"/>
      <c r="Y50" s="2912"/>
      <c r="Z50" s="2912"/>
    </row>
    <row r="51" spans="1:26">
      <c r="A51" s="2898" t="s">
        <v>2581</v>
      </c>
      <c r="B51" s="2899">
        <f t="shared" ref="B51:C53" si="160">B50/(1+N50)</f>
        <v>215.05376344086022</v>
      </c>
      <c r="C51" s="2899">
        <f t="shared" si="160"/>
        <v>185.0752177355503</v>
      </c>
      <c r="D51" s="2899">
        <f t="shared" si="145"/>
        <v>185.0752177355503</v>
      </c>
      <c r="E51" s="2899">
        <f t="shared" ref="E51:F53" si="161">E50/(1+P50)</f>
        <v>292.68767016725008</v>
      </c>
      <c r="F51" s="2899">
        <f t="shared" si="161"/>
        <v>166.88189132810174</v>
      </c>
      <c r="G51" s="3609">
        <v>2009</v>
      </c>
      <c r="H51" s="2925">
        <v>3</v>
      </c>
      <c r="I51" s="2925">
        <v>2.1</v>
      </c>
      <c r="J51" s="2925">
        <v>1.86</v>
      </c>
      <c r="K51" s="2925">
        <v>2.29</v>
      </c>
      <c r="L51" s="2926">
        <v>0.85</v>
      </c>
      <c r="N51" s="2901">
        <f t="shared" si="147"/>
        <v>2.1000000000000001E-2</v>
      </c>
      <c r="O51" s="2919">
        <f t="shared" si="147"/>
        <v>1.8600000000000002E-2</v>
      </c>
      <c r="P51" s="2919">
        <f t="shared" si="147"/>
        <v>2.29E-2</v>
      </c>
      <c r="Q51" s="2919">
        <f t="shared" si="147"/>
        <v>8.5000000000000006E-3</v>
      </c>
      <c r="R51" s="2902"/>
      <c r="S51" s="2901"/>
      <c r="T51" s="2887"/>
      <c r="U51" s="2887"/>
      <c r="V51" s="2887"/>
    </row>
    <row r="52" spans="1:26">
      <c r="A52" s="2898" t="s">
        <v>2582</v>
      </c>
      <c r="B52" s="2899">
        <f t="shared" si="160"/>
        <v>210.630522469011</v>
      </c>
      <c r="C52" s="2899">
        <f t="shared" si="160"/>
        <v>181.69567812247232</v>
      </c>
      <c r="D52" s="2899">
        <f t="shared" si="145"/>
        <v>181.69567812247232</v>
      </c>
      <c r="E52" s="2899">
        <f t="shared" si="161"/>
        <v>286.13517466736738</v>
      </c>
      <c r="F52" s="2899">
        <f t="shared" si="161"/>
        <v>165.47535084591149</v>
      </c>
      <c r="G52" s="3609">
        <v>2009</v>
      </c>
      <c r="H52" s="2913">
        <v>2</v>
      </c>
      <c r="I52" s="2913">
        <v>0.86</v>
      </c>
      <c r="J52" s="2913">
        <v>-1.1299999999999999</v>
      </c>
      <c r="K52" s="2913">
        <v>1.79</v>
      </c>
      <c r="L52" s="2914">
        <v>-2.0699999999999998</v>
      </c>
      <c r="N52" s="2901">
        <f t="shared" si="147"/>
        <v>8.6E-3</v>
      </c>
      <c r="O52" s="2919">
        <f t="shared" si="147"/>
        <v>-1.1299999999999999E-2</v>
      </c>
      <c r="P52" s="2919">
        <f t="shared" si="147"/>
        <v>1.7899999999999999E-2</v>
      </c>
      <c r="Q52" s="2919">
        <f t="shared" si="147"/>
        <v>-2.07E-2</v>
      </c>
      <c r="R52" s="2902"/>
      <c r="S52" s="2901"/>
      <c r="T52" s="2887"/>
      <c r="U52" s="2887"/>
      <c r="V52" s="2887"/>
    </row>
    <row r="53" spans="1:26">
      <c r="A53" s="2898" t="s">
        <v>2583</v>
      </c>
      <c r="B53" s="2899">
        <f t="shared" si="160"/>
        <v>208.83454537875372</v>
      </c>
      <c r="C53" s="2899">
        <f t="shared" si="160"/>
        <v>183.77230517090351</v>
      </c>
      <c r="D53" s="2899">
        <f t="shared" si="145"/>
        <v>183.77230517090351</v>
      </c>
      <c r="E53" s="2899">
        <f t="shared" si="161"/>
        <v>281.10342338870947</v>
      </c>
      <c r="F53" s="2899">
        <f t="shared" si="161"/>
        <v>168.97309388942256</v>
      </c>
      <c r="G53" s="3610">
        <v>2009</v>
      </c>
      <c r="H53" s="2900">
        <v>1</v>
      </c>
      <c r="I53" s="2900">
        <v>-2.64</v>
      </c>
      <c r="J53" s="2900">
        <v>-2.5299999999999998</v>
      </c>
      <c r="K53" s="2900">
        <v>-3.02</v>
      </c>
      <c r="L53" s="2906">
        <v>1.52</v>
      </c>
      <c r="N53" s="2903">
        <f t="shared" si="147"/>
        <v>-2.64E-2</v>
      </c>
      <c r="O53" s="2904">
        <f t="shared" si="147"/>
        <v>-2.53E-2</v>
      </c>
      <c r="P53" s="2904">
        <f t="shared" si="147"/>
        <v>-3.0200000000000001E-2</v>
      </c>
      <c r="Q53" s="2904">
        <f t="shared" si="147"/>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2584</v>
      </c>
      <c r="B54" s="2948">
        <v>214</v>
      </c>
      <c r="C54" s="2948">
        <v>188</v>
      </c>
      <c r="D54" s="2948">
        <f t="shared" si="145"/>
        <v>188</v>
      </c>
      <c r="E54" s="2948">
        <v>289</v>
      </c>
      <c r="F54" s="2949">
        <v>166</v>
      </c>
      <c r="G54" s="3608">
        <v>2008</v>
      </c>
      <c r="H54" s="2922">
        <v>4</v>
      </c>
      <c r="I54" s="2922">
        <v>1.73</v>
      </c>
      <c r="J54" s="2922">
        <v>0.03</v>
      </c>
      <c r="K54" s="2922">
        <v>2.59</v>
      </c>
      <c r="L54" s="2923">
        <v>-1.66</v>
      </c>
      <c r="N54" s="2901">
        <f t="shared" si="147"/>
        <v>1.7299999999999999E-2</v>
      </c>
      <c r="O54" s="2887">
        <f t="shared" si="147"/>
        <v>2.9999999999999997E-4</v>
      </c>
      <c r="P54" s="2887">
        <f t="shared" si="147"/>
        <v>2.5899999999999999E-2</v>
      </c>
      <c r="Q54" s="2887">
        <f t="shared" si="147"/>
        <v>-1.66E-2</v>
      </c>
      <c r="R54" s="2902"/>
      <c r="S54" s="2911"/>
      <c r="T54" s="2912"/>
      <c r="U54" s="2912"/>
      <c r="V54" s="2912"/>
      <c r="X54" s="2912"/>
      <c r="Y54" s="2912"/>
      <c r="Z54" s="2912"/>
    </row>
    <row r="55" spans="1:26">
      <c r="A55" s="2898" t="s">
        <v>2585</v>
      </c>
      <c r="B55" s="2899">
        <f t="shared" ref="B55:C57" si="162">B54/(1+N54)</f>
        <v>210.36075887152265</v>
      </c>
      <c r="C55" s="2899">
        <f t="shared" si="162"/>
        <v>187.94361691492554</v>
      </c>
      <c r="D55" s="2899">
        <f t="shared" si="145"/>
        <v>187.94361691492554</v>
      </c>
      <c r="E55" s="2899">
        <f t="shared" ref="E55:F57" si="163">E54/(1+P54)</f>
        <v>281.70386977288234</v>
      </c>
      <c r="F55" s="2899">
        <f t="shared" si="163"/>
        <v>168.80211511083994</v>
      </c>
      <c r="G55" s="3609">
        <v>2008</v>
      </c>
      <c r="H55" s="2925">
        <v>3</v>
      </c>
      <c r="I55" s="2925">
        <v>1.96</v>
      </c>
      <c r="J55" s="2925">
        <v>2.36</v>
      </c>
      <c r="K55" s="2925">
        <v>1.82</v>
      </c>
      <c r="L55" s="2926">
        <v>2.2200000000000002</v>
      </c>
      <c r="N55" s="2901">
        <f t="shared" si="147"/>
        <v>1.9599999999999999E-2</v>
      </c>
      <c r="O55" s="2887">
        <f t="shared" si="147"/>
        <v>2.3599999999999999E-2</v>
      </c>
      <c r="P55" s="2887">
        <f t="shared" si="147"/>
        <v>1.8200000000000001E-2</v>
      </c>
      <c r="Q55" s="2887">
        <f t="shared" si="147"/>
        <v>2.2200000000000001E-2</v>
      </c>
      <c r="R55" s="2902"/>
      <c r="S55" s="2901"/>
      <c r="T55" s="2887"/>
      <c r="U55" s="2887"/>
      <c r="V55" s="2887"/>
    </row>
    <row r="56" spans="1:26">
      <c r="A56" s="2898" t="s">
        <v>2586</v>
      </c>
      <c r="B56" s="2899">
        <f t="shared" si="162"/>
        <v>206.31694671589116</v>
      </c>
      <c r="C56" s="2899">
        <f t="shared" si="162"/>
        <v>183.61041121036101</v>
      </c>
      <c r="D56" s="2899">
        <f t="shared" si="145"/>
        <v>183.61041121036101</v>
      </c>
      <c r="E56" s="2899">
        <f t="shared" si="163"/>
        <v>276.66850301795557</v>
      </c>
      <c r="F56" s="2899">
        <f t="shared" si="163"/>
        <v>165.1360938278614</v>
      </c>
      <c r="G56" s="3609">
        <v>2008</v>
      </c>
      <c r="H56" s="2913">
        <v>2</v>
      </c>
      <c r="I56" s="2913">
        <v>4.93</v>
      </c>
      <c r="J56" s="2913">
        <v>7.38</v>
      </c>
      <c r="K56" s="2913">
        <v>3.98</v>
      </c>
      <c r="L56" s="2914">
        <v>6.86</v>
      </c>
      <c r="N56" s="2901">
        <f t="shared" si="147"/>
        <v>4.9299999999999997E-2</v>
      </c>
      <c r="O56" s="2887">
        <f t="shared" si="147"/>
        <v>7.3800000000000004E-2</v>
      </c>
      <c r="P56" s="2887">
        <f t="shared" si="147"/>
        <v>3.9800000000000002E-2</v>
      </c>
      <c r="Q56" s="2887">
        <f t="shared" si="147"/>
        <v>6.8600000000000008E-2</v>
      </c>
      <c r="R56" s="2902"/>
      <c r="S56" s="2901"/>
      <c r="T56" s="2887"/>
      <c r="U56" s="2887"/>
      <c r="V56" s="2887"/>
    </row>
    <row r="57" spans="1:26" s="2954" customFormat="1" ht="13.5" thickBot="1">
      <c r="A57" s="2898" t="s">
        <v>2587</v>
      </c>
      <c r="B57" s="2951">
        <f t="shared" si="162"/>
        <v>196.62341248059772</v>
      </c>
      <c r="C57" s="2951">
        <f t="shared" si="162"/>
        <v>170.99125648199012</v>
      </c>
      <c r="D57" s="2951">
        <f t="shared" si="145"/>
        <v>170.99125648199012</v>
      </c>
      <c r="E57" s="2951">
        <f t="shared" si="163"/>
        <v>266.07857570490052</v>
      </c>
      <c r="F57" s="2951">
        <f t="shared" si="163"/>
        <v>154.53499328828505</v>
      </c>
      <c r="G57" s="3610">
        <v>2008</v>
      </c>
      <c r="H57" s="2952">
        <v>1</v>
      </c>
      <c r="I57" s="2952">
        <v>4.1399999999999997</v>
      </c>
      <c r="J57" s="2952">
        <v>3.45</v>
      </c>
      <c r="K57" s="2952">
        <v>4.95</v>
      </c>
      <c r="L57" s="2953">
        <v>4.82</v>
      </c>
      <c r="N57" s="2955">
        <f t="shared" si="147"/>
        <v>4.1399999999999999E-2</v>
      </c>
      <c r="O57" s="2956">
        <f t="shared" si="147"/>
        <v>3.4500000000000003E-2</v>
      </c>
      <c r="P57" s="2956">
        <f t="shared" si="147"/>
        <v>4.9500000000000002E-2</v>
      </c>
      <c r="Q57" s="2956">
        <f t="shared" si="147"/>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2588</v>
      </c>
      <c r="B58" s="2920">
        <v>188</v>
      </c>
      <c r="C58" s="2920">
        <v>165</v>
      </c>
      <c r="D58" s="2920">
        <f t="shared" si="145"/>
        <v>165</v>
      </c>
      <c r="E58" s="2920">
        <v>254</v>
      </c>
      <c r="F58" s="2921">
        <v>148</v>
      </c>
      <c r="G58" s="3608">
        <v>2007</v>
      </c>
      <c r="H58" s="2958">
        <v>4</v>
      </c>
      <c r="I58" s="2958">
        <v>5.51</v>
      </c>
      <c r="J58" s="2958">
        <v>4.8899999999999997</v>
      </c>
      <c r="K58" s="2958">
        <v>6.43</v>
      </c>
      <c r="L58" s="2959">
        <v>5.36</v>
      </c>
      <c r="N58" s="2960">
        <f t="shared" ref="N58:O61" si="164">B58/B59-1</f>
        <v>4.1339718365245526E-2</v>
      </c>
      <c r="O58" s="2961">
        <f t="shared" si="164"/>
        <v>4.0324492593776018E-2</v>
      </c>
      <c r="P58" s="2961">
        <f t="shared" ref="P58:Q61" si="165">E58/E59-1</f>
        <v>6.1625555347990968E-2</v>
      </c>
      <c r="Q58" s="2961">
        <f t="shared" si="165"/>
        <v>4.6757569250590603E-2</v>
      </c>
      <c r="R58" s="2902"/>
      <c r="S58" s="2911"/>
      <c r="T58" s="2912"/>
      <c r="U58" s="2912"/>
      <c r="V58" s="2912"/>
      <c r="X58" s="2912"/>
      <c r="Y58" s="2912"/>
      <c r="Z58" s="2912"/>
    </row>
    <row r="59" spans="1:26">
      <c r="A59" s="2898" t="s">
        <v>2589</v>
      </c>
      <c r="B59" s="2899">
        <f t="shared" ref="B59:C61" si="166">B60+(B$58-B$62)*I59/SUM(I$58:I$61)</f>
        <v>180.5366651097618</v>
      </c>
      <c r="C59" s="2899">
        <f t="shared" si="166"/>
        <v>158.60435967302453</v>
      </c>
      <c r="D59" s="2899">
        <f t="shared" si="145"/>
        <v>158.60435967302453</v>
      </c>
      <c r="E59" s="2899">
        <f t="shared" ref="E59:F61" si="167">E60+(E$58-E$62)*K59/SUM(K$58:K$61)</f>
        <v>239.25573260785075</v>
      </c>
      <c r="F59" s="2899">
        <f t="shared" si="167"/>
        <v>141.38899430740037</v>
      </c>
      <c r="G59" s="3609">
        <v>2007</v>
      </c>
      <c r="H59" s="2925">
        <v>3</v>
      </c>
      <c r="I59" s="2925">
        <v>8.65</v>
      </c>
      <c r="J59" s="2925">
        <v>8.06</v>
      </c>
      <c r="K59" s="2925">
        <v>9.94</v>
      </c>
      <c r="L59" s="2926">
        <v>5.8</v>
      </c>
      <c r="N59" s="2960">
        <f t="shared" si="164"/>
        <v>6.940217571740015E-2</v>
      </c>
      <c r="O59" s="2961">
        <f t="shared" si="164"/>
        <v>7.1197482471153428E-2</v>
      </c>
      <c r="P59" s="2961">
        <f t="shared" si="165"/>
        <v>0.10529679922579582</v>
      </c>
      <c r="Q59" s="2961">
        <f t="shared" si="165"/>
        <v>5.3292245059512133E-2</v>
      </c>
      <c r="R59" s="2902"/>
      <c r="S59" s="2901"/>
      <c r="T59" s="2887"/>
      <c r="U59" s="2887"/>
      <c r="V59" s="2887"/>
      <c r="X59" s="2962"/>
      <c r="Y59" s="2962"/>
      <c r="Z59" s="2962"/>
    </row>
    <row r="60" spans="1:26">
      <c r="A60" s="2898" t="s">
        <v>2590</v>
      </c>
      <c r="B60" s="2899">
        <f t="shared" si="166"/>
        <v>168.82017748715555</v>
      </c>
      <c r="C60" s="2899">
        <f t="shared" si="166"/>
        <v>148.06267029972753</v>
      </c>
      <c r="D60" s="2899">
        <f t="shared" si="145"/>
        <v>148.06267029972753</v>
      </c>
      <c r="E60" s="2899">
        <f t="shared" si="167"/>
        <v>216.46288379323747</v>
      </c>
      <c r="F60" s="2899">
        <f t="shared" si="167"/>
        <v>134.23529411764704</v>
      </c>
      <c r="G60" s="3609">
        <v>2007</v>
      </c>
      <c r="H60" s="2913">
        <v>2</v>
      </c>
      <c r="I60" s="2913">
        <v>3.67</v>
      </c>
      <c r="J60" s="2913">
        <v>2.3199999999999998</v>
      </c>
      <c r="K60" s="2913">
        <v>5.0199999999999996</v>
      </c>
      <c r="L60" s="2914">
        <v>6.71</v>
      </c>
      <c r="N60" s="2960">
        <f t="shared" si="164"/>
        <v>3.0339138143848032E-2</v>
      </c>
      <c r="O60" s="2961">
        <f t="shared" si="164"/>
        <v>2.0922341588790472E-2</v>
      </c>
      <c r="P60" s="2961">
        <f t="shared" si="165"/>
        <v>5.6164796592717003E-2</v>
      </c>
      <c r="Q60" s="2961">
        <f t="shared" si="165"/>
        <v>6.5704536723887319E-2</v>
      </c>
      <c r="R60" s="2902"/>
      <c r="S60" s="2901"/>
      <c r="T60" s="2887"/>
      <c r="U60" s="2887"/>
      <c r="V60" s="2887"/>
      <c r="X60" s="2962"/>
      <c r="Y60" s="2962"/>
      <c r="Z60" s="2962"/>
    </row>
    <row r="61" spans="1:26">
      <c r="A61" s="2898" t="s">
        <v>2591</v>
      </c>
      <c r="B61" s="2899">
        <f t="shared" si="166"/>
        <v>163.84913591779542</v>
      </c>
      <c r="C61" s="2899">
        <f t="shared" si="166"/>
        <v>145.0283378746594</v>
      </c>
      <c r="D61" s="2899">
        <f t="shared" si="145"/>
        <v>145.0283378746594</v>
      </c>
      <c r="E61" s="2899">
        <f t="shared" si="167"/>
        <v>204.95180722891567</v>
      </c>
      <c r="F61" s="2899">
        <f t="shared" si="167"/>
        <v>125.95920303605313</v>
      </c>
      <c r="G61" s="3610">
        <v>2007</v>
      </c>
      <c r="H61" s="2900">
        <v>1</v>
      </c>
      <c r="I61" s="2900">
        <v>3.58</v>
      </c>
      <c r="J61" s="2900">
        <v>3.08</v>
      </c>
      <c r="K61" s="2900">
        <v>4.34</v>
      </c>
      <c r="L61" s="2906">
        <v>3.21</v>
      </c>
      <c r="N61" s="2963">
        <f t="shared" si="164"/>
        <v>3.0497710174814063E-2</v>
      </c>
      <c r="O61" s="2964">
        <f t="shared" si="164"/>
        <v>2.8569772160704998E-2</v>
      </c>
      <c r="P61" s="2964">
        <f t="shared" si="165"/>
        <v>5.1034908866234296E-2</v>
      </c>
      <c r="Q61" s="2964">
        <f t="shared" si="165"/>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2592</v>
      </c>
      <c r="B62" s="2927">
        <v>159</v>
      </c>
      <c r="C62" s="2927">
        <v>141</v>
      </c>
      <c r="D62" s="2927">
        <f t="shared" si="145"/>
        <v>141</v>
      </c>
      <c r="E62" s="2927">
        <v>195</v>
      </c>
      <c r="F62" s="2928">
        <v>122</v>
      </c>
      <c r="G62" s="3608">
        <v>2006</v>
      </c>
      <c r="H62" s="2922">
        <v>4</v>
      </c>
      <c r="I62" s="2922">
        <v>3.79</v>
      </c>
      <c r="J62" s="2922">
        <v>2.21</v>
      </c>
      <c r="K62" s="2922">
        <v>5.65</v>
      </c>
      <c r="L62" s="2923">
        <v>5.41</v>
      </c>
      <c r="N62" s="2960">
        <f t="shared" ref="N62:O65" si="168">I62/SUM(I$62:I$65)*(B$62/B$66-1)</f>
        <v>7.245466462748526E-2</v>
      </c>
      <c r="O62" s="2961">
        <f t="shared" si="168"/>
        <v>2.3237230038062766E-2</v>
      </c>
      <c r="P62" s="2961">
        <f t="shared" ref="P62:Q65" si="169">K62/SUM(K$62:K$65)*(E$62/E$66-1)</f>
        <v>0.16146893866323722</v>
      </c>
      <c r="Q62" s="2961">
        <f t="shared" si="169"/>
        <v>5.0755230321793784E-2</v>
      </c>
      <c r="R62" s="2902"/>
      <c r="S62" s="2911"/>
      <c r="T62" s="2912"/>
      <c r="U62" s="2912"/>
      <c r="V62" s="2912"/>
      <c r="X62" s="2962"/>
      <c r="Y62" s="2962"/>
      <c r="Z62" s="2962"/>
    </row>
    <row r="63" spans="1:26">
      <c r="A63" s="2898" t="s">
        <v>2593</v>
      </c>
      <c r="B63" s="2899">
        <f t="shared" ref="B63:C65" si="170">B64+(B$62-B$66)*I63/SUM(I$62:I$65)</f>
        <v>149.00125628140702</v>
      </c>
      <c r="C63" s="2899">
        <f t="shared" si="170"/>
        <v>137.95592286501378</v>
      </c>
      <c r="D63" s="2899">
        <f t="shared" si="145"/>
        <v>137.95592286501378</v>
      </c>
      <c r="E63" s="2899">
        <f t="shared" ref="E63:F65" si="171">E64+(E$62-E$66)*K63/SUM(K$62:K$65)</f>
        <v>169.97231450719823</v>
      </c>
      <c r="F63" s="2899">
        <f t="shared" si="171"/>
        <v>116.21390374331551</v>
      </c>
      <c r="G63" s="3609">
        <v>2006</v>
      </c>
      <c r="H63" s="2925">
        <v>3</v>
      </c>
      <c r="I63" s="2925">
        <v>0.92</v>
      </c>
      <c r="J63" s="2925">
        <v>1.08</v>
      </c>
      <c r="K63" s="2925">
        <v>0.73</v>
      </c>
      <c r="L63" s="2926">
        <v>1.08</v>
      </c>
      <c r="N63" s="2960">
        <f t="shared" si="168"/>
        <v>1.7587939698492462E-2</v>
      </c>
      <c r="O63" s="2961">
        <f t="shared" si="168"/>
        <v>1.1355750425840628E-2</v>
      </c>
      <c r="P63" s="2961">
        <f t="shared" si="169"/>
        <v>2.0862358446754544E-2</v>
      </c>
      <c r="Q63" s="2961">
        <f t="shared" si="169"/>
        <v>1.0132282578103011E-2</v>
      </c>
      <c r="R63" s="2902"/>
      <c r="S63" s="2901"/>
      <c r="T63" s="2887"/>
      <c r="U63" s="2887"/>
      <c r="V63" s="2887"/>
      <c r="X63" s="2962"/>
      <c r="Y63" s="2962"/>
      <c r="Z63" s="2962"/>
    </row>
    <row r="64" spans="1:26">
      <c r="A64" s="2898" t="s">
        <v>2594</v>
      </c>
      <c r="B64" s="2899">
        <f t="shared" si="170"/>
        <v>146.57412060301507</v>
      </c>
      <c r="C64" s="2899">
        <f t="shared" si="170"/>
        <v>136.46831955922866</v>
      </c>
      <c r="D64" s="2899">
        <f t="shared" si="145"/>
        <v>136.46831955922866</v>
      </c>
      <c r="E64" s="2899">
        <f t="shared" si="171"/>
        <v>166.73864894795128</v>
      </c>
      <c r="F64" s="2899">
        <f t="shared" si="171"/>
        <v>115.05882352941177</v>
      </c>
      <c r="G64" s="3609">
        <v>2006</v>
      </c>
      <c r="H64" s="2913">
        <v>2</v>
      </c>
      <c r="I64" s="2913">
        <v>0.96</v>
      </c>
      <c r="J64" s="2913">
        <v>0.25</v>
      </c>
      <c r="K64" s="2913">
        <v>1.9</v>
      </c>
      <c r="L64" s="2914">
        <v>0.95</v>
      </c>
      <c r="N64" s="2960">
        <f t="shared" si="168"/>
        <v>1.8352632728861701E-2</v>
      </c>
      <c r="O64" s="2961">
        <f t="shared" si="168"/>
        <v>2.6286459319075526E-3</v>
      </c>
      <c r="P64" s="2961">
        <f t="shared" si="169"/>
        <v>5.4299289107991269E-2</v>
      </c>
      <c r="Q64" s="2961">
        <f t="shared" si="169"/>
        <v>8.9126559714794995E-3</v>
      </c>
      <c r="R64" s="2902"/>
      <c r="S64" s="2901"/>
      <c r="T64" s="2887"/>
      <c r="U64" s="2887"/>
      <c r="V64" s="2887"/>
      <c r="X64" s="2962"/>
      <c r="Y64" s="2962"/>
      <c r="Z64" s="2962"/>
    </row>
    <row r="65" spans="1:26">
      <c r="A65" s="2898" t="s">
        <v>2595</v>
      </c>
      <c r="B65" s="2899">
        <f t="shared" si="170"/>
        <v>144.04145728643215</v>
      </c>
      <c r="C65" s="2899">
        <f t="shared" si="170"/>
        <v>136.12396694214877</v>
      </c>
      <c r="D65" s="2899">
        <f t="shared" si="145"/>
        <v>136.12396694214877</v>
      </c>
      <c r="E65" s="2899">
        <f t="shared" si="171"/>
        <v>158.32225913621264</v>
      </c>
      <c r="F65" s="2899">
        <f t="shared" si="171"/>
        <v>114.04278074866311</v>
      </c>
      <c r="G65" s="3610">
        <v>2006</v>
      </c>
      <c r="H65" s="2900">
        <v>1</v>
      </c>
      <c r="I65" s="2900">
        <v>2.29</v>
      </c>
      <c r="J65" s="2900">
        <v>3.72</v>
      </c>
      <c r="K65" s="2900">
        <v>0.75</v>
      </c>
      <c r="L65" s="2906">
        <v>0.04</v>
      </c>
      <c r="N65" s="2963">
        <f t="shared" si="168"/>
        <v>4.3778675988638847E-2</v>
      </c>
      <c r="O65" s="2964">
        <f t="shared" si="168"/>
        <v>3.9114251466784385E-2</v>
      </c>
      <c r="P65" s="2964">
        <f t="shared" si="169"/>
        <v>2.1433929911049188E-2</v>
      </c>
      <c r="Q65" s="2964">
        <f t="shared" si="169"/>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2596</v>
      </c>
      <c r="B66" s="2927">
        <v>138</v>
      </c>
      <c r="C66" s="2927">
        <v>131</v>
      </c>
      <c r="D66" s="2927">
        <f t="shared" si="145"/>
        <v>131</v>
      </c>
      <c r="E66" s="2927">
        <v>155</v>
      </c>
      <c r="F66" s="2928">
        <v>114</v>
      </c>
      <c r="G66" s="3608">
        <v>2005</v>
      </c>
      <c r="H66" s="2922">
        <v>4</v>
      </c>
      <c r="I66" s="2922">
        <v>3.29</v>
      </c>
      <c r="J66" s="2922">
        <v>1.44</v>
      </c>
      <c r="K66" s="2922">
        <v>0.66</v>
      </c>
      <c r="L66" s="2923">
        <v>7.78</v>
      </c>
      <c r="N66" s="2960">
        <f t="shared" ref="N66:O69" si="172">I66/SUM(I$66:I$69)*(B$66/B$70-1)</f>
        <v>9.9404603216919935E-2</v>
      </c>
      <c r="O66" s="2961">
        <f t="shared" si="172"/>
        <v>4.7636550760861554E-2</v>
      </c>
      <c r="P66" s="2961">
        <f t="shared" ref="P66:Q69" si="173">K66/SUM(K$66:K$69)*(E$66/E$70-1)</f>
        <v>8.3756345177664976E-2</v>
      </c>
      <c r="Q66" s="2961">
        <f t="shared" si="173"/>
        <v>5.2148766661559584E-2</v>
      </c>
      <c r="R66" s="2902"/>
      <c r="S66" s="2911"/>
      <c r="T66" s="2912"/>
      <c r="U66" s="2912"/>
      <c r="V66" s="2912"/>
      <c r="X66" s="2962"/>
      <c r="Y66" s="2962"/>
      <c r="Z66" s="2962"/>
    </row>
    <row r="67" spans="1:26">
      <c r="A67" s="2898" t="s">
        <v>2597</v>
      </c>
      <c r="B67" s="2899">
        <f t="shared" ref="B67:C69" si="174">B68+(B$66-B$70)*I67/SUM(I$66:I$69)</f>
        <v>125.9720430107527</v>
      </c>
      <c r="C67" s="2899">
        <f t="shared" si="174"/>
        <v>125.1883408071749</v>
      </c>
      <c r="D67" s="2899">
        <f t="shared" si="145"/>
        <v>125.1883408071749</v>
      </c>
      <c r="E67" s="2899">
        <f t="shared" ref="E67:F69" si="175">E68+(E$66-E$70)*K67/SUM(K$66:K$69)</f>
        <v>144.61421319796952</v>
      </c>
      <c r="F67" s="2899">
        <f t="shared" si="175"/>
        <v>108.42008196721311</v>
      </c>
      <c r="G67" s="3609">
        <v>2005</v>
      </c>
      <c r="H67" s="2925">
        <v>3</v>
      </c>
      <c r="I67" s="2925">
        <v>0.46</v>
      </c>
      <c r="J67" s="2925">
        <v>0.32</v>
      </c>
      <c r="K67" s="2925">
        <v>0.42</v>
      </c>
      <c r="L67" s="2926">
        <v>0.64</v>
      </c>
      <c r="N67" s="2960">
        <f t="shared" si="172"/>
        <v>1.3898515951301874E-2</v>
      </c>
      <c r="O67" s="2961">
        <f t="shared" si="172"/>
        <v>1.0585900169080346E-2</v>
      </c>
      <c r="P67" s="2961">
        <f t="shared" si="173"/>
        <v>5.3299492385786795E-2</v>
      </c>
      <c r="Q67" s="2961">
        <f t="shared" si="173"/>
        <v>4.2898728359123568E-3</v>
      </c>
      <c r="R67" s="2902"/>
      <c r="S67" s="2901"/>
      <c r="T67" s="2887"/>
      <c r="U67" s="2887"/>
      <c r="V67" s="2887"/>
      <c r="X67" s="2962"/>
      <c r="Y67" s="2962"/>
      <c r="Z67" s="2962"/>
    </row>
    <row r="68" spans="1:26">
      <c r="A68" s="2898" t="s">
        <v>2598</v>
      </c>
      <c r="B68" s="2899">
        <f t="shared" si="174"/>
        <v>124.29032258064517</v>
      </c>
      <c r="C68" s="2899">
        <f t="shared" si="174"/>
        <v>123.8968609865471</v>
      </c>
      <c r="D68" s="2899">
        <f t="shared" si="145"/>
        <v>123.8968609865471</v>
      </c>
      <c r="E68" s="2899">
        <f t="shared" si="175"/>
        <v>138.00507614213197</v>
      </c>
      <c r="F68" s="2899">
        <f t="shared" si="175"/>
        <v>107.96106557377048</v>
      </c>
      <c r="G68" s="3609">
        <v>2005</v>
      </c>
      <c r="H68" s="2913">
        <v>2</v>
      </c>
      <c r="I68" s="2913">
        <v>0.47</v>
      </c>
      <c r="J68" s="2913">
        <v>0.1</v>
      </c>
      <c r="K68" s="2913">
        <v>0.52</v>
      </c>
      <c r="L68" s="2914">
        <v>0.79</v>
      </c>
      <c r="N68" s="2960">
        <f t="shared" si="172"/>
        <v>1.420065760241713E-2</v>
      </c>
      <c r="O68" s="2961">
        <f t="shared" si="172"/>
        <v>3.3080938028376083E-3</v>
      </c>
      <c r="P68" s="2961">
        <f t="shared" si="173"/>
        <v>6.598984771573603E-2</v>
      </c>
      <c r="Q68" s="2961">
        <f t="shared" si="173"/>
        <v>5.2953117818293153E-3</v>
      </c>
      <c r="R68" s="2902"/>
      <c r="S68" s="2901"/>
      <c r="T68" s="2887"/>
      <c r="U68" s="2887"/>
      <c r="V68" s="2887"/>
      <c r="X68" s="2962"/>
      <c r="Y68" s="2962"/>
      <c r="Z68" s="2962"/>
    </row>
    <row r="69" spans="1:26">
      <c r="A69" s="2898" t="s">
        <v>2599</v>
      </c>
      <c r="B69" s="2899">
        <f t="shared" si="174"/>
        <v>122.57204301075269</v>
      </c>
      <c r="C69" s="2899">
        <f t="shared" si="174"/>
        <v>123.4932735426009</v>
      </c>
      <c r="D69" s="2899">
        <f t="shared" si="145"/>
        <v>123.4932735426009</v>
      </c>
      <c r="E69" s="2899">
        <f t="shared" si="175"/>
        <v>129.82233502538071</v>
      </c>
      <c r="F69" s="2899">
        <f t="shared" si="175"/>
        <v>107.39446721311475</v>
      </c>
      <c r="G69" s="3610">
        <v>2005</v>
      </c>
      <c r="H69" s="2900">
        <v>1</v>
      </c>
      <c r="I69" s="2900">
        <v>0.43</v>
      </c>
      <c r="J69" s="2900">
        <v>0.37</v>
      </c>
      <c r="K69" s="2900">
        <v>0.37</v>
      </c>
      <c r="L69" s="2906">
        <v>0.55000000000000004</v>
      </c>
      <c r="N69" s="2963">
        <f t="shared" si="172"/>
        <v>1.2992090997956099E-2</v>
      </c>
      <c r="O69" s="2964">
        <f t="shared" si="172"/>
        <v>1.2239947070499151E-2</v>
      </c>
      <c r="P69" s="2964">
        <f t="shared" si="173"/>
        <v>4.6954314720812178E-2</v>
      </c>
      <c r="Q69" s="2964">
        <f t="shared" si="173"/>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2600</v>
      </c>
      <c r="B70" s="2948">
        <v>121</v>
      </c>
      <c r="C70" s="2948">
        <v>122</v>
      </c>
      <c r="D70" s="2948">
        <f t="shared" si="145"/>
        <v>122</v>
      </c>
      <c r="E70" s="2948">
        <v>124</v>
      </c>
      <c r="F70" s="2949">
        <v>107</v>
      </c>
      <c r="G70" s="3608">
        <v>2004</v>
      </c>
      <c r="H70" s="2922">
        <v>4</v>
      </c>
      <c r="I70" s="2922">
        <v>0.33</v>
      </c>
      <c r="J70" s="2922">
        <v>0.5</v>
      </c>
      <c r="K70" s="2922">
        <v>0.5</v>
      </c>
      <c r="L70" s="2923">
        <v>0</v>
      </c>
      <c r="N70" s="2960">
        <f t="shared" ref="N70:O73" si="176">I70/SUM(I$70:I$73)*(B$70/B$74-1)</f>
        <v>1.3391770148526898E-2</v>
      </c>
      <c r="O70" s="2961">
        <f t="shared" si="176"/>
        <v>1.063264221158958E-2</v>
      </c>
      <c r="P70" s="2961">
        <f t="shared" ref="P70:Q73" si="177">K70/SUM(K$70:K$73)*(E$70/E$74-1)</f>
        <v>2.2244466688911134E-2</v>
      </c>
      <c r="Q70" s="2961">
        <f t="shared" si="177"/>
        <v>0</v>
      </c>
      <c r="R70" s="2902"/>
      <c r="S70" s="2911"/>
      <c r="T70" s="2912"/>
      <c r="U70" s="2912"/>
      <c r="V70" s="2912"/>
      <c r="X70" s="2962"/>
      <c r="Y70" s="2962"/>
      <c r="Z70" s="2962"/>
    </row>
    <row r="71" spans="1:26">
      <c r="A71" s="2898" t="s">
        <v>2601</v>
      </c>
      <c r="B71" s="2899">
        <f t="shared" ref="B71:C73" si="178">B72+(B$70-B$74)*I71/SUM(I$70:I$73)</f>
        <v>119.51351351351352</v>
      </c>
      <c r="C71" s="2899">
        <f t="shared" si="178"/>
        <v>120.7878787878788</v>
      </c>
      <c r="D71" s="2899">
        <f t="shared" si="145"/>
        <v>120.7878787878788</v>
      </c>
      <c r="E71" s="2899">
        <f t="shared" ref="E71:F73" si="179">E72+(E$70-E$74)*K71/SUM(K$70:K$73)</f>
        <v>121.5975975975976</v>
      </c>
      <c r="F71" s="2899">
        <f t="shared" si="179"/>
        <v>107</v>
      </c>
      <c r="G71" s="3609">
        <v>2004</v>
      </c>
      <c r="H71" s="2925">
        <v>3</v>
      </c>
      <c r="I71" s="2925">
        <v>0.56000000000000005</v>
      </c>
      <c r="J71" s="2925">
        <v>0.8</v>
      </c>
      <c r="K71" s="2925">
        <v>0.83</v>
      </c>
      <c r="L71" s="2926">
        <v>0.06</v>
      </c>
      <c r="N71" s="2960">
        <f t="shared" si="176"/>
        <v>2.2725428130833527E-2</v>
      </c>
      <c r="O71" s="2961">
        <f t="shared" si="176"/>
        <v>1.7012227538543329E-2</v>
      </c>
      <c r="P71" s="2961">
        <f t="shared" si="177"/>
        <v>3.6925814703592477E-2</v>
      </c>
      <c r="Q71" s="2961">
        <f t="shared" si="177"/>
        <v>2.8846153846153744E-2</v>
      </c>
      <c r="R71" s="2902"/>
      <c r="S71" s="2901"/>
      <c r="T71" s="2887"/>
      <c r="U71" s="2887"/>
      <c r="V71" s="2887"/>
      <c r="X71" s="2962"/>
      <c r="Y71" s="2962"/>
      <c r="Z71" s="2962"/>
    </row>
    <row r="72" spans="1:26">
      <c r="A72" s="2898" t="s">
        <v>2602</v>
      </c>
      <c r="B72" s="2899">
        <f t="shared" si="178"/>
        <v>116.99099099099099</v>
      </c>
      <c r="C72" s="2899">
        <f t="shared" si="178"/>
        <v>118.84848484848486</v>
      </c>
      <c r="D72" s="2899">
        <f t="shared" si="145"/>
        <v>118.84848484848486</v>
      </c>
      <c r="E72" s="2899">
        <f t="shared" si="179"/>
        <v>117.60960960960961</v>
      </c>
      <c r="F72" s="2899">
        <f t="shared" si="179"/>
        <v>104</v>
      </c>
      <c r="G72" s="3609">
        <v>2004</v>
      </c>
      <c r="H72" s="2913">
        <v>2</v>
      </c>
      <c r="I72" s="2913">
        <v>1</v>
      </c>
      <c r="J72" s="2913">
        <v>1.5</v>
      </c>
      <c r="K72" s="2913">
        <v>1.5</v>
      </c>
      <c r="L72" s="2914">
        <v>0</v>
      </c>
      <c r="N72" s="2960">
        <f t="shared" si="176"/>
        <v>4.0581121662202721E-2</v>
      </c>
      <c r="O72" s="2961">
        <f t="shared" si="176"/>
        <v>3.1897926634768738E-2</v>
      </c>
      <c r="P72" s="2961">
        <f t="shared" si="177"/>
        <v>6.6733400066733395E-2</v>
      </c>
      <c r="Q72" s="2961">
        <f t="shared" si="177"/>
        <v>0</v>
      </c>
      <c r="R72" s="2902"/>
      <c r="S72" s="2901"/>
      <c r="T72" s="2887"/>
      <c r="U72" s="2887"/>
      <c r="V72" s="2887"/>
      <c r="X72" s="2962"/>
      <c r="Y72" s="2962"/>
      <c r="Z72" s="2962"/>
    </row>
    <row r="73" spans="1:26" s="2954" customFormat="1" ht="13.5" thickBot="1">
      <c r="A73" s="2898" t="s">
        <v>2603</v>
      </c>
      <c r="B73" s="2951">
        <f t="shared" si="178"/>
        <v>112.48648648648648</v>
      </c>
      <c r="C73" s="2951">
        <f t="shared" si="178"/>
        <v>115.21212121212122</v>
      </c>
      <c r="D73" s="2951">
        <f t="shared" si="145"/>
        <v>115.21212121212122</v>
      </c>
      <c r="E73" s="2951">
        <f t="shared" si="179"/>
        <v>110.4024024024024</v>
      </c>
      <c r="F73" s="2951">
        <f t="shared" si="179"/>
        <v>104</v>
      </c>
      <c r="G73" s="3610">
        <v>2004</v>
      </c>
      <c r="H73" s="2952">
        <v>1</v>
      </c>
      <c r="I73" s="2952">
        <v>0.33</v>
      </c>
      <c r="J73" s="2952">
        <v>0.5</v>
      </c>
      <c r="K73" s="2952">
        <v>0.5</v>
      </c>
      <c r="L73" s="2953">
        <v>0</v>
      </c>
      <c r="N73" s="2965">
        <f t="shared" si="176"/>
        <v>1.3391770148526898E-2</v>
      </c>
      <c r="O73" s="2966">
        <f t="shared" si="176"/>
        <v>1.063264221158958E-2</v>
      </c>
      <c r="P73" s="2966">
        <f t="shared" si="177"/>
        <v>2.2244466688911134E-2</v>
      </c>
      <c r="Q73" s="2966">
        <f t="shared" si="177"/>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2604</v>
      </c>
      <c r="B74" s="2968">
        <v>111</v>
      </c>
      <c r="C74" s="2968">
        <v>114</v>
      </c>
      <c r="D74" s="2968">
        <f t="shared" si="145"/>
        <v>114</v>
      </c>
      <c r="E74" s="2968">
        <v>108</v>
      </c>
      <c r="F74" s="2969">
        <v>104</v>
      </c>
      <c r="G74" s="3608">
        <v>2003</v>
      </c>
      <c r="H74" s="2958">
        <v>4</v>
      </c>
      <c r="I74" s="2970"/>
      <c r="J74" s="2970"/>
      <c r="K74" s="2970"/>
      <c r="L74" s="2970"/>
      <c r="N74" s="2971"/>
      <c r="O74" s="2970"/>
      <c r="P74" s="2970"/>
      <c r="Q74" s="2970"/>
      <c r="S74" s="2971"/>
      <c r="T74" s="2970"/>
      <c r="U74" s="2970"/>
      <c r="V74" s="2970"/>
      <c r="X74" s="2962"/>
      <c r="Y74" s="2962"/>
      <c r="Z74" s="2962"/>
    </row>
    <row r="75" spans="1:26">
      <c r="A75" s="2898" t="s">
        <v>2605</v>
      </c>
      <c r="B75" s="2972">
        <f t="shared" ref="B75:C77" si="180">B76+(B$74-B$78)/4</f>
        <v>109.75</v>
      </c>
      <c r="C75" s="2972">
        <f t="shared" si="180"/>
        <v>112.25</v>
      </c>
      <c r="D75" s="2972">
        <f t="shared" si="145"/>
        <v>112.25</v>
      </c>
      <c r="E75" s="2972">
        <f t="shared" ref="E75:F77" si="181">E76+(E$74-E$78)/4</f>
        <v>107.25</v>
      </c>
      <c r="F75" s="2972">
        <f t="shared" si="181"/>
        <v>103.5</v>
      </c>
      <c r="G75" s="3609">
        <v>2003</v>
      </c>
      <c r="H75" s="2925">
        <v>3</v>
      </c>
      <c r="I75" s="2970"/>
      <c r="J75" s="2970"/>
      <c r="K75" s="2970"/>
      <c r="L75" s="2970"/>
      <c r="X75" s="2962"/>
      <c r="Y75" s="2962"/>
      <c r="Z75" s="2962"/>
    </row>
    <row r="76" spans="1:26">
      <c r="A76" s="2898" t="s">
        <v>2606</v>
      </c>
      <c r="B76" s="2972">
        <f t="shared" si="180"/>
        <v>108.5</v>
      </c>
      <c r="C76" s="2972">
        <f t="shared" si="180"/>
        <v>110.5</v>
      </c>
      <c r="D76" s="2972">
        <f t="shared" si="145"/>
        <v>110.5</v>
      </c>
      <c r="E76" s="2972">
        <f t="shared" si="181"/>
        <v>106.5</v>
      </c>
      <c r="F76" s="2972">
        <f t="shared" si="181"/>
        <v>103</v>
      </c>
      <c r="G76" s="3609">
        <v>2003</v>
      </c>
      <c r="H76" s="2913">
        <v>2</v>
      </c>
      <c r="I76" s="2970"/>
      <c r="J76" s="2970"/>
      <c r="K76" s="2970"/>
      <c r="L76" s="2970"/>
      <c r="X76" s="2962"/>
      <c r="Y76" s="2962"/>
      <c r="Z76" s="2962"/>
    </row>
    <row r="77" spans="1:26" ht="13.5" thickBot="1">
      <c r="A77" s="2898" t="s">
        <v>2607</v>
      </c>
      <c r="B77" s="2972">
        <f t="shared" si="180"/>
        <v>107.25</v>
      </c>
      <c r="C77" s="2972">
        <f t="shared" si="180"/>
        <v>108.75</v>
      </c>
      <c r="D77" s="2972">
        <f t="shared" si="145"/>
        <v>108.75</v>
      </c>
      <c r="E77" s="2972">
        <f t="shared" si="181"/>
        <v>105.75</v>
      </c>
      <c r="F77" s="2972">
        <f t="shared" si="181"/>
        <v>102.5</v>
      </c>
      <c r="G77" s="3610">
        <v>2003</v>
      </c>
      <c r="H77" s="2973">
        <v>1</v>
      </c>
      <c r="I77" s="2970"/>
      <c r="J77" s="2970"/>
      <c r="K77" s="2970"/>
      <c r="L77" s="2970"/>
      <c r="S77" s="2901"/>
      <c r="T77" s="2887"/>
      <c r="U77" s="2887"/>
      <c r="X77" s="2962"/>
      <c r="Y77" s="2962"/>
      <c r="Z77" s="2962"/>
    </row>
    <row r="78" spans="1:26" ht="13.5" thickBot="1">
      <c r="A78" s="2898" t="s">
        <v>2608</v>
      </c>
      <c r="B78" s="2974">
        <v>106</v>
      </c>
      <c r="C78" s="2974">
        <v>107</v>
      </c>
      <c r="D78" s="2974">
        <f t="shared" si="145"/>
        <v>107</v>
      </c>
      <c r="E78" s="2974">
        <v>105</v>
      </c>
      <c r="F78" s="2975">
        <v>102</v>
      </c>
      <c r="G78" s="3608">
        <v>2002</v>
      </c>
      <c r="H78" s="2922">
        <v>4</v>
      </c>
      <c r="I78" s="2970"/>
      <c r="J78" s="2970"/>
      <c r="K78" s="2970"/>
      <c r="L78" s="2970"/>
      <c r="N78" s="2971"/>
      <c r="O78" s="2970"/>
      <c r="P78" s="2970"/>
      <c r="Q78" s="2970"/>
      <c r="S78" s="2971"/>
      <c r="T78" s="2970"/>
      <c r="U78" s="2970"/>
      <c r="V78" s="2970"/>
      <c r="X78" s="2962"/>
      <c r="Y78" s="2962"/>
      <c r="Z78" s="2962"/>
    </row>
    <row r="79" spans="1:26">
      <c r="A79" s="2898" t="s">
        <v>2609</v>
      </c>
      <c r="B79" s="2972">
        <f t="shared" ref="B79:C81" si="182">B80+(B$78-B$82)/4</f>
        <v>105</v>
      </c>
      <c r="C79" s="2972">
        <f t="shared" si="182"/>
        <v>106</v>
      </c>
      <c r="D79" s="2972">
        <f t="shared" si="145"/>
        <v>106</v>
      </c>
      <c r="E79" s="2972">
        <f t="shared" ref="E79:F81" si="183">E80+(E$78-E$82)/4</f>
        <v>104.5</v>
      </c>
      <c r="F79" s="2972">
        <f t="shared" si="183"/>
        <v>101.5</v>
      </c>
      <c r="G79" s="3609">
        <v>2002</v>
      </c>
      <c r="H79" s="2925">
        <v>3</v>
      </c>
      <c r="I79" s="2970"/>
      <c r="J79" s="2970"/>
      <c r="K79" s="2970"/>
      <c r="L79" s="2970"/>
      <c r="X79" s="2962"/>
      <c r="Y79" s="2962"/>
      <c r="Z79" s="2962"/>
    </row>
    <row r="80" spans="1:26">
      <c r="A80" s="2898" t="s">
        <v>2610</v>
      </c>
      <c r="B80" s="2972">
        <f t="shared" si="182"/>
        <v>104</v>
      </c>
      <c r="C80" s="2972">
        <f t="shared" si="182"/>
        <v>105</v>
      </c>
      <c r="D80" s="2972">
        <f t="shared" si="145"/>
        <v>105</v>
      </c>
      <c r="E80" s="2972">
        <f t="shared" si="183"/>
        <v>104</v>
      </c>
      <c r="F80" s="2972">
        <f t="shared" si="183"/>
        <v>101</v>
      </c>
      <c r="G80" s="3609">
        <v>2002</v>
      </c>
      <c r="H80" s="2913">
        <v>2</v>
      </c>
      <c r="I80" s="2970"/>
      <c r="J80" s="2970"/>
      <c r="K80" s="2970"/>
      <c r="L80" s="2970"/>
      <c r="X80" s="2962"/>
      <c r="Y80" s="2962"/>
      <c r="Z80" s="2962"/>
    </row>
    <row r="81" spans="1:26" s="2935" customFormat="1" ht="13.5" thickBot="1">
      <c r="A81" s="2931" t="s">
        <v>2611</v>
      </c>
      <c r="B81" s="2938">
        <f t="shared" si="182"/>
        <v>103</v>
      </c>
      <c r="C81" s="2938">
        <f t="shared" si="182"/>
        <v>104</v>
      </c>
      <c r="D81" s="2938">
        <f t="shared" si="145"/>
        <v>104</v>
      </c>
      <c r="E81" s="2938">
        <f t="shared" si="183"/>
        <v>103.5</v>
      </c>
      <c r="F81" s="2938">
        <f t="shared" si="183"/>
        <v>100.5</v>
      </c>
      <c r="G81" s="3610">
        <v>2002</v>
      </c>
      <c r="H81" s="2976">
        <v>1</v>
      </c>
      <c r="I81" s="2977"/>
      <c r="J81" s="2977"/>
      <c r="K81" s="2977"/>
      <c r="L81" s="2977"/>
      <c r="N81" s="2978"/>
      <c r="S81" s="2978"/>
      <c r="X81" s="2979"/>
      <c r="Y81" s="2979"/>
      <c r="Z81" s="2979"/>
    </row>
    <row r="82" spans="1:26" ht="13.5" thickBot="1">
      <c r="B82" s="2980">
        <v>102</v>
      </c>
      <c r="C82" s="2981">
        <v>103</v>
      </c>
      <c r="D82" s="2981">
        <f t="shared" si="145"/>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2612</v>
      </c>
      <c r="G84" s="2985"/>
      <c r="N84" s="2985"/>
      <c r="S84" s="2985"/>
    </row>
    <row r="85" spans="1:26" s="2984" customFormat="1">
      <c r="A85" s="2984" t="s">
        <v>2613</v>
      </c>
      <c r="G85" s="2985"/>
      <c r="N85" s="2985"/>
      <c r="S85" s="2985"/>
    </row>
    <row r="86" spans="1:26" s="2984" customFormat="1">
      <c r="A86" s="2984" t="s">
        <v>2614</v>
      </c>
      <c r="G86" s="2985"/>
      <c r="I86" s="2986"/>
      <c r="J86" s="2986"/>
      <c r="K86" s="2986"/>
      <c r="L86" s="2986"/>
      <c r="N86" s="2987"/>
      <c r="O86" s="2986"/>
      <c r="P86" s="2986"/>
      <c r="Q86" s="2986"/>
      <c r="S86" s="2987"/>
      <c r="T86" s="2986"/>
      <c r="U86" s="2986"/>
      <c r="V86" s="2986"/>
    </row>
    <row r="87" spans="1:26" s="2984" customFormat="1">
      <c r="A87" s="2984" t="s">
        <v>2615</v>
      </c>
      <c r="G87" s="2985"/>
      <c r="N87" s="2985"/>
      <c r="S87" s="2985"/>
    </row>
    <row r="94" spans="1:26" ht="13.5" thickBot="1"/>
    <row r="95" spans="1:26">
      <c r="G95" s="2886"/>
      <c r="S95" s="2988" t="s">
        <v>2616</v>
      </c>
      <c r="T95" s="2989" t="s">
        <v>2617</v>
      </c>
      <c r="U95" s="2989" t="s">
        <v>2618</v>
      </c>
      <c r="V95" s="2989" t="s">
        <v>2619</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9"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D5" sqref="AD5"/>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2917</v>
      </c>
      <c r="B1" s="3246"/>
      <c r="C1" s="3246"/>
      <c r="D1" s="3246"/>
      <c r="E1" s="3246"/>
      <c r="F1" s="3246"/>
      <c r="G1" s="3247"/>
      <c r="H1" s="3247"/>
      <c r="I1" s="3247"/>
      <c r="J1" s="3247"/>
      <c r="K1" s="3247"/>
      <c r="L1" s="3247"/>
      <c r="M1" s="3247"/>
      <c r="N1" s="3247"/>
    </row>
    <row r="2" spans="1:14" ht="14.25">
      <c r="A2" s="3252" t="s">
        <v>2912</v>
      </c>
      <c r="B2" s="3257">
        <f ca="1">SUMIF(B7:B14,"&lt;&gt;#ref!",B7:B14)</f>
        <v>0</v>
      </c>
      <c r="C2" s="3252" t="s">
        <v>2913</v>
      </c>
      <c r="D2" s="3249"/>
      <c r="E2" s="3249"/>
      <c r="F2" s="3249"/>
      <c r="G2" s="3247"/>
      <c r="H2" s="3247"/>
      <c r="I2" s="3247"/>
      <c r="J2" s="3247"/>
      <c r="K2" s="3247"/>
      <c r="L2" s="3247"/>
      <c r="M2" s="3247"/>
      <c r="N2" s="3247"/>
    </row>
    <row r="3" spans="1:14" ht="14.25">
      <c r="A3" s="3252" t="s">
        <v>2942</v>
      </c>
      <c r="B3" s="3257" t="e">
        <f ca="1">ROUND(B2*10000/E3,0)</f>
        <v>#DIV/0!</v>
      </c>
      <c r="C3" s="3252" t="s">
        <v>2067</v>
      </c>
      <c r="D3" s="3252" t="s">
        <v>2914</v>
      </c>
      <c r="E3" s="3250">
        <f ca="1">SUMIF(E7:E14,"&lt;&gt;#ref!",E7:E14)</f>
        <v>0</v>
      </c>
      <c r="F3" s="3249"/>
      <c r="G3" s="3247"/>
      <c r="H3" s="3247"/>
      <c r="I3" s="3247"/>
      <c r="J3" s="3247"/>
      <c r="K3" s="3247"/>
      <c r="L3" s="3247"/>
      <c r="M3" s="3247"/>
      <c r="N3" s="3247"/>
    </row>
    <row r="4" spans="1:14" ht="14.25">
      <c r="A4" s="3252" t="s">
        <v>2920</v>
      </c>
      <c r="B4" s="3257" t="e">
        <f ca="1">ROUND(B2*10000/E4,0)</f>
        <v>#DIV/0!</v>
      </c>
      <c r="C4" s="3252" t="s">
        <v>2067</v>
      </c>
      <c r="D4" s="3252" t="s">
        <v>2921</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2918</v>
      </c>
      <c r="B6" s="3252" t="s">
        <v>2915</v>
      </c>
      <c r="C6" s="2790"/>
      <c r="D6" s="3249"/>
      <c r="E6" s="3252" t="s">
        <v>2916</v>
      </c>
      <c r="F6" s="3252" t="s">
        <v>2919</v>
      </c>
      <c r="G6" s="3247"/>
      <c r="H6" s="3247"/>
      <c r="I6" s="3247"/>
      <c r="J6" s="3247"/>
      <c r="K6" s="3247"/>
      <c r="L6" s="3247"/>
      <c r="M6" s="3247"/>
      <c r="N6" s="3247"/>
    </row>
    <row r="7" spans="1:14" ht="14.25">
      <c r="A7" s="3255"/>
      <c r="B7" s="3257" t="e">
        <f ca="1">SUMIF(INDIRECT("'"&amp;A7&amp;"'"&amp;"!A:A"),"总价",INDIRECT("'"&amp;A7&amp;"'"&amp;"!B:B"))</f>
        <v>#REF!</v>
      </c>
      <c r="C7" s="3252" t="s">
        <v>2913</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2913</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2913</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2913</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2913</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2913</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2913</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2913</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59" sqref="C59"/>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-1</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617" t="s">
        <v>2445</v>
      </c>
      <c r="C8" s="1740">
        <f ca="1">ROUND(F8*F10*F9*(1-F11)/10000,0)</f>
        <v>0</v>
      </c>
      <c r="D8" s="1737" t="s">
        <v>2516</v>
      </c>
      <c r="E8" s="61" t="s">
        <v>631</v>
      </c>
      <c r="F8" s="775">
        <f ca="1">INDIRECT("'数据-取费表'!u"&amp;$G$1)</f>
        <v>0</v>
      </c>
      <c r="G8" s="1527"/>
      <c r="H8" s="2357" t="s">
        <v>1815</v>
      </c>
      <c r="I8" s="3617" t="s">
        <v>2445</v>
      </c>
      <c r="J8" s="773">
        <f ca="1">ROUND(M8*M10*M9*(1-M11)/10000,0)</f>
        <v>0</v>
      </c>
      <c r="K8" s="339" t="s">
        <v>2516</v>
      </c>
      <c r="L8" s="774" t="s">
        <v>1729</v>
      </c>
      <c r="M8" s="775">
        <f ca="1">INDIRECT("'数据-取费表'!z"&amp;$G$1)</f>
        <v>0</v>
      </c>
    </row>
    <row r="9" spans="1:25" ht="18" customHeight="1">
      <c r="A9" s="2353"/>
      <c r="B9" s="3618"/>
      <c r="C9" s="1741"/>
      <c r="D9" s="1738"/>
      <c r="E9" s="61" t="s">
        <v>632</v>
      </c>
      <c r="F9" s="775">
        <f ca="1">IF(INDIRECT("'数据-取费表'!ah"&amp;$G$1)="",INDIRECT("'数据-取费表'!k"&amp;$G$1),INDIRECT("'数据-取费表'!ah"&amp;$G$1))</f>
        <v>0</v>
      </c>
      <c r="G9" s="1527"/>
      <c r="H9" s="2342"/>
      <c r="I9" s="3618"/>
      <c r="J9" s="778"/>
      <c r="K9" s="779"/>
      <c r="L9" s="774" t="s">
        <v>1730</v>
      </c>
      <c r="M9" s="775">
        <f ca="1">F9</f>
        <v>0</v>
      </c>
    </row>
    <row r="10" spans="1:25" ht="18" customHeight="1">
      <c r="A10" s="2346"/>
      <c r="B10" s="3619"/>
      <c r="C10" s="1741"/>
      <c r="D10" s="1738"/>
      <c r="E10" s="61" t="s">
        <v>633</v>
      </c>
      <c r="F10" s="775">
        <f ca="1">INDIRECT("'数据-取费表'!ai"&amp;$G$1)</f>
        <v>0</v>
      </c>
      <c r="G10" s="1527"/>
      <c r="H10" s="2342"/>
      <c r="I10" s="3619"/>
      <c r="J10" s="778"/>
      <c r="K10" s="779"/>
      <c r="L10" s="774" t="s">
        <v>1731</v>
      </c>
      <c r="M10" s="775">
        <f ca="1">INDIRECT("'数据-取费表'!ai"&amp;$G$1)</f>
        <v>0</v>
      </c>
    </row>
    <row r="11" spans="1:25" ht="18" customHeight="1">
      <c r="A11" s="776"/>
      <c r="B11" s="3620"/>
      <c r="C11" s="1741"/>
      <c r="D11" s="1738"/>
      <c r="E11" s="61" t="s">
        <v>634</v>
      </c>
      <c r="F11" s="784">
        <f ca="1">INDIRECT("'数据-取费表'!w"&amp;$G$1)</f>
        <v>0</v>
      </c>
      <c r="G11" s="1527"/>
      <c r="H11" s="2358"/>
      <c r="I11" s="3619"/>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2939</v>
      </c>
      <c r="E12" s="2351" t="s">
        <v>2446</v>
      </c>
      <c r="F12" s="2465"/>
      <c r="G12" s="1527"/>
      <c r="H12" s="2414" t="s">
        <v>1816</v>
      </c>
      <c r="I12" s="2419" t="s">
        <v>2441</v>
      </c>
      <c r="J12" s="773">
        <f ca="1">ROUND(IF(M12="押一",J8/12*M13,IF(M12="押二",J8/12*2*M13,IF(M12="押三",J8/12*3*M13,J13*M13))),0)</f>
        <v>0</v>
      </c>
      <c r="K12" s="2354" t="s">
        <v>2939</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0</v>
      </c>
      <c r="G19" s="1528"/>
      <c r="H19" s="793" t="s">
        <v>2058</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(建造成本+管理费用)×利率×(建设周期÷2)</v>
      </c>
      <c r="E25" s="774" t="s">
        <v>672</v>
      </c>
      <c r="F25" s="632">
        <f>'数据-取费表'!B20</f>
        <v>1</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5.0000000000000001E-4</v>
      </c>
      <c r="D26" s="2423" t="str">
        <f>IF(F25&lt;=1,"销售费用×利率×(建设周期÷2)","销售费用×((1+利率)^(建设周期÷2)-1)")</f>
        <v>销售费用×利率×(建设周期÷2)</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2993</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3616"/>
      <c r="J36" s="1962"/>
      <c r="K36" s="1963"/>
      <c r="L36" s="1962"/>
      <c r="M36" s="1962"/>
    </row>
    <row r="37" spans="1:18" ht="18" customHeight="1">
      <c r="A37" s="804"/>
      <c r="B37" s="783"/>
      <c r="C37" s="69"/>
      <c r="D37" s="805"/>
      <c r="E37" s="774" t="s">
        <v>668</v>
      </c>
      <c r="F37" s="775">
        <f ca="1">INDIRECT("'数据-取费表'!r"&amp;$G$1)</f>
        <v>0</v>
      </c>
      <c r="G37" s="1945"/>
      <c r="H37" s="1948"/>
      <c r="I37" s="3616"/>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2928</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2931</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2943</v>
      </c>
      <c r="J54" s="2858">
        <f ca="1">IF(M48="住宅",MAX(J52,L49-'数据-取费表'!B20),MIN(J52,L49-'数据-取费表'!B20))</f>
        <v>-1</v>
      </c>
      <c r="K54" s="3621"/>
      <c r="L54" s="3622"/>
      <c r="O54" s="2256" t="s">
        <v>2373</v>
      </c>
      <c r="P54" s="2254" t="s">
        <v>2374</v>
      </c>
      <c r="Q54" s="2255">
        <f ca="1">J54</f>
        <v>-1</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2911</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2021年1月5日</v>
      </c>
    </row>
    <row r="12" spans="1:4" ht="18.75">
      <c r="A12" s="1712" t="s">
        <v>2014</v>
      </c>
    </row>
    <row r="13" spans="1:4" ht="18.75">
      <c r="A13" s="1706" t="s">
        <v>2910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根据《国有土地使用证》[]，估价对象（分摊）出让国有建设用地使用权面积为44852.26平方米。根据《建设工程规划许可证》[]、《出让合同》[]，估价对象规划建筑面积为44852.26平方米。</v>
      </c>
    </row>
    <row r="21" spans="1:1" ht="18.75">
      <c r="A21" s="1706" t="s">
        <v>2063</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本次估价对象为出让国有建设用地使用权，《国有土地使用证》[]证载土地终止日期为工业2061年8月4日。截至估价期日，出让国有建设用地使用权剩余土地使用年限为。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60" zoomScaleNormal="60" workbookViewId="0">
      <selection activeCell="C59" sqref="C59"/>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8" t="s">
        <v>943</v>
      </c>
      <c r="E1" s="2242" t="s">
        <v>2359</v>
      </c>
      <c r="F1" s="2243">
        <f ca="1">J53</f>
        <v>0</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#DIV/0!</v>
      </c>
      <c r="C2" s="3264"/>
      <c r="D2" s="3265"/>
      <c r="E2" s="3266"/>
      <c r="F2" s="3266"/>
      <c r="G2" s="3260"/>
      <c r="H2" s="1940"/>
      <c r="I2" s="1940"/>
      <c r="J2" s="1940"/>
      <c r="K2" s="1941"/>
      <c r="L2" s="1940"/>
      <c r="M2" s="1940"/>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0</v>
      </c>
      <c r="D5" s="2349" t="s">
        <v>2443</v>
      </c>
      <c r="E5" s="2343"/>
      <c r="F5" s="2344"/>
      <c r="G5" s="1945"/>
      <c r="H5" s="771">
        <v>1</v>
      </c>
      <c r="I5" s="772" t="s">
        <v>2440</v>
      </c>
      <c r="J5" s="55">
        <f ca="1">J6+J10+J12</f>
        <v>0</v>
      </c>
      <c r="K5" s="2349" t="s">
        <v>2443</v>
      </c>
      <c r="L5" s="2343"/>
      <c r="M5" s="2344"/>
    </row>
    <row r="6" spans="1:33" ht="18" customHeight="1">
      <c r="A6" s="1745" t="s">
        <v>1815</v>
      </c>
      <c r="B6" s="3617" t="s">
        <v>2445</v>
      </c>
      <c r="C6" s="773">
        <f ca="1">ROUND(F6*F8*F7*(1-F9)/10000,0)</f>
        <v>0</v>
      </c>
      <c r="D6" s="2350" t="s">
        <v>2444</v>
      </c>
      <c r="E6" s="774" t="s">
        <v>1729</v>
      </c>
      <c r="F6" s="775">
        <f ca="1">INDIRECT("'数据-取费表'!u"&amp;$G$1)</f>
        <v>0</v>
      </c>
      <c r="G6" s="1945"/>
      <c r="H6" s="2357" t="s">
        <v>2450</v>
      </c>
      <c r="I6" s="3617" t="s">
        <v>2445</v>
      </c>
      <c r="J6" s="773">
        <f ca="1">ROUND(M6*M8*M7*(1-M9)/10000,0)</f>
        <v>0</v>
      </c>
      <c r="K6" s="339" t="s">
        <v>1728</v>
      </c>
      <c r="L6" s="774" t="s">
        <v>1729</v>
      </c>
      <c r="M6" s="775">
        <f ca="1">INDIRECT("'数据-取费表'!z"&amp;$G$1)</f>
        <v>0</v>
      </c>
    </row>
    <row r="7" spans="1:33" ht="18" customHeight="1">
      <c r="A7" s="2353"/>
      <c r="B7" s="3618"/>
      <c r="C7" s="778"/>
      <c r="D7" s="779"/>
      <c r="E7" s="774" t="s">
        <v>1730</v>
      </c>
      <c r="F7" s="775">
        <f ca="1">IF(INDIRECT("'数据-取费表'!ah"&amp;$G$1)="",INDIRECT("'数据-取费表'!k"&amp;$G$1),INDIRECT("'数据-取费表'!ah"&amp;$G$1))</f>
        <v>0</v>
      </c>
      <c r="G7" s="1945"/>
      <c r="H7" s="2342"/>
      <c r="I7" s="3618"/>
      <c r="J7" s="778"/>
      <c r="K7" s="779"/>
      <c r="L7" s="774" t="s">
        <v>1730</v>
      </c>
      <c r="M7" s="775">
        <f ca="1">F7</f>
        <v>0</v>
      </c>
    </row>
    <row r="8" spans="1:33" ht="18" customHeight="1">
      <c r="A8" s="2346"/>
      <c r="B8" s="3619"/>
      <c r="C8" s="778"/>
      <c r="D8" s="779"/>
      <c r="E8" s="774" t="s">
        <v>1731</v>
      </c>
      <c r="F8" s="775">
        <f ca="1">INDIRECT("'数据-取费表'!ai"&amp;$G$1)</f>
        <v>0</v>
      </c>
      <c r="G8" s="1945"/>
      <c r="H8" s="2342"/>
      <c r="I8" s="3619"/>
      <c r="J8" s="778"/>
      <c r="K8" s="779"/>
      <c r="L8" s="774" t="s">
        <v>1731</v>
      </c>
      <c r="M8" s="775">
        <f ca="1">INDIRECT("'数据-取费表'!ai"&amp;$G$1)</f>
        <v>0</v>
      </c>
    </row>
    <row r="9" spans="1:33" ht="18" customHeight="1">
      <c r="A9" s="776"/>
      <c r="B9" s="3620"/>
      <c r="C9" s="778"/>
      <c r="D9" s="779"/>
      <c r="E9" s="774" t="s">
        <v>1732</v>
      </c>
      <c r="F9" s="784">
        <f ca="1">INDIRECT("'数据-取费表'!w"&amp;$G$1)</f>
        <v>0</v>
      </c>
      <c r="G9" s="1945"/>
      <c r="H9" s="2358"/>
      <c r="I9" s="3619"/>
      <c r="J9" s="778"/>
      <c r="K9" s="779"/>
      <c r="L9" s="785" t="s">
        <v>1732</v>
      </c>
      <c r="M9" s="786">
        <f ca="1">INDIRECT("'数据-取费表'!ab"&amp;$G$1)</f>
        <v>0</v>
      </c>
    </row>
    <row r="10" spans="1:33" ht="18" customHeight="1">
      <c r="A10" s="1745" t="s">
        <v>2448</v>
      </c>
      <c r="B10" s="2347" t="s">
        <v>2441</v>
      </c>
      <c r="C10" s="789">
        <f ca="1">ROUND(IF(F10="押一",C6/12*F11,IF(F10="押二",C6/12*2*F11,IF(F10="押三",C6/12*3*F11,C11*F11))),0)</f>
        <v>0</v>
      </c>
      <c r="D10" s="2354" t="s">
        <v>2939</v>
      </c>
      <c r="E10" s="2351" t="s">
        <v>2446</v>
      </c>
      <c r="F10" s="2465"/>
      <c r="G10" s="1945"/>
      <c r="H10" s="2414" t="s">
        <v>2451</v>
      </c>
      <c r="I10" s="2419" t="s">
        <v>2441</v>
      </c>
      <c r="J10" s="773">
        <f ca="1">ROUND(IF(M10="押一",J6/12*M11,IF(M10="押二",J6/12*2*M11,IF(M10="押三",J6/12*3*M11,J11*M11))),0)</f>
        <v>0</v>
      </c>
      <c r="K10" s="2354" t="s">
        <v>2939</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0</v>
      </c>
      <c r="D13" s="1749" t="s">
        <v>2285</v>
      </c>
      <c r="E13" s="1749" t="s">
        <v>1735</v>
      </c>
      <c r="F13" s="2389">
        <f ca="1">INDIRECT("'数据-取费表'!y"&amp;$G$1)</f>
        <v>0</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0</v>
      </c>
      <c r="D14" s="1893" t="s">
        <v>1736</v>
      </c>
      <c r="E14" s="1894"/>
      <c r="F14" s="795"/>
      <c r="G14" s="1945"/>
      <c r="H14" s="1578" t="s">
        <v>1821</v>
      </c>
      <c r="I14" s="2111" t="s">
        <v>2806</v>
      </c>
      <c r="J14" s="53">
        <f ca="1">C29</f>
        <v>0</v>
      </c>
      <c r="K14" s="26"/>
      <c r="L14" s="791"/>
      <c r="M14" s="792"/>
    </row>
    <row r="15" spans="1:33" s="1947" customFormat="1" ht="18" customHeight="1" thickBot="1">
      <c r="A15" s="1577" t="s">
        <v>1876</v>
      </c>
      <c r="B15" s="774" t="s">
        <v>641</v>
      </c>
      <c r="C15" s="53">
        <f ca="1">ROUND(C14*F15,0)</f>
        <v>0</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0</v>
      </c>
      <c r="K16" s="1736" t="s">
        <v>1741</v>
      </c>
      <c r="L16" s="2339"/>
      <c r="M16" s="2344"/>
    </row>
    <row r="17" spans="1:33" s="1947" customFormat="1" ht="18" customHeight="1">
      <c r="A17" s="1577" t="s">
        <v>1878</v>
      </c>
      <c r="B17" s="774" t="s">
        <v>647</v>
      </c>
      <c r="C17" s="53">
        <f ca="1">ROUND(F17*(F43+INDIRECT("'数据-取费表'!S"&amp;$G$1))/10000,0)</f>
        <v>0</v>
      </c>
      <c r="D17" s="774" t="s">
        <v>1742</v>
      </c>
      <c r="E17" s="774" t="s">
        <v>1743</v>
      </c>
      <c r="F17" s="56">
        <f>'数据-取费表'!B35</f>
        <v>0</v>
      </c>
      <c r="G17" s="3261"/>
      <c r="H17" s="1578" t="s">
        <v>1821</v>
      </c>
      <c r="I17" s="774" t="s">
        <v>650</v>
      </c>
      <c r="J17" s="3019">
        <f ca="1">ROUND(IF(AND(项目基本情况!B11="自然人",项目基本情况!B10="北京市"),J6*M17/(1+'数据-取费表'!C42),J18+J19+J20),0)</f>
        <v>0</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0</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0</v>
      </c>
      <c r="D19" s="259" t="s">
        <v>1748</v>
      </c>
      <c r="E19" s="1896"/>
      <c r="F19" s="56"/>
      <c r="G19" s="1945"/>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7" customFormat="1" ht="18" customHeight="1">
      <c r="A20" s="1578" t="s">
        <v>1880</v>
      </c>
      <c r="B20" s="774" t="s">
        <v>660</v>
      </c>
      <c r="C20" s="53">
        <f ca="1">ROUND(C19*F20,0)</f>
        <v>0</v>
      </c>
      <c r="D20" s="801" t="s">
        <v>1750</v>
      </c>
      <c r="E20" s="774" t="s">
        <v>1738</v>
      </c>
      <c r="F20" s="799">
        <f>'数据-取费表'!B37</f>
        <v>0.02</v>
      </c>
      <c r="G20" s="3261"/>
      <c r="H20" s="1580" t="s">
        <v>1871</v>
      </c>
      <c r="I20" s="339" t="s">
        <v>1751</v>
      </c>
      <c r="J20" s="54">
        <f ca="1">ROUND(M20*M21/10000,0)</f>
        <v>0</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0.02</v>
      </c>
      <c r="G21" s="3261"/>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f ca="1">ROUND(J14*M22,0)</f>
        <v>0</v>
      </c>
      <c r="K22" s="2337" t="s">
        <v>1760</v>
      </c>
      <c r="L22" s="774" t="s">
        <v>1738</v>
      </c>
      <c r="M22" s="806">
        <f ca="1">INDIRECT("'数据-取费表'!Ak"&amp;$G$1)</f>
        <v>0</v>
      </c>
    </row>
    <row r="23" spans="1:33" s="1947" customFormat="1" ht="18" customHeight="1">
      <c r="A23" s="1577" t="s">
        <v>1822</v>
      </c>
      <c r="B23" s="774" t="s">
        <v>2517</v>
      </c>
      <c r="C23" s="53">
        <f ca="1">ROUND(IF('数据-取费表'!B22&lt;=1,(C19+C20)*F24*F23/2,(C19+C20)*(POWER((1+F24),F23/2)-1)),0)</f>
        <v>0</v>
      </c>
      <c r="D23" s="2423" t="str">
        <f>IF(F23&lt;=1,"(建造成本+管理费用)×利率×(建设周期÷2)","(建造成本+管理费用)×((1+利率)^(建设周期÷2)-1)")</f>
        <v>(建造成本+管理费用)×利率×(建设周期÷2)</v>
      </c>
      <c r="E23" s="774" t="s">
        <v>1761</v>
      </c>
      <c r="F23" s="632">
        <f>'数据-取费表'!B20</f>
        <v>1</v>
      </c>
      <c r="G23" s="3261"/>
      <c r="H23" s="1578" t="s">
        <v>1881</v>
      </c>
      <c r="I23" s="774" t="s">
        <v>673</v>
      </c>
      <c r="J23" s="53">
        <f ca="1">ROUND(J13*M23,0)</f>
        <v>0</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5.0000000000000001E-4</v>
      </c>
      <c r="D24" s="2423" t="str">
        <f>IF(F23&lt;=1,"销售费用×利率×(建设周期÷2)","销售费用×((1+利率)^(建设周期÷2)-1)")</f>
        <v>销售费用×利率×(建设周期÷2)</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0</v>
      </c>
      <c r="K25" s="2401" t="s">
        <v>1768</v>
      </c>
      <c r="L25" s="2402"/>
      <c r="M25" s="2403"/>
    </row>
    <row r="26" spans="1:33" ht="18" customHeight="1">
      <c r="A26" s="1577" t="s">
        <v>1822</v>
      </c>
      <c r="B26" s="774" t="s">
        <v>2422</v>
      </c>
      <c r="C26" s="53">
        <f ca="1">ROUND((C19+C20)*F26,0)</f>
        <v>0</v>
      </c>
      <c r="D26" s="801" t="s">
        <v>1769</v>
      </c>
      <c r="E26" s="785" t="s">
        <v>1770</v>
      </c>
      <c r="F26" s="784">
        <f ca="1">INDIRECT("'数据-取费表'!q"&amp;$G$1)</f>
        <v>0</v>
      </c>
      <c r="G26" s="1945"/>
      <c r="H26" s="2355" t="s">
        <v>1771</v>
      </c>
      <c r="I26" s="2112" t="s">
        <v>2807</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5.2400000000000002E-2</v>
      </c>
      <c r="D28" s="801" t="s">
        <v>2287</v>
      </c>
      <c r="E28" s="774" t="s">
        <v>1776</v>
      </c>
      <c r="F28" s="799">
        <f>'数据-取费表'!B41</f>
        <v>5.5000000000000007E-2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0</v>
      </c>
      <c r="D29" s="2398"/>
      <c r="E29" s="2399"/>
      <c r="F29" s="2400"/>
      <c r="G29" s="3261"/>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0</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ROUND(IF(AND(项目基本情况!B11="自然人",项目基本情况!B10="北京市"),C6*F31/(1+'数据-取费表'!C42),C32+C33+C34),0)</f>
        <v>0</v>
      </c>
      <c r="D31" s="1893" t="s">
        <v>1783</v>
      </c>
      <c r="E31" s="1891" t="s">
        <v>1784</v>
      </c>
      <c r="F31" s="3018" t="str">
        <f>IF(项目基本情况!B11="企业","——",IF('数据-取费表'!B10="住宅",IF(F6*F7*F8/12/(1+'数据-取费表'!F30)&gt;100000,4%,2.5%),IF(F6*F7*F8/12/(1+'数据-取费表'!F30)&gt;100000,12%,7%)))</f>
        <v>——</v>
      </c>
      <c r="G31" s="1945"/>
      <c r="H31" s="3258" t="s">
        <v>2994</v>
      </c>
      <c r="I31" s="1949"/>
      <c r="J31" s="1950"/>
      <c r="K31" s="1951"/>
      <c r="L31" s="1952"/>
      <c r="M31" s="1953"/>
    </row>
    <row r="32" spans="1:33" ht="18" customHeight="1">
      <c r="A32" s="1577" t="s">
        <v>1822</v>
      </c>
      <c r="B32" s="774" t="s">
        <v>1785</v>
      </c>
      <c r="C32" s="53">
        <f ca="1">ROUND(C6*F32/(1+'数据-取费表'!C42),1)</f>
        <v>0</v>
      </c>
      <c r="D32" s="1891" t="s">
        <v>1786</v>
      </c>
      <c r="E32" s="774" t="s">
        <v>1787</v>
      </c>
      <c r="F32" s="799">
        <f>'数据-取费表'!B41</f>
        <v>5.5000000000000007E-2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0</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f ca="1">ROUND(C13*J36,0)</f>
        <v>0</v>
      </c>
      <c r="K35" s="1961"/>
      <c r="L35" s="1960"/>
      <c r="M35" s="1960"/>
    </row>
    <row r="36" spans="1:18" ht="18" customHeight="1">
      <c r="A36" s="1578" t="s">
        <v>1880</v>
      </c>
      <c r="B36" s="774" t="s">
        <v>1793</v>
      </c>
      <c r="C36" s="53">
        <f ca="1">ROUND(C29*F36,1)</f>
        <v>0</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8" t="s">
        <v>1881</v>
      </c>
      <c r="B37" s="774" t="s">
        <v>673</v>
      </c>
      <c r="C37" s="53">
        <f ca="1">ROUND(C13*F37,1)</f>
        <v>0</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3" t="s">
        <v>2802</v>
      </c>
      <c r="C39" s="782">
        <f ca="1">C5-C30</f>
        <v>0</v>
      </c>
      <c r="D39" s="2401" t="s">
        <v>1797</v>
      </c>
      <c r="E39" s="2402"/>
      <c r="F39" s="2403"/>
      <c r="G39" s="1945"/>
      <c r="H39" s="1960"/>
      <c r="I39" s="826" t="s">
        <v>1809</v>
      </c>
      <c r="J39" s="834" t="e">
        <f ca="1">ROUND(J35/C39,3)</f>
        <v>#DIV/0!</v>
      </c>
      <c r="K39" s="1965"/>
      <c r="L39" s="1960"/>
      <c r="M39" s="1960"/>
    </row>
    <row r="40" spans="1:18" ht="18" customHeight="1">
      <c r="A40" s="771" t="s">
        <v>1886</v>
      </c>
      <c r="B40" s="2112" t="s">
        <v>2289</v>
      </c>
      <c r="C40" s="773" t="e">
        <f ca="1">ROUND(C39*(1-((1+F42)/(1+F40))^F41)/(F40-F42),0)</f>
        <v>#DIV/0!</v>
      </c>
      <c r="D40" s="803" t="s">
        <v>1798</v>
      </c>
      <c r="E40" s="774" t="s">
        <v>2404</v>
      </c>
      <c r="F40" s="784">
        <f ca="1">INDIRECT("'数据-取费表'!I"&amp;$G$1)</f>
        <v>0</v>
      </c>
      <c r="G40" s="1945"/>
      <c r="H40" s="1945"/>
      <c r="I40" s="826" t="s">
        <v>1810</v>
      </c>
      <c r="J40" s="834" t="e">
        <f ca="1">1-J39</f>
        <v>#DIV/0!</v>
      </c>
      <c r="K40" s="1965"/>
      <c r="L40" s="1945"/>
      <c r="M40" s="1945"/>
    </row>
    <row r="41" spans="1:18" ht="18" customHeight="1">
      <c r="A41" s="776"/>
      <c r="B41" s="777"/>
      <c r="C41" s="778"/>
      <c r="D41" s="810" t="s">
        <v>1799</v>
      </c>
      <c r="E41" s="774" t="s">
        <v>2930</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#DIV/0!</v>
      </c>
      <c r="D46" s="3262"/>
      <c r="E46" s="3262"/>
      <c r="F46" s="3262"/>
      <c r="I46" s="2233" t="s">
        <v>2328</v>
      </c>
      <c r="J46" s="2234"/>
      <c r="K46" s="2235"/>
      <c r="L46" s="2811" t="e">
        <f ca="1">IF(OR(M47="住宅",D1="土地（套用方法）"),0,IF(L48&gt;J51,L60,J60))</f>
        <v>#DIV/0!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c r="K47" s="2808" t="s">
        <v>2334</v>
      </c>
      <c r="L47" s="2812">
        <f ca="1">INDIRECT("'数据-取费表'!d"&amp;$G$1)</f>
        <v>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c r="K48" s="2809" t="s">
        <v>2336</v>
      </c>
      <c r="L48" s="1822">
        <f ca="1">INDIRECT("'数据-取费表'!f"&amp;$G$1)</f>
        <v>0</v>
      </c>
      <c r="M48" s="3263"/>
      <c r="O48" s="2253" t="s">
        <v>2364</v>
      </c>
      <c r="P48" s="2254" t="s">
        <v>2390</v>
      </c>
      <c r="Q48" s="2255" t="e">
        <f ca="1">C40+J29</f>
        <v>#DIV/0!</v>
      </c>
      <c r="R48" s="2254" t="s">
        <v>2365</v>
      </c>
    </row>
    <row r="49" spans="1:18" s="1942" customFormat="1" ht="18" customHeight="1" thickBot="1">
      <c r="A49" s="776"/>
      <c r="B49" s="777"/>
      <c r="C49" s="778"/>
      <c r="D49" s="779"/>
      <c r="E49" s="774" t="s">
        <v>1730</v>
      </c>
      <c r="F49" s="775">
        <f ca="1">F7</f>
        <v>0</v>
      </c>
      <c r="G49" s="1972"/>
      <c r="H49" s="1975"/>
      <c r="I49" s="2799" t="s">
        <v>2331</v>
      </c>
      <c r="J49" s="2238"/>
      <c r="K49" s="2810" t="s">
        <v>2337</v>
      </c>
      <c r="L49" s="2239"/>
      <c r="M49" s="3263"/>
      <c r="O49" s="2253" t="s">
        <v>2366</v>
      </c>
      <c r="P49" s="2254" t="s">
        <v>2391</v>
      </c>
      <c r="Q49" s="2255" t="e">
        <f ca="1">J60</f>
        <v>#DIV/0!</v>
      </c>
      <c r="R49" s="2254" t="s">
        <v>2367</v>
      </c>
    </row>
    <row r="50" spans="1:18" s="1942" customFormat="1" ht="18" customHeight="1" thickBot="1">
      <c r="A50" s="776"/>
      <c r="B50" s="777"/>
      <c r="C50" s="778"/>
      <c r="D50" s="779"/>
      <c r="E50" s="774" t="s">
        <v>1731</v>
      </c>
      <c r="F50" s="775">
        <f ca="1">F8</f>
        <v>0</v>
      </c>
      <c r="G50" s="1977"/>
      <c r="H50" s="1975"/>
      <c r="I50" s="2799" t="s">
        <v>2332</v>
      </c>
      <c r="J50" s="2806">
        <f>SUMPRODUCT((I63:I65=J47)*(J62:L62=J48)*(J63:L65))</f>
        <v>0</v>
      </c>
      <c r="K50" s="2810" t="s">
        <v>2338</v>
      </c>
      <c r="L50" s="2239"/>
      <c r="M50" s="3263"/>
      <c r="O50" s="2256" t="s">
        <v>2368</v>
      </c>
      <c r="P50" s="2254" t="s">
        <v>2392</v>
      </c>
      <c r="Q50" s="2255">
        <f ca="1">C29</f>
        <v>0</v>
      </c>
      <c r="R50" s="2254" t="s">
        <v>2365</v>
      </c>
    </row>
    <row r="51" spans="1:18" s="1942" customFormat="1" ht="18" customHeight="1" thickBot="1">
      <c r="A51" s="776"/>
      <c r="B51" s="777"/>
      <c r="C51" s="778"/>
      <c r="D51" s="779"/>
      <c r="E51" s="774" t="s">
        <v>634</v>
      </c>
      <c r="F51" s="2226"/>
      <c r="H51" s="1975"/>
      <c r="I51" s="2803" t="s">
        <v>2333</v>
      </c>
      <c r="J51" s="2807">
        <f>IF(J49="",J50,J49+J50-YEAR('数据-取费表'!B2))</f>
        <v>0</v>
      </c>
      <c r="K51" s="2799" t="s">
        <v>2339</v>
      </c>
      <c r="L51" s="2813">
        <f ca="1">ROUND(-PV(INDIRECT("'数据-取费表'!h"&amp;$G$1),J51,(C39-C13*J36),0),0)</f>
        <v>0</v>
      </c>
      <c r="M51" s="3263"/>
      <c r="O51" s="2256" t="s">
        <v>2369</v>
      </c>
      <c r="P51" s="2254" t="s">
        <v>2370</v>
      </c>
      <c r="Q51" s="2257" t="e">
        <f ca="1">J58</f>
        <v>#DIV/0!</v>
      </c>
      <c r="R51" s="2258"/>
    </row>
    <row r="52" spans="1:18" s="1942" customFormat="1" ht="18" customHeight="1" thickBot="1">
      <c r="A52" s="771" t="s">
        <v>2518</v>
      </c>
      <c r="B52" s="2347" t="s">
        <v>2441</v>
      </c>
      <c r="C52" s="789">
        <f ca="1">ROUND(IF(F52="押一",C48/12*F11,IF(F52="押二",C48/12*2*F11,IF(F52="押三",C48/12*3*F11,C53*F11))),0)</f>
        <v>0</v>
      </c>
      <c r="D52" s="2354" t="s">
        <v>2940</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2943</v>
      </c>
      <c r="J53" s="2858">
        <f ca="1">IF(M47="住宅",IF(D1="——",MAX(J51,L48),MAX(J51,L48-'数据-取费表'!B20)),IF(D1="——",MIN(J51,L48),MIN(J51,L48-'数据-取费表'!B20)))</f>
        <v>0</v>
      </c>
      <c r="K53" s="3623" t="s">
        <v>2932</v>
      </c>
      <c r="L53" s="3624"/>
      <c r="M53" s="3263"/>
      <c r="O53" s="2256" t="s">
        <v>2373</v>
      </c>
      <c r="P53" s="2254" t="s">
        <v>2374</v>
      </c>
      <c r="Q53" s="2255">
        <f ca="1">J53</f>
        <v>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t="e">
        <f ca="1">Q48+Q49</f>
        <v>#DIV/0!</v>
      </c>
      <c r="R54" s="2258" t="s">
        <v>2377</v>
      </c>
    </row>
    <row r="55" spans="1:18" s="1942" customFormat="1" ht="18" customHeight="1" thickTop="1" thickBot="1">
      <c r="A55" s="787">
        <v>2</v>
      </c>
      <c r="B55" s="788" t="s">
        <v>638</v>
      </c>
      <c r="C55" s="789">
        <f ca="1">C13</f>
        <v>0</v>
      </c>
      <c r="D55" s="785"/>
      <c r="E55" s="785"/>
      <c r="F55" s="790"/>
      <c r="I55" s="2816" t="s">
        <v>2340</v>
      </c>
      <c r="J55" s="2788" t="e">
        <f ca="1">ROUND(IF(J47="钢混",J57/J50,1-(1-2%)*(J50-J57)/J50),3)</f>
        <v>#DIV/0!</v>
      </c>
      <c r="K55" s="2817" t="s">
        <v>2341</v>
      </c>
      <c r="L55" s="2241"/>
      <c r="M55" s="3263"/>
      <c r="O55" s="2259" t="s">
        <v>2396</v>
      </c>
      <c r="P55" s="1527"/>
      <c r="Q55" s="1535"/>
      <c r="R55" s="1527"/>
    </row>
    <row r="56" spans="1:18" s="1942" customFormat="1" ht="42.75" customHeight="1" thickBot="1">
      <c r="A56" s="1579"/>
      <c r="B56" s="2111" t="s">
        <v>2290</v>
      </c>
      <c r="C56" s="53">
        <f ca="1">C29</f>
        <v>0</v>
      </c>
      <c r="D56" s="2481"/>
      <c r="E56" s="774"/>
      <c r="F56" s="799"/>
      <c r="I56" s="2818" t="s">
        <v>2342</v>
      </c>
      <c r="J56" s="2828"/>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0</v>
      </c>
      <c r="D57" s="26" t="s">
        <v>1741</v>
      </c>
      <c r="E57" s="2482"/>
      <c r="F57" s="56"/>
      <c r="I57" s="2819" t="s">
        <v>2343</v>
      </c>
      <c r="J57" s="2820">
        <f ca="1">IF(OR(M47="住宅",J51&lt;L48,J56="是"),"——",J51-L48)</f>
        <v>0</v>
      </c>
      <c r="K57" s="2799" t="s">
        <v>2348</v>
      </c>
      <c r="L57" s="1822">
        <f ca="1">IF(L48&lt;J51,"——",IF(L55="比较法",L49,IF(L55="基准地价",L50,L51)))</f>
        <v>0</v>
      </c>
      <c r="M57" s="3263"/>
      <c r="O57" s="2253" t="s">
        <v>2364</v>
      </c>
      <c r="P57" s="2254" t="s">
        <v>2394</v>
      </c>
      <c r="Q57" s="2255" t="e">
        <f ca="1">C40+J29</f>
        <v>#DIV/0!</v>
      </c>
      <c r="R57" s="2254" t="s">
        <v>2365</v>
      </c>
    </row>
    <row r="58" spans="1:18" s="1942" customFormat="1" ht="28.5" customHeight="1" thickBot="1">
      <c r="A58" s="1578" t="s">
        <v>1815</v>
      </c>
      <c r="B58" s="774" t="s">
        <v>650</v>
      </c>
      <c r="C58" s="3019">
        <f ca="1">ROUND(IF(AND(项目基本情况!B11="自然人",项目基本情况!B10="北京市"),C48*F58/(1+'数据-取费表'!C42),C59+C60+C61),0)</f>
        <v>0</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5.5000000000000007E-2</v>
      </c>
      <c r="I59" s="2819" t="s">
        <v>2345</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0</v>
      </c>
      <c r="D60" s="2481" t="str">
        <f>D33</f>
        <v>按房产原值计税</v>
      </c>
      <c r="E60" s="774" t="s">
        <v>1738</v>
      </c>
      <c r="F60" s="799">
        <f t="shared" si="0"/>
        <v>1.2E-2</v>
      </c>
      <c r="I60" s="2821" t="s">
        <v>2346</v>
      </c>
      <c r="J60" s="2822" t="e">
        <f ca="1">IF(OR(M47="住宅",J51&lt;L48,J56="是"),"0",ROUND(J59/(1+J52)^J53,0))</f>
        <v>#DIV/0!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0</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0</v>
      </c>
      <c r="I62" s="2824" t="s">
        <v>2352</v>
      </c>
      <c r="J62" s="2825" t="s">
        <v>2353</v>
      </c>
      <c r="K62" s="2825" t="s">
        <v>2354</v>
      </c>
      <c r="L62" s="2825" t="s">
        <v>2335</v>
      </c>
      <c r="M62" s="2826" t="s">
        <v>2911</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0</v>
      </c>
      <c r="D63" s="2481" t="s">
        <v>1794</v>
      </c>
      <c r="E63" s="774" t="s">
        <v>1738</v>
      </c>
      <c r="F63" s="806">
        <f t="shared" ca="1" si="0"/>
        <v>0</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0</v>
      </c>
      <c r="D64" s="2481" t="s">
        <v>674</v>
      </c>
      <c r="E64" s="774" t="s">
        <v>1738</v>
      </c>
      <c r="F64" s="807">
        <f t="shared" ca="1" si="0"/>
        <v>0</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0</v>
      </c>
      <c r="D66" s="2480" t="s">
        <v>694</v>
      </c>
      <c r="E66" s="2479"/>
      <c r="F66" s="809"/>
      <c r="K66" s="1968"/>
      <c r="O66" s="2253" t="s">
        <v>2364</v>
      </c>
      <c r="P66" s="2254" t="s">
        <v>2394</v>
      </c>
      <c r="Q66" s="2255" t="e">
        <f ca="1">C40+J29</f>
        <v>#DIV/0!</v>
      </c>
      <c r="R66" s="2254" t="s">
        <v>2365</v>
      </c>
    </row>
    <row r="67" spans="1:18" s="1942" customFormat="1" ht="20.25" thickBot="1">
      <c r="A67" s="771" t="s">
        <v>1771</v>
      </c>
      <c r="B67" s="2112" t="s">
        <v>2289</v>
      </c>
      <c r="C67" s="773" t="e">
        <f ca="1">ROUND(C66*(1-((1+F69)/(1+F67))^F68)/(F67-F69),0)</f>
        <v>#DIV/0!</v>
      </c>
      <c r="D67" s="803" t="s">
        <v>698</v>
      </c>
      <c r="E67" s="774" t="s">
        <v>699</v>
      </c>
      <c r="F67" s="784">
        <f ca="1">F40</f>
        <v>0</v>
      </c>
      <c r="K67" s="1968"/>
      <c r="O67" s="2253" t="s">
        <v>2366</v>
      </c>
      <c r="P67" s="2254" t="s">
        <v>2397</v>
      </c>
      <c r="Q67" s="2255" t="e">
        <f ca="1">L60</f>
        <v>#DIV/0!</v>
      </c>
      <c r="R67" s="2258" t="s">
        <v>2399</v>
      </c>
    </row>
    <row r="68" spans="1:18" ht="21.75" thickBot="1">
      <c r="A68" s="776"/>
      <c r="B68" s="777"/>
      <c r="C68" s="778"/>
      <c r="D68" s="810" t="s">
        <v>1799</v>
      </c>
      <c r="E68" s="774" t="s">
        <v>1775</v>
      </c>
      <c r="F68" s="811">
        <f ca="1">F41</f>
        <v>0</v>
      </c>
      <c r="O68" s="2256" t="s">
        <v>2368</v>
      </c>
      <c r="P68" s="2254" t="s">
        <v>2398</v>
      </c>
      <c r="Q68" s="2260">
        <f ca="1">L51</f>
        <v>0</v>
      </c>
      <c r="R68" s="2261" t="s">
        <v>2401</v>
      </c>
    </row>
    <row r="69" spans="1:18" ht="20.25" thickBot="1">
      <c r="A69" s="780"/>
      <c r="B69" s="781"/>
      <c r="C69" s="782"/>
      <c r="D69" s="805"/>
      <c r="E69" s="774" t="s">
        <v>704</v>
      </c>
      <c r="F69" s="2226"/>
      <c r="O69" s="2256" t="s">
        <v>2369</v>
      </c>
      <c r="P69" s="2262" t="s">
        <v>2383</v>
      </c>
      <c r="Q69" s="2255">
        <f ca="1">ROUND(Q70-Q71*Q72,0)</f>
        <v>0</v>
      </c>
      <c r="R69" s="2258"/>
    </row>
    <row r="70" spans="1:18" ht="15.75" thickBot="1">
      <c r="A70" s="812" t="s">
        <v>1778</v>
      </c>
      <c r="B70" s="813" t="s">
        <v>1801</v>
      </c>
      <c r="C70" s="814" t="e">
        <f ca="1">ROUND(C67*10000/F70,0)</f>
        <v>#DIV/0!</v>
      </c>
      <c r="D70" s="815" t="s">
        <v>1802</v>
      </c>
      <c r="E70" s="816" t="s">
        <v>1803</v>
      </c>
      <c r="F70" s="817">
        <f ca="1">F43</f>
        <v>0</v>
      </c>
      <c r="O70" s="2256" t="s">
        <v>2384</v>
      </c>
      <c r="P70" s="2262" t="s">
        <v>2385</v>
      </c>
      <c r="Q70" s="2255">
        <f ca="1">C39</f>
        <v>0</v>
      </c>
      <c r="R70" s="2254" t="s">
        <v>2365</v>
      </c>
    </row>
    <row r="71" spans="1:18" ht="15.75" thickBot="1">
      <c r="O71" s="2256" t="s">
        <v>2386</v>
      </c>
      <c r="P71" s="2262" t="s">
        <v>2387</v>
      </c>
      <c r="Q71" s="2255">
        <f ca="1">C13</f>
        <v>0</v>
      </c>
      <c r="R71" s="2254" t="s">
        <v>2365</v>
      </c>
    </row>
    <row r="72" spans="1:18" ht="15.75" thickBot="1">
      <c r="O72" s="2256" t="s">
        <v>2388</v>
      </c>
      <c r="P72" s="2262" t="s">
        <v>2389</v>
      </c>
      <c r="Q72" s="2257">
        <f ca="1">J36</f>
        <v>0</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41" t="s">
        <v>2453</v>
      </c>
      <c r="B1" s="3642"/>
      <c r="C1" s="3643"/>
      <c r="D1" s="3644">
        <f>SUM(I10,I15,I20,I21,I23)</f>
        <v>0</v>
      </c>
      <c r="E1" s="3644"/>
      <c r="F1" s="3644"/>
      <c r="G1" s="3644"/>
      <c r="H1" s="3644"/>
      <c r="I1" s="3645"/>
    </row>
    <row r="2" spans="1:9">
      <c r="A2" s="3631" t="s">
        <v>2454</v>
      </c>
      <c r="B2" s="3632" t="s">
        <v>2455</v>
      </c>
      <c r="C2" s="3632"/>
      <c r="D2" s="2360" t="s">
        <v>2456</v>
      </c>
      <c r="E2" s="2360" t="s">
        <v>2457</v>
      </c>
      <c r="F2" s="2360" t="s">
        <v>2458</v>
      </c>
      <c r="G2" s="2360" t="s">
        <v>2459</v>
      </c>
      <c r="H2" s="2360" t="s">
        <v>2460</v>
      </c>
      <c r="I2" s="2361" t="s">
        <v>2461</v>
      </c>
    </row>
    <row r="3" spans="1:9">
      <c r="A3" s="3631"/>
      <c r="B3" s="3632" t="s">
        <v>2462</v>
      </c>
      <c r="C3" s="3632"/>
      <c r="D3" s="2362"/>
      <c r="E3" s="2360"/>
      <c r="F3" s="2363"/>
      <c r="G3" s="2363"/>
      <c r="H3" s="2364"/>
      <c r="I3" s="2365">
        <f>ROUND(D3*E3*F3*G3*H3/10000,0)</f>
        <v>0</v>
      </c>
    </row>
    <row r="4" spans="1:9">
      <c r="A4" s="3631"/>
      <c r="B4" s="3632" t="s">
        <v>2463</v>
      </c>
      <c r="C4" s="3632"/>
      <c r="D4" s="2362"/>
      <c r="E4" s="2360"/>
      <c r="F4" s="2363"/>
      <c r="G4" s="2363"/>
      <c r="H4" s="2364"/>
      <c r="I4" s="2365">
        <f t="shared" ref="I4:I9" si="0">ROUND(D4*E4*F4*G4*H4/10000,0)</f>
        <v>0</v>
      </c>
    </row>
    <row r="5" spans="1:9">
      <c r="A5" s="3631"/>
      <c r="B5" s="3632" t="s">
        <v>2464</v>
      </c>
      <c r="C5" s="3632"/>
      <c r="D5" s="2362"/>
      <c r="E5" s="2360"/>
      <c r="F5" s="2363"/>
      <c r="G5" s="2363"/>
      <c r="H5" s="2364"/>
      <c r="I5" s="2365">
        <f t="shared" si="0"/>
        <v>0</v>
      </c>
    </row>
    <row r="6" spans="1:9">
      <c r="A6" s="3631"/>
      <c r="B6" s="3632" t="s">
        <v>2465</v>
      </c>
      <c r="C6" s="3632"/>
      <c r="D6" s="2362"/>
      <c r="E6" s="2360"/>
      <c r="F6" s="2363"/>
      <c r="G6" s="2363"/>
      <c r="H6" s="2364"/>
      <c r="I6" s="2365">
        <f t="shared" si="0"/>
        <v>0</v>
      </c>
    </row>
    <row r="7" spans="1:9">
      <c r="A7" s="3631"/>
      <c r="B7" s="3632" t="s">
        <v>2466</v>
      </c>
      <c r="C7" s="3632"/>
      <c r="D7" s="2362"/>
      <c r="E7" s="2360"/>
      <c r="F7" s="2363"/>
      <c r="G7" s="2363"/>
      <c r="H7" s="2364"/>
      <c r="I7" s="2365">
        <f t="shared" si="0"/>
        <v>0</v>
      </c>
    </row>
    <row r="8" spans="1:9">
      <c r="A8" s="3631"/>
      <c r="B8" s="3632" t="s">
        <v>2467</v>
      </c>
      <c r="C8" s="3632"/>
      <c r="D8" s="2362"/>
      <c r="E8" s="2360"/>
      <c r="F8" s="2363"/>
      <c r="G8" s="2363"/>
      <c r="H8" s="2364"/>
      <c r="I8" s="2365">
        <f t="shared" si="0"/>
        <v>0</v>
      </c>
    </row>
    <row r="9" spans="1:9">
      <c r="A9" s="3631"/>
      <c r="B9" s="3632" t="s">
        <v>2468</v>
      </c>
      <c r="C9" s="3632"/>
      <c r="D9" s="2362"/>
      <c r="E9" s="2360"/>
      <c r="F9" s="2363"/>
      <c r="G9" s="2363"/>
      <c r="H9" s="2364"/>
      <c r="I9" s="2365">
        <f t="shared" si="0"/>
        <v>0</v>
      </c>
    </row>
    <row r="10" spans="1:9">
      <c r="A10" s="3631"/>
      <c r="B10" s="3633" t="s">
        <v>2469</v>
      </c>
      <c r="C10" s="3633"/>
      <c r="D10" s="2366">
        <v>527</v>
      </c>
      <c r="E10" s="2366" t="e">
        <f>ROUND(D1*10000/D10/H9,0)</f>
        <v>#DIV/0!</v>
      </c>
      <c r="F10" s="2367"/>
      <c r="G10" s="2367"/>
      <c r="H10" s="2368"/>
      <c r="I10" s="2369">
        <f>SUM(I3:I9)</f>
        <v>0</v>
      </c>
    </row>
    <row r="11" spans="1:9" ht="14.25">
      <c r="A11" s="3631" t="s">
        <v>2470</v>
      </c>
      <c r="B11" s="3632" t="s">
        <v>2471</v>
      </c>
      <c r="C11" s="3632"/>
      <c r="D11" s="2362" t="s">
        <v>2472</v>
      </c>
      <c r="E11" s="2362" t="s">
        <v>2473</v>
      </c>
      <c r="F11" s="2363" t="s">
        <v>2474</v>
      </c>
      <c r="G11" s="2363" t="s">
        <v>2475</v>
      </c>
      <c r="H11" s="2370" t="s">
        <v>2476</v>
      </c>
      <c r="I11" s="2361" t="s">
        <v>2477</v>
      </c>
    </row>
    <row r="12" spans="1:9">
      <c r="A12" s="3631"/>
      <c r="B12" s="3632" t="s">
        <v>2478</v>
      </c>
      <c r="C12" s="3632"/>
      <c r="D12" s="2362"/>
      <c r="E12" s="2362"/>
      <c r="F12" s="2363"/>
      <c r="G12" s="2364"/>
      <c r="H12" s="2371"/>
      <c r="I12" s="2361">
        <f>ROUND(D12*E12*F12*G12/10000,0)</f>
        <v>0</v>
      </c>
    </row>
    <row r="13" spans="1:9">
      <c r="A13" s="3631"/>
      <c r="B13" s="3632" t="s">
        <v>2479</v>
      </c>
      <c r="C13" s="3632"/>
      <c r="D13" s="2362"/>
      <c r="E13" s="2362"/>
      <c r="F13" s="2363"/>
      <c r="G13" s="2364"/>
      <c r="H13" s="2371"/>
      <c r="I13" s="2361">
        <f>ROUND(D13*E13*F13*G13/10000,0)</f>
        <v>0</v>
      </c>
    </row>
    <row r="14" spans="1:9">
      <c r="A14" s="3631"/>
      <c r="B14" s="3632" t="s">
        <v>2480</v>
      </c>
      <c r="C14" s="3632"/>
      <c r="D14" s="2362"/>
      <c r="E14" s="2362"/>
      <c r="F14" s="2363"/>
      <c r="G14" s="2364"/>
      <c r="H14" s="2371"/>
      <c r="I14" s="2361">
        <f>ROUND(D14*E14*F14*G14/10000,0)</f>
        <v>0</v>
      </c>
    </row>
    <row r="15" spans="1:9">
      <c r="A15" s="3631"/>
      <c r="B15" s="3633" t="s">
        <v>2469</v>
      </c>
      <c r="C15" s="3633"/>
      <c r="D15" s="2366"/>
      <c r="E15" s="2366">
        <f>SUM(E12:E14)</f>
        <v>0</v>
      </c>
      <c r="F15" s="2367"/>
      <c r="G15" s="2364"/>
      <c r="H15" s="2371"/>
      <c r="I15" s="2372">
        <f>SUM(I12:I14)</f>
        <v>0</v>
      </c>
    </row>
    <row r="16" spans="1:9" ht="24">
      <c r="A16" s="3631" t="s">
        <v>2481</v>
      </c>
      <c r="B16" s="3632" t="s">
        <v>2482</v>
      </c>
      <c r="C16" s="3632"/>
      <c r="D16" s="2362" t="s">
        <v>2483</v>
      </c>
      <c r="E16" s="2373" t="s">
        <v>2484</v>
      </c>
      <c r="F16" s="2363" t="s">
        <v>2485</v>
      </c>
      <c r="G16" s="2364" t="s">
        <v>2475</v>
      </c>
      <c r="H16" s="2370" t="s">
        <v>2476</v>
      </c>
      <c r="I16" s="2361" t="s">
        <v>2477</v>
      </c>
    </row>
    <row r="17" spans="1:9" ht="14.25">
      <c r="A17" s="3631"/>
      <c r="B17" s="3632" t="s">
        <v>2486</v>
      </c>
      <c r="C17" s="3632"/>
      <c r="D17" s="2362"/>
      <c r="E17" s="2362"/>
      <c r="F17" s="2363"/>
      <c r="G17" s="2364"/>
      <c r="H17" s="2374"/>
      <c r="I17" s="2375">
        <f>ROUND(D17*E17*F17*G17/10000,0)</f>
        <v>0</v>
      </c>
    </row>
    <row r="18" spans="1:9" ht="14.25">
      <c r="A18" s="3631"/>
      <c r="B18" s="3632" t="s">
        <v>2487</v>
      </c>
      <c r="C18" s="3632"/>
      <c r="D18" s="2362"/>
      <c r="E18" s="2362"/>
      <c r="F18" s="2363"/>
      <c r="G18" s="2364"/>
      <c r="H18" s="2374"/>
      <c r="I18" s="2375">
        <f>ROUND(D18*E18*F18*G18/10000,0)</f>
        <v>0</v>
      </c>
    </row>
    <row r="19" spans="1:9" ht="14.25">
      <c r="A19" s="3631"/>
      <c r="B19" s="3632" t="s">
        <v>2488</v>
      </c>
      <c r="C19" s="3632"/>
      <c r="D19" s="2362"/>
      <c r="E19" s="2362"/>
      <c r="F19" s="2363"/>
      <c r="G19" s="2364"/>
      <c r="H19" s="2374"/>
      <c r="I19" s="2375">
        <f>ROUND(D19*E19*F19*G19/10000,0)</f>
        <v>0</v>
      </c>
    </row>
    <row r="20" spans="1:9">
      <c r="A20" s="3631"/>
      <c r="B20" s="3633" t="s">
        <v>2469</v>
      </c>
      <c r="C20" s="3633"/>
      <c r="D20" s="2366">
        <f>SUM(D17:D19)</f>
        <v>0</v>
      </c>
      <c r="E20" s="2366"/>
      <c r="F20" s="2367"/>
      <c r="G20" s="2364"/>
      <c r="H20" s="2371"/>
      <c r="I20" s="2372">
        <f>SUM(I17:I19)</f>
        <v>0</v>
      </c>
    </row>
    <row r="21" spans="1:9">
      <c r="A21" s="3631" t="s">
        <v>2489</v>
      </c>
      <c r="B21" s="3634"/>
      <c r="C21" s="3634"/>
      <c r="D21" s="3634"/>
      <c r="E21" s="3634"/>
      <c r="F21" s="3634"/>
      <c r="G21" s="3634"/>
      <c r="H21" s="2376">
        <v>0.1</v>
      </c>
      <c r="I21" s="2369">
        <f>ROUND(I10*H21,0)</f>
        <v>0</v>
      </c>
    </row>
    <row r="22" spans="1:9" ht="14.25">
      <c r="A22" s="3635" t="s">
        <v>2490</v>
      </c>
      <c r="B22" s="3636"/>
      <c r="C22" s="3637"/>
      <c r="D22" s="2377" t="s">
        <v>2491</v>
      </c>
      <c r="E22" s="2377" t="s">
        <v>2492</v>
      </c>
      <c r="F22" s="2378" t="s">
        <v>2493</v>
      </c>
      <c r="G22" s="2378" t="s">
        <v>2494</v>
      </c>
      <c r="H22" s="2370" t="s">
        <v>2495</v>
      </c>
      <c r="I22" s="2361" t="s">
        <v>2496</v>
      </c>
    </row>
    <row r="23" spans="1:9" ht="14.25" thickBot="1">
      <c r="A23" s="3638"/>
      <c r="B23" s="3639"/>
      <c r="C23" s="3640"/>
      <c r="D23" s="2379"/>
      <c r="E23" s="2379"/>
      <c r="F23" s="2379"/>
      <c r="G23" s="2380"/>
      <c r="H23" s="2381"/>
      <c r="I23" s="2382">
        <f>ROUND(E23*D23*F23*(1-G23)/10000,0)</f>
        <v>0</v>
      </c>
    </row>
    <row r="26" spans="1:9">
      <c r="A26" s="2383" t="s">
        <v>2497</v>
      </c>
      <c r="B26" s="2383"/>
      <c r="C26" s="2383"/>
      <c r="D26" s="2383"/>
      <c r="E26" s="3628">
        <f>C27-C30-C31-C32</f>
        <v>0</v>
      </c>
      <c r="F26" s="3628"/>
      <c r="G26" s="3628"/>
      <c r="H26" s="2756" t="s">
        <v>2823</v>
      </c>
    </row>
    <row r="27" spans="1:9">
      <c r="A27" s="2384">
        <v>1</v>
      </c>
      <c r="B27" s="2385" t="s">
        <v>2498</v>
      </c>
      <c r="C27" s="2385"/>
      <c r="D27" s="2385"/>
      <c r="E27" s="3629"/>
      <c r="F27" s="3629"/>
      <c r="G27" s="3629"/>
    </row>
    <row r="28" spans="1:9">
      <c r="A28" s="2386" t="s">
        <v>2499</v>
      </c>
      <c r="B28" s="2385" t="s">
        <v>2500</v>
      </c>
      <c r="C28" s="2385"/>
      <c r="D28" s="2385"/>
      <c r="E28" s="3629"/>
      <c r="F28" s="3629"/>
      <c r="G28" s="3629"/>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630"/>
      <c r="F32" s="3630"/>
      <c r="G32" s="3630"/>
    </row>
    <row r="33" spans="1:7" hidden="1">
      <c r="A33" s="3625" t="s">
        <v>2508</v>
      </c>
      <c r="B33" s="3626"/>
      <c r="C33" s="3626"/>
      <c r="D33" s="3627"/>
      <c r="E33" s="3628"/>
      <c r="F33" s="3628"/>
      <c r="G33" s="3628"/>
    </row>
    <row r="34" spans="1:7" hidden="1">
      <c r="A34" s="2388">
        <v>1</v>
      </c>
      <c r="B34" s="2385" t="s">
        <v>2509</v>
      </c>
      <c r="C34" s="2385"/>
      <c r="D34" s="2385"/>
      <c r="E34" s="3629"/>
      <c r="F34" s="3629"/>
      <c r="G34" s="3629"/>
    </row>
    <row r="35" spans="1:7" hidden="1">
      <c r="A35" s="2388">
        <v>2</v>
      </c>
      <c r="B35" s="2385" t="s">
        <v>2510</v>
      </c>
      <c r="C35" s="2385"/>
      <c r="D35" s="2385"/>
      <c r="E35" s="3629"/>
      <c r="F35" s="3629"/>
      <c r="G35" s="3629"/>
    </row>
    <row r="36" spans="1:7" hidden="1">
      <c r="A36" s="2388">
        <v>3</v>
      </c>
      <c r="B36" s="2385" t="s">
        <v>2511</v>
      </c>
      <c r="C36" s="2385"/>
      <c r="D36" s="2385"/>
      <c r="E36" s="3629"/>
      <c r="F36" s="3629"/>
      <c r="G36" s="3629"/>
    </row>
    <row r="37" spans="1:7" hidden="1">
      <c r="A37" s="2388">
        <v>4</v>
      </c>
      <c r="B37" s="2385" t="s">
        <v>2512</v>
      </c>
      <c r="C37" s="2385"/>
      <c r="D37" s="2385"/>
      <c r="E37" s="3629"/>
      <c r="F37" s="3629"/>
      <c r="G37" s="3629"/>
    </row>
    <row r="38" spans="1:7" hidden="1">
      <c r="A38" s="3625" t="s">
        <v>2513</v>
      </c>
      <c r="B38" s="3626"/>
      <c r="C38" s="3626"/>
      <c r="D38" s="3627"/>
      <c r="E38" s="3628"/>
      <c r="F38" s="3628"/>
      <c r="G38" s="362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tabSelected="1" view="pageBreakPreview" zoomScale="90" zoomScaleNormal="80" zoomScaleSheetLayoutView="90" workbookViewId="0">
      <selection activeCell="E13" sqref="E13"/>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8444</v>
      </c>
      <c r="C2" s="3268"/>
      <c r="D2" s="3268"/>
      <c r="E2" s="3268"/>
      <c r="F2" s="3268"/>
      <c r="G2" s="3268"/>
    </row>
    <row r="3" spans="1:25" s="1942" customFormat="1" ht="18" customHeight="1">
      <c r="A3" s="1331" t="s">
        <v>1676</v>
      </c>
      <c r="B3" s="419">
        <f ca="1">ROUND(B2*10000/'数据-汇总表'!E3,0)</f>
        <v>1883</v>
      </c>
      <c r="C3" s="3268"/>
      <c r="D3" s="3268"/>
      <c r="E3" s="3268"/>
      <c r="F3" s="3268"/>
      <c r="G3" s="3268"/>
    </row>
    <row r="4" spans="1:25" s="1942" customFormat="1" ht="18" customHeight="1">
      <c r="A4" s="420" t="s">
        <v>462</v>
      </c>
      <c r="B4" s="421">
        <f ca="1">ROUND(B2*10000/'数据-汇总表'!D3,0)</f>
        <v>1883</v>
      </c>
      <c r="C4" s="3221"/>
      <c r="D4" s="3268"/>
      <c r="E4" s="3268"/>
      <c r="F4" s="3268"/>
      <c r="G4" s="3268"/>
    </row>
    <row r="5" spans="1:25" s="1942" customFormat="1" ht="18" customHeight="1" thickBot="1">
      <c r="A5" s="423"/>
      <c r="B5" s="424">
        <f ca="1">ROUND(B2/('数据-汇总表'!D3/666.67),0)</f>
        <v>126</v>
      </c>
      <c r="C5" s="425" t="s">
        <v>463</v>
      </c>
      <c r="D5" s="3268"/>
      <c r="E5" s="3268"/>
      <c r="F5" s="3268"/>
      <c r="G5" s="3268"/>
    </row>
    <row r="6" spans="1:25" s="2064" customFormat="1" ht="13.5" customHeight="1">
      <c r="A6" s="735"/>
      <c r="B6" s="736" t="s">
        <v>598</v>
      </c>
      <c r="C6" s="737" t="s">
        <v>599</v>
      </c>
      <c r="D6" s="737" t="s">
        <v>600</v>
      </c>
      <c r="E6" s="738" t="s">
        <v>601</v>
      </c>
      <c r="F6" s="738" t="s">
        <v>602</v>
      </c>
      <c r="G6" s="3267" t="s">
        <v>2995</v>
      </c>
    </row>
    <row r="7" spans="1:25" s="2064" customFormat="1" ht="13.5" customHeight="1">
      <c r="A7" s="2323">
        <v>1</v>
      </c>
      <c r="B7" s="739" t="s">
        <v>603</v>
      </c>
      <c r="C7" s="740">
        <f>C8+C9</f>
        <v>7069</v>
      </c>
      <c r="D7" s="740"/>
      <c r="E7" s="741"/>
      <c r="F7" s="741"/>
      <c r="G7" s="2332"/>
    </row>
    <row r="8" spans="1:25" s="2064" customFormat="1" ht="13.5" customHeight="1">
      <c r="A8" s="2323" t="s">
        <v>2423</v>
      </c>
      <c r="B8" s="2326" t="s">
        <v>2425</v>
      </c>
      <c r="C8" s="3271">
        <f>ROUND(D8*E8/10000,0)</f>
        <v>7069</v>
      </c>
      <c r="D8" s="3348">
        <f>'数据-基础表'!A3</f>
        <v>44852.26</v>
      </c>
      <c r="E8" s="3272">
        <f>'比较法-工业'!B3</f>
        <v>1576</v>
      </c>
      <c r="F8" s="741"/>
      <c r="G8" s="742"/>
    </row>
    <row r="9" spans="1:25" s="2064" customFormat="1" ht="13.5" customHeight="1">
      <c r="A9" s="2323" t="s">
        <v>2424</v>
      </c>
      <c r="B9" s="2326" t="s">
        <v>2426</v>
      </c>
      <c r="C9" s="3271">
        <f t="shared" ref="C9" si="0">ROUND(D9*E9/10000,0)</f>
        <v>0</v>
      </c>
      <c r="D9" s="3271">
        <v>0</v>
      </c>
      <c r="E9" s="3272">
        <v>0</v>
      </c>
      <c r="F9" s="741"/>
      <c r="G9" s="742"/>
    </row>
    <row r="10" spans="1:25" s="2064" customFormat="1" ht="36">
      <c r="A10" s="2323">
        <v>2</v>
      </c>
      <c r="B10" s="739" t="s">
        <v>607</v>
      </c>
      <c r="C10" s="740">
        <f>C11+C14+C15</f>
        <v>538</v>
      </c>
      <c r="D10" s="750"/>
      <c r="E10" s="740"/>
      <c r="F10" s="751"/>
      <c r="G10" s="749" t="s">
        <v>608</v>
      </c>
    </row>
    <row r="11" spans="1:25" s="2064" customFormat="1" ht="13.5" customHeight="1">
      <c r="A11" s="2323" t="s">
        <v>2423</v>
      </c>
      <c r="B11" s="743" t="s">
        <v>604</v>
      </c>
      <c r="C11" s="744">
        <f>'数据-取费表'!B29</f>
        <v>538</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0</v>
      </c>
      <c r="F12" s="746"/>
      <c r="G12" s="749"/>
    </row>
    <row r="13" spans="1:25" s="2064" customFormat="1" ht="13.5" customHeight="1">
      <c r="A13" s="2329" t="s">
        <v>2430</v>
      </c>
      <c r="B13" s="747" t="s">
        <v>606</v>
      </c>
      <c r="C13" s="748">
        <f>ROUND(D13*E13/10000,0)</f>
        <v>538</v>
      </c>
      <c r="D13" s="3348">
        <f>'数据-汇总表'!E6</f>
        <v>44852.26</v>
      </c>
      <c r="E13" s="3312">
        <f>基准地价!G17</f>
        <v>120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319</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913</v>
      </c>
      <c r="D18" s="752"/>
      <c r="E18" s="753"/>
      <c r="F18" s="1302">
        <v>0.12</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8839</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1083</v>
      </c>
      <c r="D20" s="750"/>
      <c r="E20" s="740"/>
      <c r="F20" s="3321">
        <f>Sheet2!N27</f>
        <v>0.1225</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9922</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8444</v>
      </c>
      <c r="D22" s="750"/>
      <c r="E22" s="740"/>
      <c r="F22" s="756">
        <f>'数据-取费表'!AP16</f>
        <v>0.85099999999999998</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8444</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548" t="s">
        <v>516</v>
      </c>
      <c r="D4" s="3549"/>
      <c r="E4" s="3573" t="s">
        <v>517</v>
      </c>
      <c r="F4" s="3574"/>
      <c r="G4" s="3548" t="s">
        <v>518</v>
      </c>
      <c r="H4" s="3549"/>
      <c r="I4" s="3548" t="s">
        <v>519</v>
      </c>
      <c r="J4" s="3549"/>
      <c r="K4" s="842" t="s">
        <v>520</v>
      </c>
      <c r="L4" s="2015"/>
      <c r="M4" s="2016"/>
      <c r="N4" s="2016"/>
      <c r="O4" s="2016"/>
      <c r="P4" s="3550" t="s">
        <v>521</v>
      </c>
      <c r="Q4" s="3551"/>
      <c r="R4" s="3536" t="s">
        <v>517</v>
      </c>
      <c r="S4" s="3537"/>
      <c r="T4" s="3536" t="s">
        <v>518</v>
      </c>
      <c r="U4" s="3537"/>
      <c r="V4" s="3556" t="s">
        <v>519</v>
      </c>
      <c r="W4" s="3556"/>
      <c r="X4" s="1502"/>
      <c r="Y4" s="3536" t="s">
        <v>521</v>
      </c>
      <c r="Z4" s="3537"/>
      <c r="AA4" s="3531" t="s">
        <v>517</v>
      </c>
      <c r="AB4" s="3531" t="s">
        <v>518</v>
      </c>
      <c r="AC4" s="3531" t="s">
        <v>519</v>
      </c>
    </row>
    <row r="5" spans="1:29" ht="15">
      <c r="A5" s="509"/>
      <c r="B5" s="510"/>
      <c r="C5" s="3559" t="s">
        <v>2898</v>
      </c>
      <c r="D5" s="3560"/>
      <c r="E5" s="3575" t="s">
        <v>2899</v>
      </c>
      <c r="F5" s="3576"/>
      <c r="G5" s="3559" t="s">
        <v>2900</v>
      </c>
      <c r="H5" s="3560"/>
      <c r="I5" s="3559" t="s">
        <v>2901</v>
      </c>
      <c r="J5" s="3560"/>
      <c r="K5" s="843"/>
      <c r="L5" s="2015"/>
      <c r="M5" s="2016"/>
      <c r="N5" s="2016"/>
      <c r="O5" s="2016"/>
      <c r="P5" s="3552"/>
      <c r="Q5" s="3553"/>
      <c r="R5" s="3538"/>
      <c r="S5" s="3539"/>
      <c r="T5" s="3538"/>
      <c r="U5" s="3539"/>
      <c r="V5" s="3556"/>
      <c r="W5" s="3556"/>
      <c r="X5" s="1502"/>
      <c r="Y5" s="3538"/>
      <c r="Z5" s="3539"/>
      <c r="AA5" s="3532"/>
      <c r="AB5" s="3532"/>
      <c r="AC5" s="3532"/>
    </row>
    <row r="6" spans="1:29" ht="15.75" thickBot="1">
      <c r="A6" s="511"/>
      <c r="B6" s="512"/>
      <c r="C6" s="3557" t="s">
        <v>2902</v>
      </c>
      <c r="D6" s="3558"/>
      <c r="E6" s="3577" t="s">
        <v>2902</v>
      </c>
      <c r="F6" s="3578"/>
      <c r="G6" s="3557" t="s">
        <v>2902</v>
      </c>
      <c r="H6" s="3558"/>
      <c r="I6" s="3557" t="s">
        <v>2902</v>
      </c>
      <c r="J6" s="3558"/>
      <c r="K6" s="843" t="s">
        <v>522</v>
      </c>
      <c r="L6" s="2015"/>
      <c r="M6" s="2016"/>
      <c r="N6" s="2016"/>
      <c r="O6" s="2016"/>
      <c r="P6" s="3554"/>
      <c r="Q6" s="3555"/>
      <c r="R6" s="3538"/>
      <c r="S6" s="3539"/>
      <c r="T6" s="3540"/>
      <c r="U6" s="3541"/>
      <c r="V6" s="3556"/>
      <c r="W6" s="3556"/>
      <c r="X6" s="1502"/>
      <c r="Y6" s="3540"/>
      <c r="Z6" s="3541"/>
      <c r="AA6" s="3533"/>
      <c r="AB6" s="3533"/>
      <c r="AC6" s="3533"/>
    </row>
    <row r="7" spans="1:29" s="1203" customFormat="1" ht="15.75" thickBot="1">
      <c r="A7" s="2629"/>
      <c r="B7" s="2636" t="s">
        <v>523</v>
      </c>
      <c r="C7" s="513">
        <f>'数据-取费表'!B2</f>
        <v>44201</v>
      </c>
      <c r="D7" s="514">
        <v>100</v>
      </c>
      <c r="E7" s="515"/>
      <c r="F7" s="516">
        <f>SUMIF(58:58,YEAR(E7)&amp;"-"&amp;MONTH(E7),59:59)</f>
        <v>0</v>
      </c>
      <c r="G7" s="517"/>
      <c r="H7" s="514">
        <f>SUMIF(58:58,YEAR(G7)&amp;"-"&amp;MONTH(G7),59:59)</f>
        <v>0</v>
      </c>
      <c r="I7" s="517"/>
      <c r="J7" s="514">
        <f>SUMIF(58:58,YEAR(I7)&amp;"-"&amp;MONTH(I7),59:59)</f>
        <v>0</v>
      </c>
      <c r="K7" s="844"/>
      <c r="L7" s="2017"/>
      <c r="M7" s="2018"/>
      <c r="N7" s="2018"/>
      <c r="O7" s="2018"/>
      <c r="P7" s="3534" t="s">
        <v>524</v>
      </c>
      <c r="Q7" s="3543"/>
      <c r="R7" s="1503" t="s">
        <v>13</v>
      </c>
      <c r="S7" s="1504">
        <f t="shared" ref="S7:S15" si="0">F7</f>
        <v>0</v>
      </c>
      <c r="T7" s="1503" t="s">
        <v>13</v>
      </c>
      <c r="U7" s="1504">
        <f t="shared" ref="U7:U15" si="1">H7</f>
        <v>0</v>
      </c>
      <c r="V7" s="1503" t="s">
        <v>13</v>
      </c>
      <c r="W7" s="1504">
        <f t="shared" ref="W7:W15" si="2">J7</f>
        <v>0</v>
      </c>
      <c r="X7" s="1505"/>
      <c r="Y7" s="3534" t="s">
        <v>524</v>
      </c>
      <c r="Z7" s="3535"/>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534" t="s">
        <v>527</v>
      </c>
      <c r="Q8" s="3535"/>
      <c r="R8" s="1503" t="s">
        <v>13</v>
      </c>
      <c r="S8" s="1504">
        <f t="shared" si="0"/>
        <v>0</v>
      </c>
      <c r="T8" s="1503" t="s">
        <v>13</v>
      </c>
      <c r="U8" s="1504">
        <f t="shared" si="1"/>
        <v>0</v>
      </c>
      <c r="V8" s="1503" t="s">
        <v>13</v>
      </c>
      <c r="W8" s="1504">
        <f t="shared" si="2"/>
        <v>0</v>
      </c>
      <c r="X8" s="1505"/>
      <c r="Y8" s="3534" t="s">
        <v>527</v>
      </c>
      <c r="Z8" s="3535"/>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542" t="s">
        <v>529</v>
      </c>
      <c r="Q9" s="1134" t="str">
        <f t="shared" ref="Q9:Q15" si="6">B9</f>
        <v>用途</v>
      </c>
      <c r="R9" s="1503" t="s">
        <v>8</v>
      </c>
      <c r="S9" s="1504">
        <f t="shared" si="0"/>
        <v>100</v>
      </c>
      <c r="T9" s="1503" t="s">
        <v>8</v>
      </c>
      <c r="U9" s="1504">
        <f t="shared" si="1"/>
        <v>100</v>
      </c>
      <c r="V9" s="1503" t="s">
        <v>8</v>
      </c>
      <c r="W9" s="1504">
        <f t="shared" si="2"/>
        <v>100</v>
      </c>
      <c r="X9" s="1505"/>
      <c r="Y9" s="3493"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542"/>
      <c r="Q10" s="1134" t="str">
        <f t="shared" si="6"/>
        <v>土地使用年限（年）</v>
      </c>
      <c r="R10" s="1503" t="s">
        <v>8</v>
      </c>
      <c r="S10" s="1504">
        <f t="shared" si="0"/>
        <v>100</v>
      </c>
      <c r="T10" s="1503" t="s">
        <v>8</v>
      </c>
      <c r="U10" s="1504">
        <f t="shared" si="1"/>
        <v>100</v>
      </c>
      <c r="V10" s="1503" t="s">
        <v>8</v>
      </c>
      <c r="W10" s="1504">
        <f t="shared" si="2"/>
        <v>100</v>
      </c>
      <c r="X10" s="1505"/>
      <c r="Y10" s="3493"/>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542"/>
      <c r="Q11" s="1134" t="str">
        <f t="shared" si="6"/>
        <v>容积率</v>
      </c>
      <c r="R11" s="1503" t="s">
        <v>11</v>
      </c>
      <c r="S11" s="1504" t="e">
        <f t="shared" si="0"/>
        <v>#N/A</v>
      </c>
      <c r="T11" s="1503" t="s">
        <v>11</v>
      </c>
      <c r="U11" s="1504" t="e">
        <f t="shared" si="1"/>
        <v>#N/A</v>
      </c>
      <c r="V11" s="1503" t="s">
        <v>11</v>
      </c>
      <c r="W11" s="1504" t="e">
        <f t="shared" si="2"/>
        <v>#N/A</v>
      </c>
      <c r="X11" s="1505"/>
      <c r="Y11" s="3493"/>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42"/>
      <c r="Q12" s="1134">
        <f t="shared" si="6"/>
        <v>111</v>
      </c>
      <c r="R12" s="1503" t="s">
        <v>11</v>
      </c>
      <c r="S12" s="1504">
        <f t="shared" si="0"/>
        <v>100</v>
      </c>
      <c r="T12" s="1503" t="s">
        <v>11</v>
      </c>
      <c r="U12" s="1504">
        <f t="shared" si="1"/>
        <v>100</v>
      </c>
      <c r="V12" s="1503" t="s">
        <v>11</v>
      </c>
      <c r="W12" s="1504">
        <f t="shared" si="2"/>
        <v>100</v>
      </c>
      <c r="X12" s="1505"/>
      <c r="Y12" s="3493"/>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42"/>
      <c r="Q13" s="1134">
        <f t="shared" si="6"/>
        <v>111</v>
      </c>
      <c r="R13" s="1503" t="s">
        <v>11</v>
      </c>
      <c r="S13" s="1504">
        <f t="shared" si="0"/>
        <v>100</v>
      </c>
      <c r="T13" s="1503" t="s">
        <v>11</v>
      </c>
      <c r="U13" s="1504">
        <f t="shared" si="1"/>
        <v>100</v>
      </c>
      <c r="V13" s="1503" t="s">
        <v>11</v>
      </c>
      <c r="W13" s="1504">
        <f t="shared" si="2"/>
        <v>100</v>
      </c>
      <c r="X13" s="1505"/>
      <c r="Y13" s="3493"/>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42"/>
      <c r="Q14" s="1134">
        <f t="shared" si="6"/>
        <v>111</v>
      </c>
      <c r="R14" s="1503" t="s">
        <v>11</v>
      </c>
      <c r="S14" s="1504">
        <f t="shared" si="0"/>
        <v>100</v>
      </c>
      <c r="T14" s="1503" t="s">
        <v>11</v>
      </c>
      <c r="U14" s="1504">
        <f t="shared" si="1"/>
        <v>100</v>
      </c>
      <c r="V14" s="1503" t="s">
        <v>11</v>
      </c>
      <c r="W14" s="1504">
        <f t="shared" si="2"/>
        <v>100</v>
      </c>
      <c r="X14" s="1505"/>
      <c r="Y14" s="3493"/>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44" t="s">
        <v>534</v>
      </c>
      <c r="Q15" s="1507" t="str">
        <f t="shared" si="6"/>
        <v>居住社区成熟度</v>
      </c>
      <c r="R15" s="1508" t="s">
        <v>11</v>
      </c>
      <c r="S15" s="1509">
        <f t="shared" si="0"/>
        <v>100</v>
      </c>
      <c r="T15" s="1508" t="s">
        <v>11</v>
      </c>
      <c r="U15" s="1509">
        <f t="shared" si="1"/>
        <v>100</v>
      </c>
      <c r="V15" s="1508" t="s">
        <v>11</v>
      </c>
      <c r="W15" s="1509">
        <f t="shared" si="2"/>
        <v>100</v>
      </c>
      <c r="X15" s="1502"/>
      <c r="Y15" s="3544"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545"/>
      <c r="Q16" s="1507"/>
      <c r="R16" s="1508"/>
      <c r="S16" s="1509"/>
      <c r="T16" s="1508"/>
      <c r="U16" s="1509"/>
      <c r="V16" s="1508"/>
      <c r="W16" s="1509"/>
      <c r="X16" s="1502"/>
      <c r="Y16" s="354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45"/>
      <c r="Q17" s="1507" t="str">
        <f>B17</f>
        <v>交通便捷度</v>
      </c>
      <c r="R17" s="1508" t="s">
        <v>11</v>
      </c>
      <c r="S17" s="1509">
        <f>F17</f>
        <v>100</v>
      </c>
      <c r="T17" s="1508" t="s">
        <v>11</v>
      </c>
      <c r="U17" s="1509">
        <f>H17</f>
        <v>100</v>
      </c>
      <c r="V17" s="1508" t="s">
        <v>11</v>
      </c>
      <c r="W17" s="1509">
        <f>J17</f>
        <v>100</v>
      </c>
      <c r="X17" s="1502"/>
      <c r="Y17" s="354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545"/>
      <c r="Q18" s="1507"/>
      <c r="R18" s="1508"/>
      <c r="S18" s="1509"/>
      <c r="T18" s="1508"/>
      <c r="U18" s="1509"/>
      <c r="V18" s="1508"/>
      <c r="W18" s="1509"/>
      <c r="X18" s="1502"/>
      <c r="Y18" s="3545"/>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45"/>
      <c r="Q19" s="1507" t="str">
        <f>B19</f>
        <v>公共配套设施</v>
      </c>
      <c r="R19" s="1508" t="s">
        <v>11</v>
      </c>
      <c r="S19" s="1509">
        <f>F19</f>
        <v>100</v>
      </c>
      <c r="T19" s="1508" t="s">
        <v>11</v>
      </c>
      <c r="U19" s="1509">
        <f>H19</f>
        <v>100</v>
      </c>
      <c r="V19" s="1508" t="s">
        <v>11</v>
      </c>
      <c r="W19" s="1509">
        <f>J19</f>
        <v>100</v>
      </c>
      <c r="X19" s="1502"/>
      <c r="Y19" s="354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545"/>
      <c r="Q20" s="1507"/>
      <c r="R20" s="1508"/>
      <c r="S20" s="1509"/>
      <c r="T20" s="1508"/>
      <c r="U20" s="1509"/>
      <c r="V20" s="1508"/>
      <c r="W20" s="1509"/>
      <c r="X20" s="1502"/>
      <c r="Y20" s="3545"/>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45"/>
      <c r="Q21" s="2429" t="str">
        <f>B21</f>
        <v>基础设施水平</v>
      </c>
      <c r="R21" s="1508" t="s">
        <v>11</v>
      </c>
      <c r="S21" s="1509">
        <f>F21</f>
        <v>100</v>
      </c>
      <c r="T21" s="1508" t="s">
        <v>11</v>
      </c>
      <c r="U21" s="1509">
        <f>H21</f>
        <v>100</v>
      </c>
      <c r="V21" s="1508" t="s">
        <v>11</v>
      </c>
      <c r="W21" s="1509">
        <f>J21</f>
        <v>100</v>
      </c>
      <c r="X21" s="2431"/>
      <c r="Y21" s="3545"/>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545"/>
      <c r="Q22" s="2429"/>
      <c r="R22" s="1508"/>
      <c r="S22" s="1509"/>
      <c r="T22" s="1508"/>
      <c r="U22" s="1509"/>
      <c r="V22" s="1508"/>
      <c r="W22" s="1509"/>
      <c r="X22" s="2431"/>
      <c r="Y22" s="3545"/>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45"/>
      <c r="Q23" s="1507" t="str">
        <f>B23</f>
        <v>自然及人文环境</v>
      </c>
      <c r="R23" s="1508" t="s">
        <v>11</v>
      </c>
      <c r="S23" s="1509">
        <f>F23</f>
        <v>100</v>
      </c>
      <c r="T23" s="1508" t="s">
        <v>11</v>
      </c>
      <c r="U23" s="1509">
        <f>H23</f>
        <v>100</v>
      </c>
      <c r="V23" s="1508" t="s">
        <v>11</v>
      </c>
      <c r="W23" s="1509">
        <f>J23</f>
        <v>100</v>
      </c>
      <c r="X23" s="1502"/>
      <c r="Y23" s="354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545"/>
      <c r="Q24" s="1507"/>
      <c r="R24" s="1508"/>
      <c r="S24" s="1509"/>
      <c r="T24" s="1508"/>
      <c r="U24" s="1509"/>
      <c r="V24" s="1508"/>
      <c r="W24" s="1509"/>
      <c r="X24" s="1502"/>
      <c r="Y24" s="3545"/>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45"/>
      <c r="Q25" s="1507" t="str">
        <f t="shared" ref="Q25:Q46" si="11">B25</f>
        <v>楼层-1</v>
      </c>
      <c r="R25" s="1508" t="s">
        <v>11</v>
      </c>
      <c r="S25" s="1509">
        <f>F25</f>
        <v>100</v>
      </c>
      <c r="T25" s="1508" t="s">
        <v>11</v>
      </c>
      <c r="U25" s="1509">
        <f>H25</f>
        <v>100</v>
      </c>
      <c r="V25" s="1508" t="s">
        <v>11</v>
      </c>
      <c r="W25" s="1509">
        <f>J25</f>
        <v>100</v>
      </c>
      <c r="X25" s="1502"/>
      <c r="Y25" s="3545"/>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45"/>
      <c r="Q26" s="1507" t="str">
        <f t="shared" si="11"/>
        <v>朝向</v>
      </c>
      <c r="R26" s="1508" t="s">
        <v>11</v>
      </c>
      <c r="S26" s="1509">
        <f>F26</f>
        <v>100</v>
      </c>
      <c r="T26" s="1508" t="s">
        <v>11</v>
      </c>
      <c r="U26" s="1509">
        <f>H26</f>
        <v>100</v>
      </c>
      <c r="V26" s="1508" t="s">
        <v>11</v>
      </c>
      <c r="W26" s="1509">
        <f>J26</f>
        <v>100</v>
      </c>
      <c r="X26" s="1502"/>
      <c r="Y26" s="3545"/>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45"/>
      <c r="Q27" s="1134" t="str">
        <f t="shared" si="11"/>
        <v>道路级别</v>
      </c>
      <c r="R27" s="1503" t="s">
        <v>11</v>
      </c>
      <c r="S27" s="1504">
        <f>F27</f>
        <v>100</v>
      </c>
      <c r="T27" s="1503" t="s">
        <v>11</v>
      </c>
      <c r="U27" s="1504">
        <f>H27</f>
        <v>100</v>
      </c>
      <c r="V27" s="1503" t="s">
        <v>11</v>
      </c>
      <c r="W27" s="1504">
        <f>J27</f>
        <v>100</v>
      </c>
      <c r="X27" s="1505"/>
      <c r="Y27" s="3545"/>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45"/>
      <c r="Q28" s="1507">
        <f t="shared" si="11"/>
        <v>111</v>
      </c>
      <c r="R28" s="1508" t="s">
        <v>11</v>
      </c>
      <c r="S28" s="1509">
        <f t="shared" ref="S28:S46" si="12">F28</f>
        <v>100</v>
      </c>
      <c r="T28" s="1508" t="s">
        <v>11</v>
      </c>
      <c r="U28" s="1509">
        <f t="shared" ref="U28:U46" si="13">H28</f>
        <v>100</v>
      </c>
      <c r="V28" s="1508" t="s">
        <v>11</v>
      </c>
      <c r="W28" s="1509">
        <f t="shared" ref="W28:W46" si="14">J28</f>
        <v>100</v>
      </c>
      <c r="X28" s="1502"/>
      <c r="Y28" s="3545"/>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45"/>
      <c r="Q29" s="1507">
        <f t="shared" si="11"/>
        <v>111</v>
      </c>
      <c r="R29" s="1508" t="s">
        <v>11</v>
      </c>
      <c r="S29" s="1509">
        <f t="shared" si="12"/>
        <v>100</v>
      </c>
      <c r="T29" s="1508" t="s">
        <v>11</v>
      </c>
      <c r="U29" s="1509">
        <f t="shared" si="13"/>
        <v>100</v>
      </c>
      <c r="V29" s="1508" t="s">
        <v>11</v>
      </c>
      <c r="W29" s="1509">
        <f t="shared" si="14"/>
        <v>100</v>
      </c>
      <c r="X29" s="1502"/>
      <c r="Y29" s="354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45"/>
      <c r="Q30" s="1507">
        <f t="shared" si="11"/>
        <v>111</v>
      </c>
      <c r="R30" s="1508" t="s">
        <v>11</v>
      </c>
      <c r="S30" s="1509">
        <f t="shared" si="12"/>
        <v>100</v>
      </c>
      <c r="T30" s="1508" t="s">
        <v>11</v>
      </c>
      <c r="U30" s="1509">
        <f t="shared" si="13"/>
        <v>100</v>
      </c>
      <c r="V30" s="1508" t="s">
        <v>11</v>
      </c>
      <c r="W30" s="1509">
        <f t="shared" si="14"/>
        <v>100</v>
      </c>
      <c r="X30" s="1502"/>
      <c r="Y30" s="3545"/>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45"/>
      <c r="Q31" s="1507">
        <f t="shared" si="11"/>
        <v>111</v>
      </c>
      <c r="R31" s="1508" t="s">
        <v>11</v>
      </c>
      <c r="S31" s="1509">
        <f t="shared" si="12"/>
        <v>100</v>
      </c>
      <c r="T31" s="1508" t="s">
        <v>11</v>
      </c>
      <c r="U31" s="1509">
        <f t="shared" si="13"/>
        <v>100</v>
      </c>
      <c r="V31" s="1508" t="s">
        <v>11</v>
      </c>
      <c r="W31" s="1509">
        <f t="shared" si="14"/>
        <v>100</v>
      </c>
      <c r="X31" s="1502"/>
      <c r="Y31" s="3545"/>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546" t="s">
        <v>544</v>
      </c>
      <c r="Q32" s="1507" t="str">
        <f t="shared" si="11"/>
        <v>建筑类型</v>
      </c>
      <c r="R32" s="1508" t="s">
        <v>11</v>
      </c>
      <c r="S32" s="1509">
        <f t="shared" si="12"/>
        <v>100</v>
      </c>
      <c r="T32" s="1508" t="s">
        <v>11</v>
      </c>
      <c r="U32" s="1509">
        <f t="shared" si="13"/>
        <v>100</v>
      </c>
      <c r="V32" s="1508" t="s">
        <v>11</v>
      </c>
      <c r="W32" s="1509">
        <f t="shared" si="14"/>
        <v>100</v>
      </c>
      <c r="X32" s="1502"/>
      <c r="Y32" s="3547"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547"/>
      <c r="Q33" s="1536" t="str">
        <f t="shared" si="11"/>
        <v>项目建筑规模</v>
      </c>
      <c r="R33" s="1512" t="s">
        <v>11</v>
      </c>
      <c r="S33" s="1513" t="e">
        <f t="shared" si="12"/>
        <v>#N/A</v>
      </c>
      <c r="T33" s="1512" t="s">
        <v>11</v>
      </c>
      <c r="U33" s="1513" t="e">
        <f t="shared" si="13"/>
        <v>#N/A</v>
      </c>
      <c r="V33" s="1512" t="s">
        <v>11</v>
      </c>
      <c r="W33" s="1513" t="e">
        <f t="shared" si="14"/>
        <v>#N/A</v>
      </c>
      <c r="X33" s="1514"/>
      <c r="Y33" s="354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547"/>
      <c r="Q34" s="1507" t="str">
        <f t="shared" si="11"/>
        <v>建筑结构</v>
      </c>
      <c r="R34" s="1508" t="s">
        <v>11</v>
      </c>
      <c r="S34" s="1509">
        <f t="shared" si="12"/>
        <v>100</v>
      </c>
      <c r="T34" s="1508" t="s">
        <v>11</v>
      </c>
      <c r="U34" s="1509">
        <f t="shared" si="13"/>
        <v>100</v>
      </c>
      <c r="V34" s="1508" t="s">
        <v>11</v>
      </c>
      <c r="W34" s="1509">
        <f t="shared" si="14"/>
        <v>100</v>
      </c>
      <c r="X34" s="1502"/>
      <c r="Y34" s="3547"/>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47"/>
      <c r="Q35" s="1507" t="str">
        <f t="shared" si="11"/>
        <v>建筑品质</v>
      </c>
      <c r="R35" s="1508" t="s">
        <v>11</v>
      </c>
      <c r="S35" s="1509">
        <f t="shared" si="12"/>
        <v>100</v>
      </c>
      <c r="T35" s="1508" t="s">
        <v>11</v>
      </c>
      <c r="U35" s="1509">
        <f t="shared" si="13"/>
        <v>100</v>
      </c>
      <c r="V35" s="1508" t="s">
        <v>11</v>
      </c>
      <c r="W35" s="1509">
        <f t="shared" si="14"/>
        <v>100</v>
      </c>
      <c r="X35" s="1502"/>
      <c r="Y35" s="3547"/>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47"/>
      <c r="Q36" s="1507" t="str">
        <f t="shared" si="11"/>
        <v>公共部分装修</v>
      </c>
      <c r="R36" s="1508" t="s">
        <v>11</v>
      </c>
      <c r="S36" s="1509">
        <f t="shared" si="12"/>
        <v>100</v>
      </c>
      <c r="T36" s="1508" t="s">
        <v>11</v>
      </c>
      <c r="U36" s="1509">
        <f t="shared" si="13"/>
        <v>100</v>
      </c>
      <c r="V36" s="1508" t="s">
        <v>11</v>
      </c>
      <c r="W36" s="1509">
        <f t="shared" si="14"/>
        <v>100</v>
      </c>
      <c r="X36" s="1502"/>
      <c r="Y36" s="3547"/>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547"/>
      <c r="Q37" s="1134" t="str">
        <f t="shared" si="11"/>
        <v>成新度</v>
      </c>
      <c r="R37" s="1503" t="s">
        <v>11</v>
      </c>
      <c r="S37" s="1504" t="e">
        <f t="shared" si="12"/>
        <v>#N/A</v>
      </c>
      <c r="T37" s="1503" t="s">
        <v>11</v>
      </c>
      <c r="U37" s="1504" t="e">
        <f t="shared" si="13"/>
        <v>#N/A</v>
      </c>
      <c r="V37" s="1503" t="s">
        <v>11</v>
      </c>
      <c r="W37" s="1504" t="e">
        <f t="shared" si="14"/>
        <v>#N/A</v>
      </c>
      <c r="X37" s="1505"/>
      <c r="Y37" s="3547"/>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47" t="s">
        <v>544</v>
      </c>
      <c r="Q38" s="1507" t="str">
        <f t="shared" si="11"/>
        <v>物业管理</v>
      </c>
      <c r="R38" s="1508" t="s">
        <v>11</v>
      </c>
      <c r="S38" s="1509">
        <f t="shared" si="12"/>
        <v>100</v>
      </c>
      <c r="T38" s="1508" t="s">
        <v>11</v>
      </c>
      <c r="U38" s="1509">
        <f t="shared" si="13"/>
        <v>100</v>
      </c>
      <c r="V38" s="1508" t="s">
        <v>11</v>
      </c>
      <c r="W38" s="1509">
        <f t="shared" si="14"/>
        <v>100</v>
      </c>
      <c r="X38" s="1502"/>
      <c r="Y38" s="3547"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47"/>
      <c r="Q39" s="1507" t="str">
        <f t="shared" si="11"/>
        <v>市政基础设施</v>
      </c>
      <c r="R39" s="1508" t="s">
        <v>11</v>
      </c>
      <c r="S39" s="1509">
        <f t="shared" si="12"/>
        <v>100</v>
      </c>
      <c r="T39" s="1508" t="s">
        <v>11</v>
      </c>
      <c r="U39" s="1509">
        <f t="shared" si="13"/>
        <v>100</v>
      </c>
      <c r="V39" s="1508" t="s">
        <v>11</v>
      </c>
      <c r="W39" s="1509">
        <f t="shared" si="14"/>
        <v>100</v>
      </c>
      <c r="X39" s="1502"/>
      <c r="Y39" s="3547"/>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47"/>
      <c r="Q40" s="1507" t="str">
        <f t="shared" si="11"/>
        <v>房型</v>
      </c>
      <c r="R40" s="1508" t="s">
        <v>11</v>
      </c>
      <c r="S40" s="1509">
        <f t="shared" si="12"/>
        <v>100</v>
      </c>
      <c r="T40" s="1508" t="s">
        <v>11</v>
      </c>
      <c r="U40" s="1509">
        <f t="shared" si="13"/>
        <v>100</v>
      </c>
      <c r="V40" s="1508" t="s">
        <v>11</v>
      </c>
      <c r="W40" s="1509">
        <f t="shared" si="14"/>
        <v>100</v>
      </c>
      <c r="X40" s="1502"/>
      <c r="Y40" s="3547"/>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47"/>
      <c r="Q41" s="1536" t="str">
        <f t="shared" si="11"/>
        <v>单套/主力户型建筑面积</v>
      </c>
      <c r="R41" s="1512" t="s">
        <v>11</v>
      </c>
      <c r="S41" s="1513">
        <f t="shared" si="12"/>
        <v>100</v>
      </c>
      <c r="T41" s="1512" t="s">
        <v>11</v>
      </c>
      <c r="U41" s="1513">
        <f t="shared" si="13"/>
        <v>100</v>
      </c>
      <c r="V41" s="1512" t="s">
        <v>11</v>
      </c>
      <c r="W41" s="1513">
        <f t="shared" si="14"/>
        <v>100</v>
      </c>
      <c r="X41" s="1514"/>
      <c r="Y41" s="3547"/>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547"/>
      <c r="Q42" s="1507" t="str">
        <f t="shared" si="11"/>
        <v>内部装修</v>
      </c>
      <c r="R42" s="1508" t="s">
        <v>11</v>
      </c>
      <c r="S42" s="1509">
        <f t="shared" si="12"/>
        <v>100</v>
      </c>
      <c r="T42" s="1508" t="s">
        <v>11</v>
      </c>
      <c r="U42" s="1509">
        <f t="shared" si="13"/>
        <v>100</v>
      </c>
      <c r="V42" s="1508" t="s">
        <v>11</v>
      </c>
      <c r="W42" s="1509">
        <f t="shared" si="14"/>
        <v>100</v>
      </c>
      <c r="X42" s="1502"/>
      <c r="Y42" s="3547"/>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47"/>
      <c r="Q43" s="1507" t="str">
        <f t="shared" si="11"/>
        <v>内部装修维护情况</v>
      </c>
      <c r="R43" s="1508" t="s">
        <v>11</v>
      </c>
      <c r="S43" s="1509">
        <f t="shared" si="12"/>
        <v>100</v>
      </c>
      <c r="T43" s="1508" t="s">
        <v>11</v>
      </c>
      <c r="U43" s="1509">
        <f t="shared" si="13"/>
        <v>100</v>
      </c>
      <c r="V43" s="1508" t="s">
        <v>11</v>
      </c>
      <c r="W43" s="1509">
        <f t="shared" si="14"/>
        <v>100</v>
      </c>
      <c r="X43" s="1502"/>
      <c r="Y43" s="354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47"/>
      <c r="Q44" s="1134">
        <f t="shared" si="11"/>
        <v>111</v>
      </c>
      <c r="R44" s="1503" t="s">
        <v>11</v>
      </c>
      <c r="S44" s="1504">
        <f t="shared" si="12"/>
        <v>100</v>
      </c>
      <c r="T44" s="1503" t="s">
        <v>11</v>
      </c>
      <c r="U44" s="1504">
        <f t="shared" si="13"/>
        <v>100</v>
      </c>
      <c r="V44" s="1503" t="s">
        <v>11</v>
      </c>
      <c r="W44" s="1504">
        <f t="shared" si="14"/>
        <v>100</v>
      </c>
      <c r="X44" s="1505"/>
      <c r="Y44" s="354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47"/>
      <c r="Q45" s="1507">
        <f t="shared" si="11"/>
        <v>111</v>
      </c>
      <c r="R45" s="1508" t="s">
        <v>11</v>
      </c>
      <c r="S45" s="1509">
        <f t="shared" si="12"/>
        <v>100</v>
      </c>
      <c r="T45" s="1508" t="s">
        <v>11</v>
      </c>
      <c r="U45" s="1509">
        <f t="shared" si="13"/>
        <v>100</v>
      </c>
      <c r="V45" s="1508" t="s">
        <v>11</v>
      </c>
      <c r="W45" s="1509">
        <f t="shared" si="14"/>
        <v>100</v>
      </c>
      <c r="X45" s="1502"/>
      <c r="Y45" s="3547"/>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48"/>
      <c r="Q46" s="1507">
        <f t="shared" si="11"/>
        <v>111</v>
      </c>
      <c r="R46" s="1508" t="s">
        <v>10</v>
      </c>
      <c r="S46" s="1509">
        <f t="shared" si="12"/>
        <v>100</v>
      </c>
      <c r="T46" s="1508" t="s">
        <v>10</v>
      </c>
      <c r="U46" s="1509">
        <f t="shared" si="13"/>
        <v>100</v>
      </c>
      <c r="V46" s="1508" t="s">
        <v>10</v>
      </c>
      <c r="W46" s="1509">
        <f t="shared" si="14"/>
        <v>100</v>
      </c>
      <c r="X46" s="1502"/>
      <c r="Y46" s="3648"/>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542" t="str">
        <f>A47</f>
        <v>成交单价（元/平方米）</v>
      </c>
      <c r="Q47" s="3542"/>
      <c r="R47" s="3647">
        <f>E47</f>
        <v>0</v>
      </c>
      <c r="S47" s="3647"/>
      <c r="T47" s="3647">
        <f>G47</f>
        <v>0</v>
      </c>
      <c r="U47" s="3647"/>
      <c r="V47" s="3647">
        <f>I47</f>
        <v>0</v>
      </c>
      <c r="W47" s="3647"/>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27"/>
      <c r="O48" s="2027"/>
      <c r="P48" s="3542" t="str">
        <f>A48</f>
        <v>比较价格（元/平方米）</v>
      </c>
      <c r="Q48" s="3542"/>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38"/>
      <c r="L49" s="2026"/>
      <c r="M49" s="2027"/>
      <c r="N49" s="2027"/>
      <c r="O49" s="2027"/>
      <c r="P49" s="3563" t="str">
        <f>A49</f>
        <v>估价对象XX用房的比较价格（楼面单价，元/平方米）</v>
      </c>
      <c r="Q49" s="3564"/>
      <c r="R49" s="3646" t="e">
        <f>IF(F1="售价",ROUND(IF(D48="简单平均",AVERAGE(R48:V48),R48*F48+T48*H48+V48*J48),0),ROUND(IF(D48="简单平均",AVERAGE(R48:V48),R48*F48+T48*H48+V48*J48),1))</f>
        <v>#DIV/0!</v>
      </c>
      <c r="S49" s="3646"/>
      <c r="T49" s="3646"/>
      <c r="U49" s="3646"/>
      <c r="V49" s="3646"/>
      <c r="W49" s="3646"/>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2021-1</v>
      </c>
      <c r="D58" s="2521">
        <f>EDATE(C58,-1)</f>
        <v>44166</v>
      </c>
      <c r="E58" s="2521">
        <f t="shared" ref="E58:O58" si="16">EDATE(D58,-1)</f>
        <v>44136</v>
      </c>
      <c r="F58" s="2521">
        <f t="shared" si="16"/>
        <v>44105</v>
      </c>
      <c r="G58" s="2521">
        <f t="shared" si="16"/>
        <v>44075</v>
      </c>
      <c r="H58" s="2521">
        <f t="shared" si="16"/>
        <v>44044</v>
      </c>
      <c r="I58" s="2521">
        <f t="shared" si="16"/>
        <v>44013</v>
      </c>
      <c r="J58" s="2521">
        <f t="shared" si="16"/>
        <v>43983</v>
      </c>
      <c r="K58" s="2521">
        <f t="shared" si="16"/>
        <v>43952</v>
      </c>
      <c r="L58" s="2521">
        <f t="shared" si="16"/>
        <v>43922</v>
      </c>
      <c r="M58" s="2521">
        <f t="shared" si="16"/>
        <v>43891</v>
      </c>
      <c r="N58" s="2521">
        <f t="shared" si="16"/>
        <v>43862</v>
      </c>
      <c r="O58" s="2521">
        <f t="shared" si="16"/>
        <v>43831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48" t="s">
        <v>516</v>
      </c>
      <c r="D4" s="3549"/>
      <c r="E4" s="3573" t="s">
        <v>517</v>
      </c>
      <c r="F4" s="3574"/>
      <c r="G4" s="3548" t="s">
        <v>518</v>
      </c>
      <c r="H4" s="3549"/>
      <c r="I4" s="3548" t="s">
        <v>519</v>
      </c>
      <c r="J4" s="3549"/>
      <c r="K4" s="508" t="s">
        <v>520</v>
      </c>
      <c r="L4" s="2015"/>
      <c r="M4" s="2016"/>
      <c r="N4" s="2016"/>
      <c r="O4" s="2016"/>
      <c r="P4" s="3550" t="s">
        <v>521</v>
      </c>
      <c r="Q4" s="3551"/>
      <c r="R4" s="3536" t="s">
        <v>517</v>
      </c>
      <c r="S4" s="3537"/>
      <c r="T4" s="3536" t="s">
        <v>518</v>
      </c>
      <c r="U4" s="3537"/>
      <c r="V4" s="3556" t="s">
        <v>519</v>
      </c>
      <c r="W4" s="3556"/>
      <c r="X4" s="1502"/>
      <c r="Y4" s="3536" t="s">
        <v>521</v>
      </c>
      <c r="Z4" s="3537"/>
      <c r="AA4" s="3531" t="s">
        <v>517</v>
      </c>
      <c r="AB4" s="3556" t="s">
        <v>518</v>
      </c>
      <c r="AC4" s="3531" t="s">
        <v>519</v>
      </c>
    </row>
    <row r="5" spans="1:29" ht="15">
      <c r="A5" s="509"/>
      <c r="B5" s="510"/>
      <c r="C5" s="3559" t="s">
        <v>2898</v>
      </c>
      <c r="D5" s="3560"/>
      <c r="E5" s="3575" t="s">
        <v>2899</v>
      </c>
      <c r="F5" s="3576"/>
      <c r="G5" s="3559" t="s">
        <v>2900</v>
      </c>
      <c r="H5" s="3560"/>
      <c r="I5" s="3559" t="s">
        <v>2901</v>
      </c>
      <c r="J5" s="3560"/>
      <c r="K5" s="508"/>
      <c r="L5" s="2015"/>
      <c r="M5" s="2016"/>
      <c r="N5" s="2016"/>
      <c r="O5" s="2016"/>
      <c r="P5" s="3552"/>
      <c r="Q5" s="3553"/>
      <c r="R5" s="3538"/>
      <c r="S5" s="3539"/>
      <c r="T5" s="3538"/>
      <c r="U5" s="3539"/>
      <c r="V5" s="3556"/>
      <c r="W5" s="3556"/>
      <c r="X5" s="1502"/>
      <c r="Y5" s="3538"/>
      <c r="Z5" s="3539"/>
      <c r="AA5" s="3532"/>
      <c r="AB5" s="3556"/>
      <c r="AC5" s="3532"/>
    </row>
    <row r="6" spans="1:29" ht="15.75" thickBot="1">
      <c r="A6" s="511"/>
      <c r="B6" s="512"/>
      <c r="C6" s="3557" t="s">
        <v>2902</v>
      </c>
      <c r="D6" s="3558"/>
      <c r="E6" s="3577" t="s">
        <v>2902</v>
      </c>
      <c r="F6" s="3578"/>
      <c r="G6" s="3557" t="s">
        <v>2902</v>
      </c>
      <c r="H6" s="3558"/>
      <c r="I6" s="3557" t="s">
        <v>2902</v>
      </c>
      <c r="J6" s="3558"/>
      <c r="K6" s="508" t="s">
        <v>522</v>
      </c>
      <c r="L6" s="2015"/>
      <c r="M6" s="2016"/>
      <c r="N6" s="2016"/>
      <c r="O6" s="2016"/>
      <c r="P6" s="3554"/>
      <c r="Q6" s="3555"/>
      <c r="R6" s="3538"/>
      <c r="S6" s="3539"/>
      <c r="T6" s="3540"/>
      <c r="U6" s="3541"/>
      <c r="V6" s="3556"/>
      <c r="W6" s="3556"/>
      <c r="X6" s="1502"/>
      <c r="Y6" s="3540"/>
      <c r="Z6" s="3541"/>
      <c r="AA6" s="3533"/>
      <c r="AB6" s="3556"/>
      <c r="AC6" s="3533"/>
    </row>
    <row r="7" spans="1:29" s="1203" customFormat="1" ht="15.75" thickBot="1">
      <c r="A7" s="2629"/>
      <c r="B7" s="2636" t="s">
        <v>523</v>
      </c>
      <c r="C7" s="513">
        <f>'数据-取费表'!B2</f>
        <v>44201</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34" t="s">
        <v>524</v>
      </c>
      <c r="Q7" s="3543"/>
      <c r="R7" s="1503" t="s">
        <v>8</v>
      </c>
      <c r="S7" s="1504">
        <f t="shared" ref="S7:S15" si="0">F7</f>
        <v>0</v>
      </c>
      <c r="T7" s="1503" t="s">
        <v>8</v>
      </c>
      <c r="U7" s="1504">
        <f t="shared" ref="U7:U15" si="1">H7</f>
        <v>0</v>
      </c>
      <c r="V7" s="1503" t="s">
        <v>8</v>
      </c>
      <c r="W7" s="1504">
        <f t="shared" ref="W7:W15" si="2">J7</f>
        <v>0</v>
      </c>
      <c r="X7" s="1505"/>
      <c r="Y7" s="3534" t="s">
        <v>524</v>
      </c>
      <c r="Z7" s="3535"/>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34" t="s">
        <v>527</v>
      </c>
      <c r="Q8" s="3535"/>
      <c r="R8" s="1503" t="s">
        <v>8</v>
      </c>
      <c r="S8" s="1504">
        <f t="shared" si="0"/>
        <v>0</v>
      </c>
      <c r="T8" s="1503" t="s">
        <v>8</v>
      </c>
      <c r="U8" s="1504">
        <f t="shared" si="1"/>
        <v>0</v>
      </c>
      <c r="V8" s="1503" t="s">
        <v>8</v>
      </c>
      <c r="W8" s="1504">
        <f t="shared" si="2"/>
        <v>0</v>
      </c>
      <c r="X8" s="1505"/>
      <c r="Y8" s="3534" t="s">
        <v>527</v>
      </c>
      <c r="Z8" s="3535"/>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42" t="s">
        <v>529</v>
      </c>
      <c r="Q9" s="1134" t="str">
        <f t="shared" ref="Q9:Q15" si="6">B9</f>
        <v>用途</v>
      </c>
      <c r="R9" s="1503" t="s">
        <v>8</v>
      </c>
      <c r="S9" s="1504">
        <f t="shared" si="0"/>
        <v>100</v>
      </c>
      <c r="T9" s="1503" t="s">
        <v>8</v>
      </c>
      <c r="U9" s="1504">
        <f t="shared" si="1"/>
        <v>100</v>
      </c>
      <c r="V9" s="1503" t="s">
        <v>8</v>
      </c>
      <c r="W9" s="1504">
        <f t="shared" si="2"/>
        <v>100</v>
      </c>
      <c r="X9" s="1505"/>
      <c r="Y9" s="3493"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42"/>
      <c r="Q10" s="1134" t="str">
        <f t="shared" si="6"/>
        <v>土地使用年限（年）</v>
      </c>
      <c r="R10" s="1503" t="s">
        <v>8</v>
      </c>
      <c r="S10" s="1504">
        <f t="shared" si="0"/>
        <v>100</v>
      </c>
      <c r="T10" s="1503" t="s">
        <v>8</v>
      </c>
      <c r="U10" s="1504">
        <f t="shared" si="1"/>
        <v>100</v>
      </c>
      <c r="V10" s="1503" t="s">
        <v>8</v>
      </c>
      <c r="W10" s="1504">
        <f t="shared" si="2"/>
        <v>100</v>
      </c>
      <c r="X10" s="1505"/>
      <c r="Y10" s="3493"/>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42"/>
      <c r="Q11" s="1134" t="str">
        <f t="shared" si="6"/>
        <v>容积率</v>
      </c>
      <c r="R11" s="1503" t="s">
        <v>8</v>
      </c>
      <c r="S11" s="1504" t="e">
        <f t="shared" si="0"/>
        <v>#N/A</v>
      </c>
      <c r="T11" s="1503" t="s">
        <v>8</v>
      </c>
      <c r="U11" s="1504" t="e">
        <f t="shared" si="1"/>
        <v>#N/A</v>
      </c>
      <c r="V11" s="1503" t="s">
        <v>8</v>
      </c>
      <c r="W11" s="1504" t="e">
        <f t="shared" si="2"/>
        <v>#N/A</v>
      </c>
      <c r="X11" s="1505"/>
      <c r="Y11" s="3493"/>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542"/>
      <c r="Q12" s="1134">
        <f t="shared" si="6"/>
        <v>111</v>
      </c>
      <c r="R12" s="1503" t="s">
        <v>8</v>
      </c>
      <c r="S12" s="1504">
        <f t="shared" si="0"/>
        <v>100</v>
      </c>
      <c r="T12" s="1503" t="s">
        <v>8</v>
      </c>
      <c r="U12" s="1504">
        <f t="shared" si="1"/>
        <v>100</v>
      </c>
      <c r="V12" s="1503" t="s">
        <v>8</v>
      </c>
      <c r="W12" s="1504">
        <f t="shared" si="2"/>
        <v>100</v>
      </c>
      <c r="X12" s="1505"/>
      <c r="Y12" s="3493"/>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542"/>
      <c r="Q13" s="1134">
        <f t="shared" si="6"/>
        <v>111</v>
      </c>
      <c r="R13" s="1503" t="s">
        <v>8</v>
      </c>
      <c r="S13" s="1504">
        <f t="shared" si="0"/>
        <v>100</v>
      </c>
      <c r="T13" s="1503" t="s">
        <v>8</v>
      </c>
      <c r="U13" s="1504">
        <f t="shared" si="1"/>
        <v>100</v>
      </c>
      <c r="V13" s="1503" t="s">
        <v>8</v>
      </c>
      <c r="W13" s="1504">
        <f t="shared" si="2"/>
        <v>100</v>
      </c>
      <c r="X13" s="1505"/>
      <c r="Y13" s="3493"/>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542"/>
      <c r="Q14" s="1134">
        <f t="shared" si="6"/>
        <v>111</v>
      </c>
      <c r="R14" s="1503" t="s">
        <v>8</v>
      </c>
      <c r="S14" s="1504">
        <f t="shared" si="0"/>
        <v>100</v>
      </c>
      <c r="T14" s="1503" t="s">
        <v>8</v>
      </c>
      <c r="U14" s="1504">
        <f t="shared" si="1"/>
        <v>100</v>
      </c>
      <c r="V14" s="1503" t="s">
        <v>8</v>
      </c>
      <c r="W14" s="1504">
        <f t="shared" si="2"/>
        <v>100</v>
      </c>
      <c r="X14" s="1505"/>
      <c r="Y14" s="3493"/>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44" t="s">
        <v>534</v>
      </c>
      <c r="Q15" s="1507" t="str">
        <f t="shared" si="6"/>
        <v>商业繁华度</v>
      </c>
      <c r="R15" s="1508" t="s">
        <v>8</v>
      </c>
      <c r="S15" s="1509">
        <f t="shared" si="0"/>
        <v>100</v>
      </c>
      <c r="T15" s="1508" t="s">
        <v>8</v>
      </c>
      <c r="U15" s="1509">
        <f t="shared" si="1"/>
        <v>100</v>
      </c>
      <c r="V15" s="1508" t="s">
        <v>8</v>
      </c>
      <c r="W15" s="1509">
        <f t="shared" si="2"/>
        <v>100</v>
      </c>
      <c r="X15" s="1502"/>
      <c r="Y15" s="3544"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45"/>
      <c r="Q16" s="1507"/>
      <c r="R16" s="1508"/>
      <c r="S16" s="1509"/>
      <c r="T16" s="1508"/>
      <c r="U16" s="1509"/>
      <c r="V16" s="1508"/>
      <c r="W16" s="1509"/>
      <c r="X16" s="1502"/>
      <c r="Y16" s="354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45"/>
      <c r="Q17" s="1507" t="str">
        <f>B17</f>
        <v>交通便捷度</v>
      </c>
      <c r="R17" s="1508" t="s">
        <v>8</v>
      </c>
      <c r="S17" s="1509">
        <f>F17</f>
        <v>100</v>
      </c>
      <c r="T17" s="1508" t="s">
        <v>8</v>
      </c>
      <c r="U17" s="1509">
        <f>H17</f>
        <v>100</v>
      </c>
      <c r="V17" s="1508" t="s">
        <v>8</v>
      </c>
      <c r="W17" s="1509">
        <f>J17</f>
        <v>100</v>
      </c>
      <c r="X17" s="1502"/>
      <c r="Y17" s="354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45"/>
      <c r="Q18" s="1507"/>
      <c r="R18" s="1508"/>
      <c r="S18" s="1509"/>
      <c r="T18" s="1508"/>
      <c r="U18" s="1509"/>
      <c r="V18" s="1508"/>
      <c r="W18" s="1509"/>
      <c r="X18" s="1502"/>
      <c r="Y18" s="3545"/>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45"/>
      <c r="Q19" s="1507" t="str">
        <f>B19</f>
        <v>公共配套设施</v>
      </c>
      <c r="R19" s="1508" t="s">
        <v>8</v>
      </c>
      <c r="S19" s="1509">
        <f>F19</f>
        <v>100</v>
      </c>
      <c r="T19" s="1508" t="s">
        <v>8</v>
      </c>
      <c r="U19" s="1509">
        <f>H19</f>
        <v>100</v>
      </c>
      <c r="V19" s="1508" t="s">
        <v>8</v>
      </c>
      <c r="W19" s="1509">
        <f>J19</f>
        <v>100</v>
      </c>
      <c r="X19" s="1502"/>
      <c r="Y19" s="354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545"/>
      <c r="Q20" s="1507"/>
      <c r="R20" s="1508"/>
      <c r="S20" s="1509"/>
      <c r="T20" s="1508"/>
      <c r="U20" s="1509"/>
      <c r="V20" s="1508"/>
      <c r="W20" s="1509"/>
      <c r="X20" s="1502"/>
      <c r="Y20" s="3545"/>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45"/>
      <c r="Q21" s="2429" t="str">
        <f>B21</f>
        <v>基础设施水平</v>
      </c>
      <c r="R21" s="1508" t="s">
        <v>8</v>
      </c>
      <c r="S21" s="1509">
        <f>F21</f>
        <v>100</v>
      </c>
      <c r="T21" s="1508" t="s">
        <v>8</v>
      </c>
      <c r="U21" s="1509">
        <f>H21</f>
        <v>100</v>
      </c>
      <c r="V21" s="1508" t="s">
        <v>8</v>
      </c>
      <c r="W21" s="1509">
        <f>J21</f>
        <v>100</v>
      </c>
      <c r="X21" s="2431"/>
      <c r="Y21" s="3545"/>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545"/>
      <c r="Q22" s="2429"/>
      <c r="R22" s="1508"/>
      <c r="S22" s="1509"/>
      <c r="T22" s="1508"/>
      <c r="U22" s="1509"/>
      <c r="V22" s="1508"/>
      <c r="W22" s="1509"/>
      <c r="X22" s="2431"/>
      <c r="Y22" s="3545"/>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45"/>
      <c r="Q23" s="1507" t="str">
        <f>B23</f>
        <v>自然及人文环境</v>
      </c>
      <c r="R23" s="1508" t="s">
        <v>8</v>
      </c>
      <c r="S23" s="1509">
        <f>F23</f>
        <v>100</v>
      </c>
      <c r="T23" s="1508" t="s">
        <v>8</v>
      </c>
      <c r="U23" s="1509">
        <f>H23</f>
        <v>100</v>
      </c>
      <c r="V23" s="1508" t="s">
        <v>8</v>
      </c>
      <c r="W23" s="1509">
        <f>J23</f>
        <v>100</v>
      </c>
      <c r="X23" s="1502"/>
      <c r="Y23" s="354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545"/>
      <c r="Q24" s="1507"/>
      <c r="R24" s="1508"/>
      <c r="S24" s="1509"/>
      <c r="T24" s="1508"/>
      <c r="U24" s="1509"/>
      <c r="V24" s="1508"/>
      <c r="W24" s="1509"/>
      <c r="X24" s="1502"/>
      <c r="Y24" s="3545"/>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45"/>
      <c r="Q25" s="1507" t="str">
        <f t="shared" ref="Q25:Q46" si="11">B25</f>
        <v>临街状况</v>
      </c>
      <c r="R25" s="1508" t="s">
        <v>8</v>
      </c>
      <c r="S25" s="1509">
        <f>F25</f>
        <v>100</v>
      </c>
      <c r="T25" s="1508" t="s">
        <v>8</v>
      </c>
      <c r="U25" s="1509">
        <f>H25</f>
        <v>100</v>
      </c>
      <c r="V25" s="1508" t="s">
        <v>8</v>
      </c>
      <c r="W25" s="1509">
        <f>J25</f>
        <v>100</v>
      </c>
      <c r="X25" s="1502"/>
      <c r="Y25" s="3545"/>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45"/>
      <c r="Q26" s="1507" t="str">
        <f t="shared" si="11"/>
        <v>平面位置/可视性</v>
      </c>
      <c r="R26" s="1508" t="s">
        <v>8</v>
      </c>
      <c r="S26" s="1509">
        <f>F26</f>
        <v>100</v>
      </c>
      <c r="T26" s="1508" t="s">
        <v>8</v>
      </c>
      <c r="U26" s="1509">
        <f>H26</f>
        <v>100</v>
      </c>
      <c r="V26" s="1508" t="s">
        <v>8</v>
      </c>
      <c r="W26" s="1509">
        <f>J26</f>
        <v>100</v>
      </c>
      <c r="X26" s="1502"/>
      <c r="Y26" s="3545"/>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45"/>
      <c r="Q27" s="1134" t="str">
        <f t="shared" si="11"/>
        <v>人流量</v>
      </c>
      <c r="R27" s="1503" t="s">
        <v>8</v>
      </c>
      <c r="S27" s="1504">
        <f>F27</f>
        <v>100</v>
      </c>
      <c r="T27" s="1503" t="s">
        <v>8</v>
      </c>
      <c r="U27" s="1504">
        <f>H27</f>
        <v>100</v>
      </c>
      <c r="V27" s="1503" t="s">
        <v>8</v>
      </c>
      <c r="W27" s="1504">
        <f>J27</f>
        <v>100</v>
      </c>
      <c r="X27" s="1505"/>
      <c r="Y27" s="3545"/>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45"/>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45"/>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45"/>
      <c r="Q29" s="1507">
        <f t="shared" si="11"/>
        <v>111</v>
      </c>
      <c r="R29" s="1508" t="s">
        <v>8</v>
      </c>
      <c r="S29" s="1509">
        <f t="shared" si="12"/>
        <v>100</v>
      </c>
      <c r="T29" s="1508" t="s">
        <v>8</v>
      </c>
      <c r="U29" s="1509">
        <f t="shared" si="13"/>
        <v>100</v>
      </c>
      <c r="V29" s="1508" t="s">
        <v>8</v>
      </c>
      <c r="W29" s="1509">
        <f t="shared" si="14"/>
        <v>100</v>
      </c>
      <c r="X29" s="1502"/>
      <c r="Y29" s="354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45"/>
      <c r="Q30" s="1507">
        <f t="shared" si="11"/>
        <v>111</v>
      </c>
      <c r="R30" s="1508" t="s">
        <v>8</v>
      </c>
      <c r="S30" s="1509">
        <f t="shared" si="12"/>
        <v>100</v>
      </c>
      <c r="T30" s="1508" t="s">
        <v>8</v>
      </c>
      <c r="U30" s="1509">
        <f t="shared" si="13"/>
        <v>100</v>
      </c>
      <c r="V30" s="1508" t="s">
        <v>8</v>
      </c>
      <c r="W30" s="1509">
        <f t="shared" si="14"/>
        <v>100</v>
      </c>
      <c r="X30" s="1502"/>
      <c r="Y30" s="3545"/>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45"/>
      <c r="Q31" s="1507">
        <f t="shared" si="11"/>
        <v>111</v>
      </c>
      <c r="R31" s="1508" t="s">
        <v>8</v>
      </c>
      <c r="S31" s="1509">
        <f t="shared" si="12"/>
        <v>100</v>
      </c>
      <c r="T31" s="1508" t="s">
        <v>8</v>
      </c>
      <c r="U31" s="1509">
        <f t="shared" si="13"/>
        <v>100</v>
      </c>
      <c r="V31" s="1508" t="s">
        <v>8</v>
      </c>
      <c r="W31" s="1509">
        <f t="shared" si="14"/>
        <v>100</v>
      </c>
      <c r="X31" s="1502"/>
      <c r="Y31" s="3545"/>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46" t="s">
        <v>544</v>
      </c>
      <c r="Q32" s="1507" t="str">
        <f t="shared" si="11"/>
        <v>商业类型</v>
      </c>
      <c r="R32" s="1508" t="s">
        <v>8</v>
      </c>
      <c r="S32" s="1509">
        <f t="shared" si="12"/>
        <v>100</v>
      </c>
      <c r="T32" s="1508" t="s">
        <v>8</v>
      </c>
      <c r="U32" s="1509">
        <f t="shared" si="13"/>
        <v>100</v>
      </c>
      <c r="V32" s="1508" t="s">
        <v>8</v>
      </c>
      <c r="W32" s="1509">
        <f t="shared" si="14"/>
        <v>100</v>
      </c>
      <c r="X32" s="1502"/>
      <c r="Y32" s="3547"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47"/>
      <c r="Q33" s="1536" t="str">
        <f t="shared" si="11"/>
        <v>项目建筑规模</v>
      </c>
      <c r="R33" s="1512" t="s">
        <v>8</v>
      </c>
      <c r="S33" s="1513" t="e">
        <f t="shared" si="12"/>
        <v>#N/A</v>
      </c>
      <c r="T33" s="1512" t="s">
        <v>8</v>
      </c>
      <c r="U33" s="1513" t="e">
        <f t="shared" si="13"/>
        <v>#N/A</v>
      </c>
      <c r="V33" s="1512" t="s">
        <v>8</v>
      </c>
      <c r="W33" s="1513" t="e">
        <f t="shared" si="14"/>
        <v>#N/A</v>
      </c>
      <c r="X33" s="1514"/>
      <c r="Y33" s="354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47"/>
      <c r="Q34" s="1507" t="str">
        <f t="shared" si="11"/>
        <v>建筑结构</v>
      </c>
      <c r="R34" s="1508" t="s">
        <v>8</v>
      </c>
      <c r="S34" s="1509">
        <f t="shared" si="12"/>
        <v>100</v>
      </c>
      <c r="T34" s="1508" t="s">
        <v>8</v>
      </c>
      <c r="U34" s="1509">
        <f t="shared" si="13"/>
        <v>100</v>
      </c>
      <c r="V34" s="1508" t="s">
        <v>8</v>
      </c>
      <c r="W34" s="1509">
        <f t="shared" si="14"/>
        <v>100</v>
      </c>
      <c r="X34" s="1502"/>
      <c r="Y34" s="3547"/>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47"/>
      <c r="Q35" s="1507" t="str">
        <f t="shared" si="11"/>
        <v>公共部分装修</v>
      </c>
      <c r="R35" s="1508" t="s">
        <v>8</v>
      </c>
      <c r="S35" s="1509">
        <f t="shared" si="12"/>
        <v>100</v>
      </c>
      <c r="T35" s="1508" t="s">
        <v>8</v>
      </c>
      <c r="U35" s="1509">
        <f t="shared" si="13"/>
        <v>100</v>
      </c>
      <c r="V35" s="1508" t="s">
        <v>8</v>
      </c>
      <c r="W35" s="1509">
        <f t="shared" si="14"/>
        <v>100</v>
      </c>
      <c r="X35" s="1502"/>
      <c r="Y35" s="3547"/>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47"/>
      <c r="Q36" s="1507" t="str">
        <f t="shared" si="11"/>
        <v>成新度</v>
      </c>
      <c r="R36" s="1508" t="s">
        <v>8</v>
      </c>
      <c r="S36" s="1509" t="e">
        <f t="shared" si="12"/>
        <v>#N/A</v>
      </c>
      <c r="T36" s="1508" t="s">
        <v>8</v>
      </c>
      <c r="U36" s="1509" t="e">
        <f t="shared" si="13"/>
        <v>#N/A</v>
      </c>
      <c r="V36" s="1508" t="s">
        <v>8</v>
      </c>
      <c r="W36" s="1509" t="e">
        <f t="shared" si="14"/>
        <v>#N/A</v>
      </c>
      <c r="X36" s="1502"/>
      <c r="Y36" s="3547"/>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47"/>
      <c r="Q37" s="1134" t="str">
        <f t="shared" si="11"/>
        <v>市政基础设施</v>
      </c>
      <c r="R37" s="1503" t="s">
        <v>8</v>
      </c>
      <c r="S37" s="1504">
        <f t="shared" si="12"/>
        <v>100</v>
      </c>
      <c r="T37" s="1503" t="s">
        <v>8</v>
      </c>
      <c r="U37" s="1504">
        <f t="shared" si="13"/>
        <v>100</v>
      </c>
      <c r="V37" s="1503" t="s">
        <v>8</v>
      </c>
      <c r="W37" s="1504">
        <f t="shared" si="14"/>
        <v>100</v>
      </c>
      <c r="X37" s="1505"/>
      <c r="Y37" s="3547"/>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47" t="s">
        <v>760</v>
      </c>
      <c r="Q38" s="1507" t="str">
        <f t="shared" si="11"/>
        <v>业态</v>
      </c>
      <c r="R38" s="1508" t="s">
        <v>8</v>
      </c>
      <c r="S38" s="1509">
        <f t="shared" si="12"/>
        <v>100</v>
      </c>
      <c r="T38" s="1508" t="s">
        <v>8</v>
      </c>
      <c r="U38" s="1509">
        <f t="shared" si="13"/>
        <v>100</v>
      </c>
      <c r="V38" s="1508" t="s">
        <v>8</v>
      </c>
      <c r="W38" s="1509">
        <f t="shared" si="14"/>
        <v>100</v>
      </c>
      <c r="X38" s="1502"/>
      <c r="Y38" s="3547"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47"/>
      <c r="Q39" s="1507" t="str">
        <f t="shared" si="11"/>
        <v>层高</v>
      </c>
      <c r="R39" s="1508" t="s">
        <v>8</v>
      </c>
      <c r="S39" s="1509">
        <f t="shared" si="12"/>
        <v>100</v>
      </c>
      <c r="T39" s="1508" t="s">
        <v>8</v>
      </c>
      <c r="U39" s="1509">
        <f t="shared" si="13"/>
        <v>100</v>
      </c>
      <c r="V39" s="1508" t="s">
        <v>8</v>
      </c>
      <c r="W39" s="1509">
        <f t="shared" si="14"/>
        <v>100</v>
      </c>
      <c r="X39" s="1502"/>
      <c r="Y39" s="3547"/>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47"/>
      <c r="Q40" s="1507" t="str">
        <f t="shared" si="11"/>
        <v>单套建筑面积</v>
      </c>
      <c r="R40" s="1508" t="s">
        <v>8</v>
      </c>
      <c r="S40" s="1509">
        <f t="shared" si="12"/>
        <v>100</v>
      </c>
      <c r="T40" s="1508" t="s">
        <v>8</v>
      </c>
      <c r="U40" s="1509">
        <f t="shared" si="13"/>
        <v>100</v>
      </c>
      <c r="V40" s="1508" t="s">
        <v>8</v>
      </c>
      <c r="W40" s="1509">
        <f t="shared" si="14"/>
        <v>100</v>
      </c>
      <c r="X40" s="1502"/>
      <c r="Y40" s="3547"/>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47"/>
      <c r="Q41" s="1536" t="str">
        <f t="shared" si="11"/>
        <v>进深比</v>
      </c>
      <c r="R41" s="1512" t="s">
        <v>8</v>
      </c>
      <c r="S41" s="1513">
        <f t="shared" si="12"/>
        <v>100</v>
      </c>
      <c r="T41" s="1512" t="s">
        <v>8</v>
      </c>
      <c r="U41" s="1513">
        <f t="shared" si="13"/>
        <v>100</v>
      </c>
      <c r="V41" s="1512" t="s">
        <v>8</v>
      </c>
      <c r="W41" s="1513">
        <f t="shared" si="14"/>
        <v>100</v>
      </c>
      <c r="X41" s="1514"/>
      <c r="Y41" s="3547"/>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47"/>
      <c r="Q42" s="1507" t="str">
        <f t="shared" si="11"/>
        <v>内部装修</v>
      </c>
      <c r="R42" s="1508" t="s">
        <v>8</v>
      </c>
      <c r="S42" s="1509">
        <f t="shared" si="12"/>
        <v>100</v>
      </c>
      <c r="T42" s="1508" t="s">
        <v>8</v>
      </c>
      <c r="U42" s="1509">
        <f t="shared" si="13"/>
        <v>100</v>
      </c>
      <c r="V42" s="1508" t="s">
        <v>8</v>
      </c>
      <c r="W42" s="1509">
        <f t="shared" si="14"/>
        <v>100</v>
      </c>
      <c r="X42" s="1502"/>
      <c r="Y42" s="3547"/>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47"/>
      <c r="Q43" s="1507" t="str">
        <f t="shared" si="11"/>
        <v>内部装修维护情况</v>
      </c>
      <c r="R43" s="1508" t="s">
        <v>8</v>
      </c>
      <c r="S43" s="1509">
        <f t="shared" si="12"/>
        <v>100</v>
      </c>
      <c r="T43" s="1508" t="s">
        <v>8</v>
      </c>
      <c r="U43" s="1509">
        <f t="shared" si="13"/>
        <v>100</v>
      </c>
      <c r="V43" s="1508" t="s">
        <v>8</v>
      </c>
      <c r="W43" s="1509">
        <f t="shared" si="14"/>
        <v>100</v>
      </c>
      <c r="X43" s="1502"/>
      <c r="Y43" s="354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47"/>
      <c r="Q44" s="1134">
        <f t="shared" si="11"/>
        <v>111</v>
      </c>
      <c r="R44" s="1503" t="s">
        <v>8</v>
      </c>
      <c r="S44" s="1504">
        <f t="shared" si="12"/>
        <v>100</v>
      </c>
      <c r="T44" s="1503" t="s">
        <v>8</v>
      </c>
      <c r="U44" s="1504">
        <f t="shared" si="13"/>
        <v>100</v>
      </c>
      <c r="V44" s="1503" t="s">
        <v>8</v>
      </c>
      <c r="W44" s="1504">
        <f t="shared" si="14"/>
        <v>100</v>
      </c>
      <c r="X44" s="1505"/>
      <c r="Y44" s="354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47"/>
      <c r="Q45" s="1507">
        <f t="shared" si="11"/>
        <v>111</v>
      </c>
      <c r="R45" s="1508" t="s">
        <v>8</v>
      </c>
      <c r="S45" s="1509">
        <f t="shared" si="12"/>
        <v>100</v>
      </c>
      <c r="T45" s="1508" t="s">
        <v>8</v>
      </c>
      <c r="U45" s="1509">
        <f t="shared" si="13"/>
        <v>100</v>
      </c>
      <c r="V45" s="1508" t="s">
        <v>8</v>
      </c>
      <c r="W45" s="1509">
        <f t="shared" si="14"/>
        <v>100</v>
      </c>
      <c r="X45" s="1502"/>
      <c r="Y45" s="3547"/>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48"/>
      <c r="Q46" s="1507">
        <f t="shared" si="11"/>
        <v>111</v>
      </c>
      <c r="R46" s="1508" t="s">
        <v>8</v>
      </c>
      <c r="S46" s="1509">
        <f t="shared" si="12"/>
        <v>100</v>
      </c>
      <c r="T46" s="1508" t="s">
        <v>8</v>
      </c>
      <c r="U46" s="1509">
        <f t="shared" si="13"/>
        <v>100</v>
      </c>
      <c r="V46" s="1508" t="s">
        <v>8</v>
      </c>
      <c r="W46" s="1509">
        <f t="shared" si="14"/>
        <v>100</v>
      </c>
      <c r="X46" s="1502"/>
      <c r="Y46" s="3648"/>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542" t="str">
        <f>A47</f>
        <v>成交单价（元/平方米）</v>
      </c>
      <c r="Q47" s="3542"/>
      <c r="R47" s="3647">
        <f>E47</f>
        <v>0</v>
      </c>
      <c r="S47" s="3647"/>
      <c r="T47" s="3647">
        <f>G47</f>
        <v>0</v>
      </c>
      <c r="U47" s="3647"/>
      <c r="V47" s="3647">
        <f>I47</f>
        <v>0</v>
      </c>
      <c r="W47" s="3647"/>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16"/>
      <c r="O48" s="2027"/>
      <c r="P48" s="3542" t="str">
        <f>A48</f>
        <v>比较价格（元/平方米）</v>
      </c>
      <c r="Q48" s="3542"/>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42"/>
      <c r="L49" s="2026"/>
      <c r="M49" s="2027"/>
      <c r="N49" s="2016"/>
      <c r="O49" s="2027"/>
      <c r="P49" s="3563" t="str">
        <f>A49</f>
        <v>估价对象XX用房的比较价格（楼面单价，元/平方米）</v>
      </c>
      <c r="Q49" s="3564"/>
      <c r="R49" s="3646" t="e">
        <f>IF(F1="售价",ROUND(IF(D48="简单平均",AVERAGE(R48:V48),R48*F48+T48*H48+V48*J48),0),ROUND(IF(D48="简单平均",AVERAGE(R48:V48),R48*F48+T48*H48+V48*J48),1))</f>
        <v>#DIV/0!</v>
      </c>
      <c r="S49" s="3646"/>
      <c r="T49" s="3646"/>
      <c r="U49" s="3646"/>
      <c r="V49" s="3646"/>
      <c r="W49" s="3646"/>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2021-1</v>
      </c>
      <c r="D58" s="2521">
        <f>EDATE(C58,-1)</f>
        <v>44166</v>
      </c>
      <c r="E58" s="2521">
        <f t="shared" ref="E58:O58" si="16">EDATE(D58,-1)</f>
        <v>44136</v>
      </c>
      <c r="F58" s="2521">
        <f t="shared" si="16"/>
        <v>44105</v>
      </c>
      <c r="G58" s="2521">
        <f t="shared" si="16"/>
        <v>44075</v>
      </c>
      <c r="H58" s="2521">
        <f t="shared" si="16"/>
        <v>44044</v>
      </c>
      <c r="I58" s="2521">
        <f t="shared" si="16"/>
        <v>44013</v>
      </c>
      <c r="J58" s="2521">
        <f t="shared" si="16"/>
        <v>43983</v>
      </c>
      <c r="K58" s="2521">
        <f t="shared" si="16"/>
        <v>43952</v>
      </c>
      <c r="L58" s="2521">
        <f t="shared" si="16"/>
        <v>43922</v>
      </c>
      <c r="M58" s="2521">
        <f t="shared" si="16"/>
        <v>43891</v>
      </c>
      <c r="N58" s="2521">
        <f t="shared" si="16"/>
        <v>43862</v>
      </c>
      <c r="O58" s="2521">
        <f t="shared" si="16"/>
        <v>43831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548" t="s">
        <v>516</v>
      </c>
      <c r="D4" s="3549"/>
      <c r="E4" s="3573" t="s">
        <v>517</v>
      </c>
      <c r="F4" s="3574"/>
      <c r="G4" s="3548" t="s">
        <v>518</v>
      </c>
      <c r="H4" s="3549"/>
      <c r="I4" s="3548" t="s">
        <v>519</v>
      </c>
      <c r="J4" s="3549"/>
      <c r="K4" s="508" t="s">
        <v>520</v>
      </c>
      <c r="L4" s="2015"/>
      <c r="M4" s="2016"/>
      <c r="N4" s="2016"/>
      <c r="O4" s="2016"/>
      <c r="P4" s="3649" t="s">
        <v>521</v>
      </c>
      <c r="Q4" s="3551"/>
      <c r="R4" s="3536" t="s">
        <v>517</v>
      </c>
      <c r="S4" s="3537"/>
      <c r="T4" s="3536" t="s">
        <v>518</v>
      </c>
      <c r="U4" s="3537"/>
      <c r="V4" s="3556" t="s">
        <v>519</v>
      </c>
      <c r="W4" s="3556"/>
      <c r="X4" s="1502"/>
      <c r="Y4" s="3536" t="s">
        <v>521</v>
      </c>
      <c r="Z4" s="3537"/>
      <c r="AA4" s="3531" t="s">
        <v>517</v>
      </c>
      <c r="AB4" s="3531" t="s">
        <v>518</v>
      </c>
      <c r="AC4" s="3531" t="s">
        <v>519</v>
      </c>
    </row>
    <row r="5" spans="1:29" ht="15">
      <c r="A5" s="509"/>
      <c r="B5" s="510"/>
      <c r="C5" s="3559" t="s">
        <v>2898</v>
      </c>
      <c r="D5" s="3560"/>
      <c r="E5" s="3575" t="s">
        <v>2899</v>
      </c>
      <c r="F5" s="3576"/>
      <c r="G5" s="3559" t="s">
        <v>2900</v>
      </c>
      <c r="H5" s="3560"/>
      <c r="I5" s="3559" t="s">
        <v>2901</v>
      </c>
      <c r="J5" s="3560"/>
      <c r="K5" s="508"/>
      <c r="L5" s="2015"/>
      <c r="M5" s="2016"/>
      <c r="N5" s="2016"/>
      <c r="O5" s="2016"/>
      <c r="P5" s="3650"/>
      <c r="Q5" s="3553"/>
      <c r="R5" s="3538"/>
      <c r="S5" s="3539"/>
      <c r="T5" s="3538"/>
      <c r="U5" s="3539"/>
      <c r="V5" s="3556"/>
      <c r="W5" s="3556"/>
      <c r="X5" s="1502"/>
      <c r="Y5" s="3538"/>
      <c r="Z5" s="3539"/>
      <c r="AA5" s="3532"/>
      <c r="AB5" s="3532"/>
      <c r="AC5" s="3532"/>
    </row>
    <row r="6" spans="1:29" ht="15.75" thickBot="1">
      <c r="A6" s="511"/>
      <c r="B6" s="512"/>
      <c r="C6" s="3557" t="s">
        <v>2902</v>
      </c>
      <c r="D6" s="3558"/>
      <c r="E6" s="3577" t="s">
        <v>2902</v>
      </c>
      <c r="F6" s="3578"/>
      <c r="G6" s="3557" t="s">
        <v>2902</v>
      </c>
      <c r="H6" s="3558"/>
      <c r="I6" s="3557" t="s">
        <v>2902</v>
      </c>
      <c r="J6" s="3558"/>
      <c r="K6" s="508" t="s">
        <v>522</v>
      </c>
      <c r="L6" s="2015"/>
      <c r="M6" s="2016"/>
      <c r="N6" s="2016"/>
      <c r="O6" s="2016"/>
      <c r="P6" s="3651"/>
      <c r="Q6" s="3555"/>
      <c r="R6" s="3538"/>
      <c r="S6" s="3539"/>
      <c r="T6" s="3540"/>
      <c r="U6" s="3541"/>
      <c r="V6" s="3556"/>
      <c r="W6" s="3556"/>
      <c r="X6" s="1502"/>
      <c r="Y6" s="3540"/>
      <c r="Z6" s="3541"/>
      <c r="AA6" s="3533"/>
      <c r="AB6" s="3533"/>
      <c r="AC6" s="3533"/>
    </row>
    <row r="7" spans="1:29" s="1203" customFormat="1" ht="15.75" thickBot="1">
      <c r="A7" s="2629"/>
      <c r="B7" s="2636" t="s">
        <v>523</v>
      </c>
      <c r="C7" s="513">
        <f>'数据-取费表'!B2</f>
        <v>44201</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43" t="s">
        <v>524</v>
      </c>
      <c r="Q7" s="3543"/>
      <c r="R7" s="1503" t="s">
        <v>8</v>
      </c>
      <c r="S7" s="1504">
        <f t="shared" ref="S7:S15" si="0">F7</f>
        <v>0</v>
      </c>
      <c r="T7" s="1503" t="s">
        <v>8</v>
      </c>
      <c r="U7" s="1504">
        <f t="shared" ref="U7:U15" si="1">H7</f>
        <v>0</v>
      </c>
      <c r="V7" s="1503" t="s">
        <v>8</v>
      </c>
      <c r="W7" s="1504">
        <f t="shared" ref="W7:W15" si="2">J7</f>
        <v>0</v>
      </c>
      <c r="X7" s="1505"/>
      <c r="Y7" s="3534" t="s">
        <v>524</v>
      </c>
      <c r="Z7" s="3535"/>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43" t="s">
        <v>527</v>
      </c>
      <c r="Q8" s="3535"/>
      <c r="R8" s="1503" t="s">
        <v>8</v>
      </c>
      <c r="S8" s="1504">
        <f t="shared" si="0"/>
        <v>0</v>
      </c>
      <c r="T8" s="1503" t="s">
        <v>8</v>
      </c>
      <c r="U8" s="1504">
        <f t="shared" si="1"/>
        <v>0</v>
      </c>
      <c r="V8" s="1503" t="s">
        <v>8</v>
      </c>
      <c r="W8" s="1504">
        <f t="shared" si="2"/>
        <v>0</v>
      </c>
      <c r="X8" s="1505"/>
      <c r="Y8" s="3534" t="s">
        <v>527</v>
      </c>
      <c r="Z8" s="3535"/>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42" t="s">
        <v>529</v>
      </c>
      <c r="Q9" s="1134" t="str">
        <f t="shared" ref="Q9:Q15" si="6">B9</f>
        <v>用途</v>
      </c>
      <c r="R9" s="1503" t="s">
        <v>8</v>
      </c>
      <c r="S9" s="1504">
        <f t="shared" si="0"/>
        <v>100</v>
      </c>
      <c r="T9" s="1503" t="s">
        <v>8</v>
      </c>
      <c r="U9" s="1504">
        <f t="shared" si="1"/>
        <v>100</v>
      </c>
      <c r="V9" s="1503" t="s">
        <v>8</v>
      </c>
      <c r="W9" s="1504">
        <f t="shared" si="2"/>
        <v>100</v>
      </c>
      <c r="X9" s="1505"/>
      <c r="Y9" s="3493"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42"/>
      <c r="Q10" s="1134" t="str">
        <f t="shared" si="6"/>
        <v>土地使用年限（年）</v>
      </c>
      <c r="R10" s="1503" t="s">
        <v>8</v>
      </c>
      <c r="S10" s="1504">
        <f t="shared" si="0"/>
        <v>100</v>
      </c>
      <c r="T10" s="1503" t="s">
        <v>8</v>
      </c>
      <c r="U10" s="1504">
        <f t="shared" si="1"/>
        <v>100</v>
      </c>
      <c r="V10" s="1503" t="s">
        <v>8</v>
      </c>
      <c r="W10" s="1504">
        <f t="shared" si="2"/>
        <v>100</v>
      </c>
      <c r="X10" s="1505"/>
      <c r="Y10" s="3493"/>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42"/>
      <c r="Q11" s="1134" t="str">
        <f t="shared" si="6"/>
        <v>容积率</v>
      </c>
      <c r="R11" s="1503" t="s">
        <v>8</v>
      </c>
      <c r="S11" s="1504" t="e">
        <f t="shared" si="0"/>
        <v>#N/A</v>
      </c>
      <c r="T11" s="1503" t="s">
        <v>8</v>
      </c>
      <c r="U11" s="1504" t="e">
        <f t="shared" si="1"/>
        <v>#N/A</v>
      </c>
      <c r="V11" s="1503" t="s">
        <v>8</v>
      </c>
      <c r="W11" s="1504" t="e">
        <f t="shared" si="2"/>
        <v>#N/A</v>
      </c>
      <c r="X11" s="1505"/>
      <c r="Y11" s="3493"/>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542"/>
      <c r="Q12" s="1134">
        <f t="shared" si="6"/>
        <v>111</v>
      </c>
      <c r="R12" s="1503" t="s">
        <v>8</v>
      </c>
      <c r="S12" s="1504">
        <f t="shared" si="0"/>
        <v>100</v>
      </c>
      <c r="T12" s="1503" t="s">
        <v>8</v>
      </c>
      <c r="U12" s="1504">
        <f t="shared" si="1"/>
        <v>100</v>
      </c>
      <c r="V12" s="1503" t="s">
        <v>8</v>
      </c>
      <c r="W12" s="1504">
        <f t="shared" si="2"/>
        <v>100</v>
      </c>
      <c r="X12" s="1505"/>
      <c r="Y12" s="3493"/>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542"/>
      <c r="Q13" s="1134">
        <f t="shared" si="6"/>
        <v>111</v>
      </c>
      <c r="R13" s="1503" t="s">
        <v>8</v>
      </c>
      <c r="S13" s="1504">
        <f t="shared" si="0"/>
        <v>100</v>
      </c>
      <c r="T13" s="1503" t="s">
        <v>8</v>
      </c>
      <c r="U13" s="1504">
        <f t="shared" si="1"/>
        <v>100</v>
      </c>
      <c r="V13" s="1503" t="s">
        <v>8</v>
      </c>
      <c r="W13" s="1504">
        <f t="shared" si="2"/>
        <v>100</v>
      </c>
      <c r="X13" s="1505"/>
      <c r="Y13" s="3493"/>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542"/>
      <c r="Q14" s="1134">
        <f t="shared" si="6"/>
        <v>111</v>
      </c>
      <c r="R14" s="1503" t="s">
        <v>8</v>
      </c>
      <c r="S14" s="1504">
        <f t="shared" si="0"/>
        <v>100</v>
      </c>
      <c r="T14" s="1503" t="s">
        <v>8</v>
      </c>
      <c r="U14" s="1504">
        <f t="shared" si="1"/>
        <v>100</v>
      </c>
      <c r="V14" s="1503" t="s">
        <v>8</v>
      </c>
      <c r="W14" s="1504">
        <f t="shared" si="2"/>
        <v>100</v>
      </c>
      <c r="X14" s="1505"/>
      <c r="Y14" s="3493"/>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44" t="s">
        <v>534</v>
      </c>
      <c r="Q15" s="1507" t="str">
        <f t="shared" si="6"/>
        <v>办公集聚程度</v>
      </c>
      <c r="R15" s="1508" t="s">
        <v>8</v>
      </c>
      <c r="S15" s="1509">
        <f t="shared" si="0"/>
        <v>100</v>
      </c>
      <c r="T15" s="1508" t="s">
        <v>8</v>
      </c>
      <c r="U15" s="1509">
        <f t="shared" si="1"/>
        <v>100</v>
      </c>
      <c r="V15" s="1508" t="s">
        <v>8</v>
      </c>
      <c r="W15" s="1509">
        <f t="shared" si="2"/>
        <v>100</v>
      </c>
      <c r="X15" s="1502"/>
      <c r="Y15" s="3544"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545"/>
      <c r="Q16" s="1507"/>
      <c r="R16" s="1508"/>
      <c r="S16" s="1509"/>
      <c r="T16" s="1508"/>
      <c r="U16" s="1509"/>
      <c r="V16" s="1508"/>
      <c r="W16" s="1509"/>
      <c r="X16" s="1502"/>
      <c r="Y16" s="3545"/>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45"/>
      <c r="Q17" s="1507" t="str">
        <f>B17</f>
        <v>交通便捷度</v>
      </c>
      <c r="R17" s="1508" t="s">
        <v>8</v>
      </c>
      <c r="S17" s="1509">
        <f>F17</f>
        <v>100</v>
      </c>
      <c r="T17" s="1508" t="s">
        <v>8</v>
      </c>
      <c r="U17" s="1509">
        <f>H17</f>
        <v>100</v>
      </c>
      <c r="V17" s="1508" t="s">
        <v>8</v>
      </c>
      <c r="W17" s="1509">
        <f>J17</f>
        <v>100</v>
      </c>
      <c r="X17" s="1502"/>
      <c r="Y17" s="3545"/>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545"/>
      <c r="Q18" s="1507"/>
      <c r="R18" s="1508"/>
      <c r="S18" s="1509"/>
      <c r="T18" s="1508"/>
      <c r="U18" s="1509"/>
      <c r="V18" s="1508"/>
      <c r="W18" s="1509"/>
      <c r="X18" s="1502"/>
      <c r="Y18" s="3545"/>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45"/>
      <c r="Q19" s="1507" t="str">
        <f>B19</f>
        <v>公共配套设施</v>
      </c>
      <c r="R19" s="1508" t="s">
        <v>8</v>
      </c>
      <c r="S19" s="1509">
        <f>F19</f>
        <v>100</v>
      </c>
      <c r="T19" s="1508" t="s">
        <v>8</v>
      </c>
      <c r="U19" s="1509">
        <f>H19</f>
        <v>100</v>
      </c>
      <c r="V19" s="1508" t="s">
        <v>8</v>
      </c>
      <c r="W19" s="1509">
        <f>J19</f>
        <v>100</v>
      </c>
      <c r="X19" s="1502"/>
      <c r="Y19" s="3545"/>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545"/>
      <c r="Q20" s="1507"/>
      <c r="R20" s="1508"/>
      <c r="S20" s="1509"/>
      <c r="T20" s="1508"/>
      <c r="U20" s="1509"/>
      <c r="V20" s="1508"/>
      <c r="W20" s="1509"/>
      <c r="X20" s="1502"/>
      <c r="Y20" s="3545"/>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45"/>
      <c r="Q21" s="2429" t="str">
        <f>B21</f>
        <v>基础设施水平</v>
      </c>
      <c r="R21" s="1508" t="s">
        <v>8</v>
      </c>
      <c r="S21" s="1509">
        <f>F21</f>
        <v>100</v>
      </c>
      <c r="T21" s="1508" t="s">
        <v>8</v>
      </c>
      <c r="U21" s="1509">
        <f>H21</f>
        <v>100</v>
      </c>
      <c r="V21" s="1508" t="s">
        <v>8</v>
      </c>
      <c r="W21" s="1509">
        <f>J21</f>
        <v>100</v>
      </c>
      <c r="X21" s="2431"/>
      <c r="Y21" s="3545"/>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545"/>
      <c r="Q22" s="2429"/>
      <c r="R22" s="1508"/>
      <c r="S22" s="1509"/>
      <c r="T22" s="1508"/>
      <c r="U22" s="1509"/>
      <c r="V22" s="1508"/>
      <c r="W22" s="1509"/>
      <c r="X22" s="2431"/>
      <c r="Y22" s="3545"/>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45"/>
      <c r="Q23" s="1507" t="str">
        <f>B23</f>
        <v>环境质量</v>
      </c>
      <c r="R23" s="1508" t="s">
        <v>8</v>
      </c>
      <c r="S23" s="1509">
        <f>F23</f>
        <v>100</v>
      </c>
      <c r="T23" s="1508" t="s">
        <v>8</v>
      </c>
      <c r="U23" s="1509">
        <f>H23</f>
        <v>100</v>
      </c>
      <c r="V23" s="1508" t="s">
        <v>8</v>
      </c>
      <c r="W23" s="1509">
        <f>J23</f>
        <v>100</v>
      </c>
      <c r="X23" s="1502"/>
      <c r="Y23" s="3545"/>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545"/>
      <c r="Q24" s="1507"/>
      <c r="R24" s="1508"/>
      <c r="S24" s="1509"/>
      <c r="T24" s="1508"/>
      <c r="U24" s="1509"/>
      <c r="V24" s="1508"/>
      <c r="W24" s="1509"/>
      <c r="X24" s="1502"/>
      <c r="Y24" s="3545"/>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45"/>
      <c r="Q25" s="1507" t="str">
        <f>B25</f>
        <v>毗邻道路的类型与等级</v>
      </c>
      <c r="R25" s="1508" t="s">
        <v>8</v>
      </c>
      <c r="S25" s="1509">
        <f>F25</f>
        <v>100</v>
      </c>
      <c r="T25" s="1508" t="s">
        <v>8</v>
      </c>
      <c r="U25" s="1509">
        <f>H25</f>
        <v>100</v>
      </c>
      <c r="V25" s="1508" t="s">
        <v>8</v>
      </c>
      <c r="W25" s="1509">
        <f>J25</f>
        <v>100</v>
      </c>
      <c r="X25" s="1502"/>
      <c r="Y25" s="3545"/>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545"/>
      <c r="Q26" s="1507"/>
      <c r="R26" s="1508"/>
      <c r="S26" s="1509"/>
      <c r="T26" s="1508"/>
      <c r="U26" s="1509"/>
      <c r="V26" s="1508"/>
      <c r="W26" s="1509"/>
      <c r="X26" s="1502"/>
      <c r="Y26" s="3545"/>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45"/>
      <c r="Q27" s="1507" t="str">
        <f t="shared" ref="Q27:Q47" si="11">B27</f>
        <v>楼层</v>
      </c>
      <c r="R27" s="1508" t="s">
        <v>8</v>
      </c>
      <c r="S27" s="1509">
        <f>F27</f>
        <v>100</v>
      </c>
      <c r="T27" s="1508" t="s">
        <v>8</v>
      </c>
      <c r="U27" s="1509">
        <f>H27</f>
        <v>100</v>
      </c>
      <c r="V27" s="1508" t="s">
        <v>8</v>
      </c>
      <c r="W27" s="1509">
        <f>J27</f>
        <v>100</v>
      </c>
      <c r="X27" s="1502"/>
      <c r="Y27" s="3545"/>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45"/>
      <c r="Q28" s="1134" t="str">
        <f t="shared" si="11"/>
        <v>朝向</v>
      </c>
      <c r="R28" s="1503" t="s">
        <v>8</v>
      </c>
      <c r="S28" s="1504">
        <f>F28</f>
        <v>100</v>
      </c>
      <c r="T28" s="1503" t="s">
        <v>8</v>
      </c>
      <c r="U28" s="1504">
        <f>H28</f>
        <v>100</v>
      </c>
      <c r="V28" s="1503" t="s">
        <v>8</v>
      </c>
      <c r="W28" s="1504">
        <f>J28</f>
        <v>100</v>
      </c>
      <c r="X28" s="1505"/>
      <c r="Y28" s="3545"/>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45"/>
      <c r="Q29" s="1507">
        <f t="shared" si="11"/>
        <v>111</v>
      </c>
      <c r="R29" s="1508" t="s">
        <v>8</v>
      </c>
      <c r="S29" s="1509">
        <f t="shared" ref="S29:S47" si="12">F29</f>
        <v>100</v>
      </c>
      <c r="T29" s="1508" t="s">
        <v>8</v>
      </c>
      <c r="U29" s="1509">
        <f t="shared" ref="U29:U47" si="13">H29</f>
        <v>100</v>
      </c>
      <c r="V29" s="1508" t="s">
        <v>8</v>
      </c>
      <c r="W29" s="1509">
        <f t="shared" ref="W29:W47" si="14">J29</f>
        <v>100</v>
      </c>
      <c r="X29" s="1502"/>
      <c r="Y29" s="3545"/>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45"/>
      <c r="Q30" s="1507">
        <f t="shared" si="11"/>
        <v>111</v>
      </c>
      <c r="R30" s="1508" t="s">
        <v>8</v>
      </c>
      <c r="S30" s="1509">
        <f t="shared" si="12"/>
        <v>100</v>
      </c>
      <c r="T30" s="1508" t="s">
        <v>8</v>
      </c>
      <c r="U30" s="1509">
        <f t="shared" si="13"/>
        <v>100</v>
      </c>
      <c r="V30" s="1508" t="s">
        <v>8</v>
      </c>
      <c r="W30" s="1509">
        <f t="shared" si="14"/>
        <v>100</v>
      </c>
      <c r="X30" s="1502"/>
      <c r="Y30" s="3545"/>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45"/>
      <c r="Q31" s="1507">
        <f t="shared" si="11"/>
        <v>111</v>
      </c>
      <c r="R31" s="1508" t="s">
        <v>8</v>
      </c>
      <c r="S31" s="1509">
        <f t="shared" si="12"/>
        <v>100</v>
      </c>
      <c r="T31" s="1508" t="s">
        <v>8</v>
      </c>
      <c r="U31" s="1509">
        <f t="shared" si="13"/>
        <v>100</v>
      </c>
      <c r="V31" s="1508" t="s">
        <v>8</v>
      </c>
      <c r="W31" s="1509">
        <f t="shared" si="14"/>
        <v>100</v>
      </c>
      <c r="X31" s="1502"/>
      <c r="Y31" s="3545"/>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45"/>
      <c r="Q32" s="1507">
        <f t="shared" si="11"/>
        <v>111</v>
      </c>
      <c r="R32" s="1508" t="s">
        <v>8</v>
      </c>
      <c r="S32" s="1509">
        <f t="shared" si="12"/>
        <v>100</v>
      </c>
      <c r="T32" s="1508" t="s">
        <v>8</v>
      </c>
      <c r="U32" s="1509">
        <f t="shared" si="13"/>
        <v>100</v>
      </c>
      <c r="V32" s="1508" t="s">
        <v>8</v>
      </c>
      <c r="W32" s="1509">
        <f t="shared" si="14"/>
        <v>100</v>
      </c>
      <c r="X32" s="1502"/>
      <c r="Y32" s="3545"/>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46" t="s">
        <v>544</v>
      </c>
      <c r="Q33" s="1507" t="str">
        <f t="shared" si="11"/>
        <v>建筑类型</v>
      </c>
      <c r="R33" s="1508" t="s">
        <v>8</v>
      </c>
      <c r="S33" s="1509">
        <f t="shared" si="12"/>
        <v>100</v>
      </c>
      <c r="T33" s="1508" t="s">
        <v>8</v>
      </c>
      <c r="U33" s="1509">
        <f t="shared" si="13"/>
        <v>100</v>
      </c>
      <c r="V33" s="1508" t="s">
        <v>8</v>
      </c>
      <c r="W33" s="1509">
        <f t="shared" si="14"/>
        <v>100</v>
      </c>
      <c r="X33" s="1502"/>
      <c r="Y33" s="3547"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47"/>
      <c r="Q34" s="1536" t="str">
        <f t="shared" si="11"/>
        <v>项目建筑规模</v>
      </c>
      <c r="R34" s="1512" t="s">
        <v>8</v>
      </c>
      <c r="S34" s="1513" t="e">
        <f t="shared" si="12"/>
        <v>#N/A</v>
      </c>
      <c r="T34" s="1512" t="s">
        <v>8</v>
      </c>
      <c r="U34" s="1513" t="e">
        <f t="shared" si="13"/>
        <v>#N/A</v>
      </c>
      <c r="V34" s="1512" t="s">
        <v>8</v>
      </c>
      <c r="W34" s="1513" t="e">
        <f t="shared" si="14"/>
        <v>#N/A</v>
      </c>
      <c r="X34" s="1514"/>
      <c r="Y34" s="3547"/>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47"/>
      <c r="Q35" s="1507" t="str">
        <f t="shared" si="11"/>
        <v>建筑结构</v>
      </c>
      <c r="R35" s="1508" t="s">
        <v>8</v>
      </c>
      <c r="S35" s="1509">
        <f t="shared" si="12"/>
        <v>100</v>
      </c>
      <c r="T35" s="1508" t="s">
        <v>8</v>
      </c>
      <c r="U35" s="1509">
        <f t="shared" si="13"/>
        <v>100</v>
      </c>
      <c r="V35" s="1508" t="s">
        <v>8</v>
      </c>
      <c r="W35" s="1509">
        <f t="shared" si="14"/>
        <v>100</v>
      </c>
      <c r="X35" s="1502"/>
      <c r="Y35" s="3547"/>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47"/>
      <c r="Q36" s="1507" t="str">
        <f t="shared" si="11"/>
        <v>公共部分装修</v>
      </c>
      <c r="R36" s="1508" t="s">
        <v>8</v>
      </c>
      <c r="S36" s="1509">
        <f t="shared" si="12"/>
        <v>100</v>
      </c>
      <c r="T36" s="1508" t="s">
        <v>8</v>
      </c>
      <c r="U36" s="1509">
        <f t="shared" si="13"/>
        <v>100</v>
      </c>
      <c r="V36" s="1508" t="s">
        <v>8</v>
      </c>
      <c r="W36" s="1509">
        <f t="shared" si="14"/>
        <v>100</v>
      </c>
      <c r="X36" s="1502"/>
      <c r="Y36" s="3547"/>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47"/>
      <c r="Q37" s="1507" t="str">
        <f t="shared" si="11"/>
        <v>成新度</v>
      </c>
      <c r="R37" s="1508" t="s">
        <v>8</v>
      </c>
      <c r="S37" s="1509" t="e">
        <f t="shared" si="12"/>
        <v>#N/A</v>
      </c>
      <c r="T37" s="1508" t="s">
        <v>8</v>
      </c>
      <c r="U37" s="1509" t="e">
        <f t="shared" si="13"/>
        <v>#N/A</v>
      </c>
      <c r="V37" s="1508" t="s">
        <v>8</v>
      </c>
      <c r="W37" s="1509" t="e">
        <f t="shared" si="14"/>
        <v>#N/A</v>
      </c>
      <c r="X37" s="1502"/>
      <c r="Y37" s="3547"/>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47"/>
      <c r="Q38" s="1134" t="str">
        <f t="shared" si="11"/>
        <v>写字楼等级</v>
      </c>
      <c r="R38" s="1503" t="s">
        <v>8</v>
      </c>
      <c r="S38" s="1504">
        <f t="shared" si="12"/>
        <v>100</v>
      </c>
      <c r="T38" s="1503" t="s">
        <v>8</v>
      </c>
      <c r="U38" s="1504">
        <f t="shared" si="13"/>
        <v>100</v>
      </c>
      <c r="V38" s="1503" t="s">
        <v>8</v>
      </c>
      <c r="W38" s="1504">
        <f t="shared" si="14"/>
        <v>100</v>
      </c>
      <c r="X38" s="1505"/>
      <c r="Y38" s="3547"/>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47" t="s">
        <v>544</v>
      </c>
      <c r="Q39" s="1507" t="str">
        <f t="shared" si="11"/>
        <v>物业管理</v>
      </c>
      <c r="R39" s="1508" t="s">
        <v>8</v>
      </c>
      <c r="S39" s="1509">
        <f t="shared" si="12"/>
        <v>100</v>
      </c>
      <c r="T39" s="1508" t="s">
        <v>8</v>
      </c>
      <c r="U39" s="1509">
        <f t="shared" si="13"/>
        <v>100</v>
      </c>
      <c r="V39" s="1508" t="s">
        <v>8</v>
      </c>
      <c r="W39" s="1509">
        <f t="shared" si="14"/>
        <v>100</v>
      </c>
      <c r="X39" s="1502"/>
      <c r="Y39" s="3547"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47"/>
      <c r="Q40" s="1507" t="str">
        <f t="shared" si="11"/>
        <v>市政基础设施</v>
      </c>
      <c r="R40" s="1508" t="s">
        <v>8</v>
      </c>
      <c r="S40" s="1509">
        <f t="shared" si="12"/>
        <v>100</v>
      </c>
      <c r="T40" s="1508" t="s">
        <v>8</v>
      </c>
      <c r="U40" s="1509">
        <f t="shared" si="13"/>
        <v>100</v>
      </c>
      <c r="V40" s="1508" t="s">
        <v>8</v>
      </c>
      <c r="W40" s="1509">
        <f t="shared" si="14"/>
        <v>100</v>
      </c>
      <c r="X40" s="1502"/>
      <c r="Y40" s="3547"/>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47"/>
      <c r="Q41" s="1507" t="str">
        <f t="shared" si="11"/>
        <v>层高</v>
      </c>
      <c r="R41" s="1508" t="s">
        <v>8</v>
      </c>
      <c r="S41" s="1509">
        <f t="shared" si="12"/>
        <v>100</v>
      </c>
      <c r="T41" s="1508" t="s">
        <v>8</v>
      </c>
      <c r="U41" s="1509">
        <f t="shared" si="13"/>
        <v>100</v>
      </c>
      <c r="V41" s="1508" t="s">
        <v>8</v>
      </c>
      <c r="W41" s="1509">
        <f t="shared" si="14"/>
        <v>100</v>
      </c>
      <c r="X41" s="1502"/>
      <c r="Y41" s="3547"/>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47"/>
      <c r="Q42" s="1536" t="str">
        <f t="shared" si="11"/>
        <v>单套建筑面积</v>
      </c>
      <c r="R42" s="1512" t="s">
        <v>8</v>
      </c>
      <c r="S42" s="1513">
        <f t="shared" si="12"/>
        <v>100</v>
      </c>
      <c r="T42" s="1512" t="s">
        <v>8</v>
      </c>
      <c r="U42" s="1513">
        <f t="shared" si="13"/>
        <v>100</v>
      </c>
      <c r="V42" s="1512" t="s">
        <v>8</v>
      </c>
      <c r="W42" s="1513">
        <f t="shared" si="14"/>
        <v>100</v>
      </c>
      <c r="X42" s="1514"/>
      <c r="Y42" s="3547"/>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47"/>
      <c r="Q43" s="1507" t="str">
        <f t="shared" si="11"/>
        <v>内部装修</v>
      </c>
      <c r="R43" s="1508" t="s">
        <v>8</v>
      </c>
      <c r="S43" s="1509">
        <f t="shared" si="12"/>
        <v>100</v>
      </c>
      <c r="T43" s="1508" t="s">
        <v>8</v>
      </c>
      <c r="U43" s="1509">
        <f t="shared" si="13"/>
        <v>100</v>
      </c>
      <c r="V43" s="1508" t="s">
        <v>8</v>
      </c>
      <c r="W43" s="1509">
        <f t="shared" si="14"/>
        <v>100</v>
      </c>
      <c r="X43" s="1502"/>
      <c r="Y43" s="3547"/>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47"/>
      <c r="Q44" s="1507" t="str">
        <f t="shared" si="11"/>
        <v>内部装修维护情况</v>
      </c>
      <c r="R44" s="1508" t="s">
        <v>8</v>
      </c>
      <c r="S44" s="1509">
        <f t="shared" si="12"/>
        <v>100</v>
      </c>
      <c r="T44" s="1508" t="s">
        <v>8</v>
      </c>
      <c r="U44" s="1509">
        <f t="shared" si="13"/>
        <v>100</v>
      </c>
      <c r="V44" s="1508" t="s">
        <v>8</v>
      </c>
      <c r="W44" s="1509">
        <f t="shared" si="14"/>
        <v>100</v>
      </c>
      <c r="X44" s="1502"/>
      <c r="Y44" s="3547"/>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47"/>
      <c r="Q45" s="1134">
        <f t="shared" si="11"/>
        <v>111</v>
      </c>
      <c r="R45" s="1503" t="s">
        <v>8</v>
      </c>
      <c r="S45" s="1504">
        <f t="shared" si="12"/>
        <v>100</v>
      </c>
      <c r="T45" s="1503" t="s">
        <v>8</v>
      </c>
      <c r="U45" s="1504">
        <f t="shared" si="13"/>
        <v>100</v>
      </c>
      <c r="V45" s="1503" t="s">
        <v>8</v>
      </c>
      <c r="W45" s="1504">
        <f t="shared" si="14"/>
        <v>100</v>
      </c>
      <c r="X45" s="1505"/>
      <c r="Y45" s="3547"/>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47"/>
      <c r="Q46" s="1507">
        <f t="shared" si="11"/>
        <v>111</v>
      </c>
      <c r="R46" s="1508" t="s">
        <v>8</v>
      </c>
      <c r="S46" s="1509">
        <f t="shared" si="12"/>
        <v>100</v>
      </c>
      <c r="T46" s="1508" t="s">
        <v>8</v>
      </c>
      <c r="U46" s="1509">
        <f t="shared" si="13"/>
        <v>100</v>
      </c>
      <c r="V46" s="1508" t="s">
        <v>8</v>
      </c>
      <c r="W46" s="1509">
        <f t="shared" si="14"/>
        <v>100</v>
      </c>
      <c r="X46" s="1502"/>
      <c r="Y46" s="3547"/>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48"/>
      <c r="Q47" s="1507">
        <f t="shared" si="11"/>
        <v>111</v>
      </c>
      <c r="R47" s="1508" t="s">
        <v>8</v>
      </c>
      <c r="S47" s="1509">
        <f t="shared" si="12"/>
        <v>100</v>
      </c>
      <c r="T47" s="1508" t="s">
        <v>8</v>
      </c>
      <c r="U47" s="1509">
        <f t="shared" si="13"/>
        <v>100</v>
      </c>
      <c r="V47" s="1508" t="s">
        <v>8</v>
      </c>
      <c r="W47" s="1509">
        <f t="shared" si="14"/>
        <v>100</v>
      </c>
      <c r="X47" s="1502"/>
      <c r="Y47" s="3648"/>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564" t="str">
        <f>A48</f>
        <v>成交单价（元/平方米）</v>
      </c>
      <c r="Q48" s="3542"/>
      <c r="R48" s="3647">
        <f>E48</f>
        <v>0</v>
      </c>
      <c r="S48" s="3647"/>
      <c r="T48" s="3647">
        <f>G48</f>
        <v>0</v>
      </c>
      <c r="U48" s="3647"/>
      <c r="V48" s="3647">
        <f>I48</f>
        <v>0</v>
      </c>
      <c r="W48" s="3647"/>
      <c r="X48" s="1497"/>
      <c r="Y48" s="1516"/>
      <c r="Z48" s="1497"/>
      <c r="AA48" s="1497"/>
      <c r="AB48" s="1497"/>
      <c r="AC48" s="1497"/>
    </row>
    <row r="49" spans="1:29" ht="15.75" thickBot="1">
      <c r="A49" s="609" t="s">
        <v>2741</v>
      </c>
      <c r="B49" s="877"/>
      <c r="C49" s="2476" t="e">
        <f>R50</f>
        <v>#DIV/0!</v>
      </c>
      <c r="D49" s="3014" t="s">
        <v>2969</v>
      </c>
      <c r="E49" s="2477" t="e">
        <f>R49</f>
        <v>#DIV/0!</v>
      </c>
      <c r="F49" s="3015"/>
      <c r="G49" s="2476" t="e">
        <f>T49</f>
        <v>#DIV/0!</v>
      </c>
      <c r="H49" s="3015"/>
      <c r="I49" s="2477" t="e">
        <f>V49</f>
        <v>#DIV/0!</v>
      </c>
      <c r="J49" s="3015"/>
      <c r="K49" s="3023">
        <f>F49+H49+J49</f>
        <v>0</v>
      </c>
      <c r="L49" s="2026"/>
      <c r="M49" s="2016"/>
      <c r="N49" s="2016"/>
      <c r="O49" s="2016"/>
      <c r="P49" s="3564" t="str">
        <f>A49</f>
        <v>比较价格（元/平方米）</v>
      </c>
      <c r="Q49" s="3542"/>
      <c r="R49" s="3647" t="e">
        <f>IF(F1="售价",ROUND(PRODUCT(R48,AA7:AA47),0),ROUND(PRODUCT(R48,AA7:AA47),1))</f>
        <v>#DIV/0!</v>
      </c>
      <c r="S49" s="3647"/>
      <c r="T49" s="3647" t="e">
        <f>IF(F1="售价",ROUND(PRODUCT(T48,AB7:AB47),0),ROUND(PRODUCT(T48,AB7:AB47),1))</f>
        <v>#DIV/0!</v>
      </c>
      <c r="U49" s="3647"/>
      <c r="V49" s="3647" t="e">
        <f>IF(F1="售价",ROUND(PRODUCT(V48,AC7:AC47),0),ROUND(PRODUCT(V48,AC7:AC47),1))</f>
        <v>#DIV/0!</v>
      </c>
      <c r="W49" s="3647"/>
      <c r="X49" s="1497"/>
      <c r="Y49" s="1497"/>
      <c r="Z49" s="1497"/>
      <c r="AA49" s="1497"/>
      <c r="AB49" s="1497"/>
      <c r="AC49" s="1497"/>
    </row>
    <row r="50" spans="1:29" ht="15.75" thickBot="1">
      <c r="A50" s="613" t="s">
        <v>2904</v>
      </c>
      <c r="B50" s="614"/>
      <c r="C50" s="2478" t="e">
        <f>R50</f>
        <v>#DIV/0!</v>
      </c>
      <c r="D50" s="2478"/>
      <c r="E50" s="2478"/>
      <c r="F50" s="2478"/>
      <c r="G50" s="2478"/>
      <c r="H50" s="2478"/>
      <c r="I50" s="2478"/>
      <c r="J50" s="2478"/>
      <c r="K50" s="1542"/>
      <c r="L50" s="2026"/>
      <c r="M50" s="2016"/>
      <c r="N50" s="2016"/>
      <c r="O50" s="2016"/>
      <c r="P50" s="3652" t="str">
        <f>A50</f>
        <v>估价对象XX用房的比较价格（楼面单价，元/平方米）</v>
      </c>
      <c r="Q50" s="3564"/>
      <c r="R50" s="3646" t="e">
        <f>IF(F1="售价",ROUND(IF(D49="简单平均",AVERAGE(R49:V49),R49*F49+T49*H49+V49*J49),0),ROUND(IF(D49="简单平均",AVERAGE(R49:V49),R49*F49+T49*H49+V49*J49),1))</f>
        <v>#DIV/0!</v>
      </c>
      <c r="S50" s="3646"/>
      <c r="T50" s="3646"/>
      <c r="U50" s="3646"/>
      <c r="V50" s="3646"/>
      <c r="W50" s="3646"/>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2021-1</v>
      </c>
      <c r="D59" s="2521">
        <f>EDATE(C59,-1)</f>
        <v>44166</v>
      </c>
      <c r="E59" s="2521">
        <f t="shared" ref="E59:O59" si="16">EDATE(D59,-1)</f>
        <v>44136</v>
      </c>
      <c r="F59" s="2521">
        <f t="shared" si="16"/>
        <v>44105</v>
      </c>
      <c r="G59" s="2521">
        <f t="shared" si="16"/>
        <v>44075</v>
      </c>
      <c r="H59" s="2521">
        <f t="shared" si="16"/>
        <v>44044</v>
      </c>
      <c r="I59" s="2521">
        <f t="shared" si="16"/>
        <v>44013</v>
      </c>
      <c r="J59" s="2521">
        <f t="shared" si="16"/>
        <v>43983</v>
      </c>
      <c r="K59" s="2521">
        <f t="shared" si="16"/>
        <v>43952</v>
      </c>
      <c r="L59" s="2521">
        <f t="shared" si="16"/>
        <v>43922</v>
      </c>
      <c r="M59" s="2521">
        <f t="shared" si="16"/>
        <v>43891</v>
      </c>
      <c r="N59" s="2521">
        <f t="shared" si="16"/>
        <v>43862</v>
      </c>
      <c r="O59" s="2521">
        <f t="shared" si="16"/>
        <v>43831</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548" t="s">
        <v>516</v>
      </c>
      <c r="D4" s="3549"/>
      <c r="E4" s="3573" t="s">
        <v>517</v>
      </c>
      <c r="F4" s="3574"/>
      <c r="G4" s="3548" t="s">
        <v>518</v>
      </c>
      <c r="H4" s="3549"/>
      <c r="I4" s="3548" t="s">
        <v>519</v>
      </c>
      <c r="J4" s="3549"/>
      <c r="K4" s="508" t="s">
        <v>520</v>
      </c>
      <c r="L4" s="2015"/>
      <c r="M4" s="2016"/>
      <c r="N4" s="2016"/>
      <c r="O4" s="2016"/>
      <c r="P4" s="3550" t="s">
        <v>521</v>
      </c>
      <c r="Q4" s="3551"/>
      <c r="R4" s="3536" t="s">
        <v>517</v>
      </c>
      <c r="S4" s="3537"/>
      <c r="T4" s="3536" t="s">
        <v>518</v>
      </c>
      <c r="U4" s="3537"/>
      <c r="V4" s="3556" t="s">
        <v>519</v>
      </c>
      <c r="W4" s="3556"/>
      <c r="X4" s="1502"/>
      <c r="Y4" s="3536" t="s">
        <v>521</v>
      </c>
      <c r="Z4" s="3537"/>
      <c r="AA4" s="3531" t="s">
        <v>517</v>
      </c>
      <c r="AB4" s="3532" t="s">
        <v>518</v>
      </c>
      <c r="AC4" s="3531" t="s">
        <v>519</v>
      </c>
    </row>
    <row r="5" spans="1:29" ht="15">
      <c r="A5" s="509"/>
      <c r="B5" s="510"/>
      <c r="C5" s="3559" t="s">
        <v>2898</v>
      </c>
      <c r="D5" s="3560"/>
      <c r="E5" s="3575" t="s">
        <v>2899</v>
      </c>
      <c r="F5" s="3576"/>
      <c r="G5" s="3559" t="s">
        <v>2900</v>
      </c>
      <c r="H5" s="3560"/>
      <c r="I5" s="3559" t="s">
        <v>2901</v>
      </c>
      <c r="J5" s="3560"/>
      <c r="K5" s="508"/>
      <c r="L5" s="2015"/>
      <c r="M5" s="2016"/>
      <c r="N5" s="2016"/>
      <c r="O5" s="2016"/>
      <c r="P5" s="3552"/>
      <c r="Q5" s="3553"/>
      <c r="R5" s="3538"/>
      <c r="S5" s="3539"/>
      <c r="T5" s="3538"/>
      <c r="U5" s="3539"/>
      <c r="V5" s="3556"/>
      <c r="W5" s="3556"/>
      <c r="X5" s="1502"/>
      <c r="Y5" s="3538"/>
      <c r="Z5" s="3539"/>
      <c r="AA5" s="3532"/>
      <c r="AB5" s="3532"/>
      <c r="AC5" s="3532"/>
    </row>
    <row r="6" spans="1:29" ht="15.75" thickBot="1">
      <c r="A6" s="511"/>
      <c r="B6" s="512"/>
      <c r="C6" s="3557" t="s">
        <v>2902</v>
      </c>
      <c r="D6" s="3558"/>
      <c r="E6" s="3577" t="s">
        <v>2902</v>
      </c>
      <c r="F6" s="3578"/>
      <c r="G6" s="3557" t="s">
        <v>2902</v>
      </c>
      <c r="H6" s="3558"/>
      <c r="I6" s="3557" t="s">
        <v>2902</v>
      </c>
      <c r="J6" s="3558"/>
      <c r="K6" s="508" t="s">
        <v>522</v>
      </c>
      <c r="L6" s="2015"/>
      <c r="M6" s="2016"/>
      <c r="N6" s="2016"/>
      <c r="O6" s="2016"/>
      <c r="P6" s="3554"/>
      <c r="Q6" s="3555"/>
      <c r="R6" s="3538"/>
      <c r="S6" s="3539"/>
      <c r="T6" s="3540"/>
      <c r="U6" s="3541"/>
      <c r="V6" s="3556"/>
      <c r="W6" s="3556"/>
      <c r="X6" s="1502"/>
      <c r="Y6" s="3540"/>
      <c r="Z6" s="3541"/>
      <c r="AA6" s="3533"/>
      <c r="AB6" s="3533"/>
      <c r="AC6" s="3533"/>
    </row>
    <row r="7" spans="1:29" s="1203" customFormat="1" ht="15.75" thickBot="1">
      <c r="A7" s="2629"/>
      <c r="B7" s="2636" t="s">
        <v>523</v>
      </c>
      <c r="C7" s="513">
        <f>'数据-取费表'!B2</f>
        <v>44201</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34" t="s">
        <v>524</v>
      </c>
      <c r="Q7" s="3543"/>
      <c r="R7" s="1503" t="s">
        <v>8</v>
      </c>
      <c r="S7" s="1504">
        <f t="shared" ref="S7:S15" si="0">F7</f>
        <v>0</v>
      </c>
      <c r="T7" s="1503" t="s">
        <v>8</v>
      </c>
      <c r="U7" s="1504">
        <f t="shared" ref="U7:U15" si="1">H7</f>
        <v>0</v>
      </c>
      <c r="V7" s="1503" t="s">
        <v>8</v>
      </c>
      <c r="W7" s="1504">
        <f t="shared" ref="W7:W15" si="2">J7</f>
        <v>0</v>
      </c>
      <c r="X7" s="1505"/>
      <c r="Y7" s="3534" t="s">
        <v>524</v>
      </c>
      <c r="Z7" s="3535"/>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34" t="s">
        <v>527</v>
      </c>
      <c r="Q8" s="3535"/>
      <c r="R8" s="1503" t="s">
        <v>8</v>
      </c>
      <c r="S8" s="1504">
        <f t="shared" si="0"/>
        <v>0</v>
      </c>
      <c r="T8" s="1503" t="s">
        <v>8</v>
      </c>
      <c r="U8" s="1504">
        <f t="shared" si="1"/>
        <v>0</v>
      </c>
      <c r="V8" s="1503" t="s">
        <v>8</v>
      </c>
      <c r="W8" s="1504">
        <f t="shared" si="2"/>
        <v>0</v>
      </c>
      <c r="X8" s="1505"/>
      <c r="Y8" s="3534" t="s">
        <v>527</v>
      </c>
      <c r="Z8" s="3535"/>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42" t="s">
        <v>529</v>
      </c>
      <c r="Q9" s="1134" t="str">
        <f t="shared" ref="Q9:Q15" si="6">B9</f>
        <v>用途</v>
      </c>
      <c r="R9" s="1503" t="s">
        <v>8</v>
      </c>
      <c r="S9" s="1504">
        <f t="shared" si="0"/>
        <v>100</v>
      </c>
      <c r="T9" s="1503" t="s">
        <v>8</v>
      </c>
      <c r="U9" s="1504">
        <f t="shared" si="1"/>
        <v>100</v>
      </c>
      <c r="V9" s="1503" t="s">
        <v>8</v>
      </c>
      <c r="W9" s="1504">
        <f t="shared" si="2"/>
        <v>100</v>
      </c>
      <c r="X9" s="1505"/>
      <c r="Y9" s="3493"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42"/>
      <c r="Q10" s="1134" t="str">
        <f t="shared" si="6"/>
        <v>土地使用年限（年）</v>
      </c>
      <c r="R10" s="1503" t="s">
        <v>8</v>
      </c>
      <c r="S10" s="1504">
        <f t="shared" si="0"/>
        <v>100</v>
      </c>
      <c r="T10" s="1503" t="s">
        <v>8</v>
      </c>
      <c r="U10" s="1504">
        <f t="shared" si="1"/>
        <v>100</v>
      </c>
      <c r="V10" s="1503" t="s">
        <v>8</v>
      </c>
      <c r="W10" s="1504">
        <f t="shared" si="2"/>
        <v>100</v>
      </c>
      <c r="X10" s="1505"/>
      <c r="Y10" s="3493"/>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42"/>
      <c r="Q11" s="1134" t="str">
        <f t="shared" si="6"/>
        <v>容积率</v>
      </c>
      <c r="R11" s="1503" t="s">
        <v>8</v>
      </c>
      <c r="S11" s="1504" t="e">
        <f t="shared" si="0"/>
        <v>#N/A</v>
      </c>
      <c r="T11" s="1503" t="s">
        <v>8</v>
      </c>
      <c r="U11" s="1504" t="e">
        <f t="shared" si="1"/>
        <v>#N/A</v>
      </c>
      <c r="V11" s="1503" t="s">
        <v>8</v>
      </c>
      <c r="W11" s="1504" t="e">
        <f t="shared" si="2"/>
        <v>#N/A</v>
      </c>
      <c r="X11" s="1505"/>
      <c r="Y11" s="3493"/>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542"/>
      <c r="Q12" s="1134">
        <f t="shared" si="6"/>
        <v>111</v>
      </c>
      <c r="R12" s="1503" t="s">
        <v>8</v>
      </c>
      <c r="S12" s="1504">
        <f t="shared" si="0"/>
        <v>100</v>
      </c>
      <c r="T12" s="1503" t="s">
        <v>8</v>
      </c>
      <c r="U12" s="1504">
        <f t="shared" si="1"/>
        <v>100</v>
      </c>
      <c r="V12" s="1503" t="s">
        <v>8</v>
      </c>
      <c r="W12" s="1504">
        <f t="shared" si="2"/>
        <v>100</v>
      </c>
      <c r="X12" s="1505"/>
      <c r="Y12" s="3493"/>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542"/>
      <c r="Q13" s="1134">
        <f t="shared" si="6"/>
        <v>111</v>
      </c>
      <c r="R13" s="1503" t="s">
        <v>8</v>
      </c>
      <c r="S13" s="1504">
        <f t="shared" si="0"/>
        <v>100</v>
      </c>
      <c r="T13" s="1503" t="s">
        <v>8</v>
      </c>
      <c r="U13" s="1504">
        <f t="shared" si="1"/>
        <v>100</v>
      </c>
      <c r="V13" s="1503" t="s">
        <v>8</v>
      </c>
      <c r="W13" s="1504">
        <f t="shared" si="2"/>
        <v>100</v>
      </c>
      <c r="X13" s="1505"/>
      <c r="Y13" s="3493"/>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542"/>
      <c r="Q14" s="1134">
        <f t="shared" si="6"/>
        <v>111</v>
      </c>
      <c r="R14" s="1503" t="s">
        <v>8</v>
      </c>
      <c r="S14" s="1504">
        <f t="shared" si="0"/>
        <v>100</v>
      </c>
      <c r="T14" s="1503" t="s">
        <v>8</v>
      </c>
      <c r="U14" s="1504">
        <f t="shared" si="1"/>
        <v>100</v>
      </c>
      <c r="V14" s="1503" t="s">
        <v>8</v>
      </c>
      <c r="W14" s="1504">
        <f t="shared" si="2"/>
        <v>100</v>
      </c>
      <c r="X14" s="1505"/>
      <c r="Y14" s="3493"/>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44" t="s">
        <v>534</v>
      </c>
      <c r="Q15" s="1507" t="str">
        <f t="shared" si="6"/>
        <v>产业集聚程度</v>
      </c>
      <c r="R15" s="1508" t="s">
        <v>8</v>
      </c>
      <c r="S15" s="1509">
        <f t="shared" si="0"/>
        <v>100</v>
      </c>
      <c r="T15" s="1508" t="s">
        <v>8</v>
      </c>
      <c r="U15" s="1509">
        <f t="shared" si="1"/>
        <v>100</v>
      </c>
      <c r="V15" s="1508" t="s">
        <v>8</v>
      </c>
      <c r="W15" s="1509">
        <f t="shared" si="2"/>
        <v>100</v>
      </c>
      <c r="X15" s="1502"/>
      <c r="Y15" s="3544"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45"/>
      <c r="Q16" s="1507"/>
      <c r="R16" s="1508"/>
      <c r="S16" s="1509"/>
      <c r="T16" s="1508"/>
      <c r="U16" s="1509"/>
      <c r="V16" s="1508"/>
      <c r="W16" s="1509"/>
      <c r="X16" s="1502"/>
      <c r="Y16" s="3545"/>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45"/>
      <c r="Q17" s="1507" t="str">
        <f>B17</f>
        <v>交通便捷度</v>
      </c>
      <c r="R17" s="1508" t="s">
        <v>8</v>
      </c>
      <c r="S17" s="1509">
        <f>F17</f>
        <v>100</v>
      </c>
      <c r="T17" s="1508" t="s">
        <v>8</v>
      </c>
      <c r="U17" s="1509">
        <f>H17</f>
        <v>100</v>
      </c>
      <c r="V17" s="1508" t="s">
        <v>8</v>
      </c>
      <c r="W17" s="1509">
        <f>J17</f>
        <v>100</v>
      </c>
      <c r="X17" s="1502"/>
      <c r="Y17" s="354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45"/>
      <c r="Q18" s="1507"/>
      <c r="R18" s="1508"/>
      <c r="S18" s="1509"/>
      <c r="T18" s="1508"/>
      <c r="U18" s="1509"/>
      <c r="V18" s="1508"/>
      <c r="W18" s="1509"/>
      <c r="X18" s="1502"/>
      <c r="Y18" s="3545"/>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45"/>
      <c r="Q19" s="1507" t="str">
        <f>B19</f>
        <v>公共配套设施</v>
      </c>
      <c r="R19" s="1508" t="s">
        <v>8</v>
      </c>
      <c r="S19" s="1509">
        <f>F19</f>
        <v>100</v>
      </c>
      <c r="T19" s="1508" t="s">
        <v>8</v>
      </c>
      <c r="U19" s="1509">
        <f>H19</f>
        <v>100</v>
      </c>
      <c r="V19" s="1508" t="s">
        <v>8</v>
      </c>
      <c r="W19" s="1509">
        <f>J19</f>
        <v>100</v>
      </c>
      <c r="X19" s="1502"/>
      <c r="Y19" s="3545"/>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545"/>
      <c r="Q20" s="1507"/>
      <c r="R20" s="1508"/>
      <c r="S20" s="1509"/>
      <c r="T20" s="1508"/>
      <c r="U20" s="1509"/>
      <c r="V20" s="1508"/>
      <c r="W20" s="1509"/>
      <c r="X20" s="1502"/>
      <c r="Y20" s="3545"/>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45"/>
      <c r="Q21" s="2429" t="str">
        <f>B21</f>
        <v>基础设施水平</v>
      </c>
      <c r="R21" s="1508" t="s">
        <v>8</v>
      </c>
      <c r="S21" s="1509">
        <f>F21</f>
        <v>100</v>
      </c>
      <c r="T21" s="1508" t="s">
        <v>8</v>
      </c>
      <c r="U21" s="1509">
        <f>H21</f>
        <v>100</v>
      </c>
      <c r="V21" s="1508" t="s">
        <v>8</v>
      </c>
      <c r="W21" s="1509">
        <f>J21</f>
        <v>100</v>
      </c>
      <c r="X21" s="2431"/>
      <c r="Y21" s="3545"/>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545"/>
      <c r="Q22" s="2429"/>
      <c r="R22" s="1508"/>
      <c r="S22" s="1509"/>
      <c r="T22" s="1508"/>
      <c r="U22" s="1509"/>
      <c r="V22" s="1508"/>
      <c r="W22" s="1509"/>
      <c r="X22" s="2431"/>
      <c r="Y22" s="3545"/>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45"/>
      <c r="Q23" s="1507" t="str">
        <f>B23</f>
        <v>环境质量</v>
      </c>
      <c r="R23" s="1508" t="s">
        <v>8</v>
      </c>
      <c r="S23" s="1509">
        <f>F23</f>
        <v>100</v>
      </c>
      <c r="T23" s="1508" t="s">
        <v>8</v>
      </c>
      <c r="U23" s="1509">
        <f>H23</f>
        <v>100</v>
      </c>
      <c r="V23" s="1508" t="s">
        <v>8</v>
      </c>
      <c r="W23" s="1509">
        <f>J23</f>
        <v>100</v>
      </c>
      <c r="X23" s="1502"/>
      <c r="Y23" s="3545"/>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545"/>
      <c r="Q24" s="1507"/>
      <c r="R24" s="1508"/>
      <c r="S24" s="1509"/>
      <c r="T24" s="1508"/>
      <c r="U24" s="1509"/>
      <c r="V24" s="1508"/>
      <c r="W24" s="1509"/>
      <c r="X24" s="1502"/>
      <c r="Y24" s="3545"/>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45"/>
      <c r="Q25" s="1507">
        <f>B25</f>
        <v>111</v>
      </c>
      <c r="R25" s="1508" t="s">
        <v>8</v>
      </c>
      <c r="S25" s="1509">
        <f>F25</f>
        <v>100</v>
      </c>
      <c r="T25" s="1508" t="s">
        <v>8</v>
      </c>
      <c r="U25" s="1509">
        <f>H25</f>
        <v>100</v>
      </c>
      <c r="V25" s="1508" t="s">
        <v>8</v>
      </c>
      <c r="W25" s="1509">
        <f>J25</f>
        <v>100</v>
      </c>
      <c r="X25" s="1502"/>
      <c r="Y25" s="3545"/>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45"/>
      <c r="Q26" s="1507">
        <f t="shared" ref="Q26:Q40" si="11">B26</f>
        <v>111</v>
      </c>
      <c r="R26" s="1508" t="s">
        <v>8</v>
      </c>
      <c r="S26" s="1509">
        <f>F26</f>
        <v>100</v>
      </c>
      <c r="T26" s="1508" t="s">
        <v>8</v>
      </c>
      <c r="U26" s="1509">
        <f>H26</f>
        <v>100</v>
      </c>
      <c r="V26" s="1508" t="s">
        <v>8</v>
      </c>
      <c r="W26" s="1509">
        <f>J26</f>
        <v>100</v>
      </c>
      <c r="X26" s="1502"/>
      <c r="Y26" s="3545"/>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45"/>
      <c r="Q27" s="1134">
        <f t="shared" si="11"/>
        <v>111</v>
      </c>
      <c r="R27" s="1503" t="s">
        <v>8</v>
      </c>
      <c r="S27" s="1504">
        <f>F27</f>
        <v>100</v>
      </c>
      <c r="T27" s="1503" t="s">
        <v>8</v>
      </c>
      <c r="U27" s="1504">
        <f>H27</f>
        <v>100</v>
      </c>
      <c r="V27" s="1503" t="s">
        <v>8</v>
      </c>
      <c r="W27" s="1504">
        <f>J27</f>
        <v>100</v>
      </c>
      <c r="X27" s="1505"/>
      <c r="Y27" s="3545"/>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45"/>
      <c r="Q28" s="1507">
        <f t="shared" si="11"/>
        <v>111</v>
      </c>
      <c r="R28" s="1508" t="s">
        <v>8</v>
      </c>
      <c r="S28" s="1509">
        <f t="shared" ref="S28:S40" si="12">F28</f>
        <v>100</v>
      </c>
      <c r="T28" s="1508" t="s">
        <v>8</v>
      </c>
      <c r="U28" s="1509">
        <f t="shared" ref="U28:U40" si="13">H28</f>
        <v>100</v>
      </c>
      <c r="V28" s="1508" t="s">
        <v>8</v>
      </c>
      <c r="W28" s="1509">
        <f t="shared" ref="W28:W40" si="14">J28</f>
        <v>100</v>
      </c>
      <c r="X28" s="1502"/>
      <c r="Y28" s="3545"/>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46" t="s">
        <v>544</v>
      </c>
      <c r="Q29" s="1507" t="str">
        <f t="shared" si="11"/>
        <v>建筑类型</v>
      </c>
      <c r="R29" s="1508" t="s">
        <v>8</v>
      </c>
      <c r="S29" s="1509">
        <f t="shared" si="12"/>
        <v>100</v>
      </c>
      <c r="T29" s="1508" t="s">
        <v>8</v>
      </c>
      <c r="U29" s="1509">
        <f t="shared" si="13"/>
        <v>100</v>
      </c>
      <c r="V29" s="1508" t="s">
        <v>8</v>
      </c>
      <c r="W29" s="1509">
        <f t="shared" si="14"/>
        <v>100</v>
      </c>
      <c r="X29" s="1502"/>
      <c r="Y29" s="3547"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47"/>
      <c r="Q30" s="1536" t="str">
        <f t="shared" si="11"/>
        <v>项目建筑规模</v>
      </c>
      <c r="R30" s="1512" t="s">
        <v>8</v>
      </c>
      <c r="S30" s="1513" t="e">
        <f t="shared" si="12"/>
        <v>#N/A</v>
      </c>
      <c r="T30" s="1512" t="s">
        <v>8</v>
      </c>
      <c r="U30" s="1513" t="e">
        <f t="shared" si="13"/>
        <v>#N/A</v>
      </c>
      <c r="V30" s="1512" t="s">
        <v>8</v>
      </c>
      <c r="W30" s="1513" t="e">
        <f t="shared" si="14"/>
        <v>#N/A</v>
      </c>
      <c r="X30" s="1514"/>
      <c r="Y30" s="3547"/>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47"/>
      <c r="Q31" s="1507" t="str">
        <f t="shared" si="11"/>
        <v>建筑结构</v>
      </c>
      <c r="R31" s="1508" t="s">
        <v>8</v>
      </c>
      <c r="S31" s="1509">
        <f t="shared" si="12"/>
        <v>100</v>
      </c>
      <c r="T31" s="1508" t="s">
        <v>8</v>
      </c>
      <c r="U31" s="1509">
        <f t="shared" si="13"/>
        <v>100</v>
      </c>
      <c r="V31" s="1508" t="s">
        <v>8</v>
      </c>
      <c r="W31" s="1509">
        <f t="shared" si="14"/>
        <v>100</v>
      </c>
      <c r="X31" s="1502"/>
      <c r="Y31" s="3547"/>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47"/>
      <c r="Q32" s="1507" t="str">
        <f t="shared" si="11"/>
        <v>公共部分装修</v>
      </c>
      <c r="R32" s="1508" t="s">
        <v>8</v>
      </c>
      <c r="S32" s="1509">
        <f t="shared" si="12"/>
        <v>100</v>
      </c>
      <c r="T32" s="1508" t="s">
        <v>8</v>
      </c>
      <c r="U32" s="1509">
        <f t="shared" si="13"/>
        <v>100</v>
      </c>
      <c r="V32" s="1508" t="s">
        <v>8</v>
      </c>
      <c r="W32" s="1509">
        <f t="shared" si="14"/>
        <v>100</v>
      </c>
      <c r="X32" s="1502"/>
      <c r="Y32" s="3547"/>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47"/>
      <c r="Q33" s="1507" t="str">
        <f t="shared" si="11"/>
        <v>成新度</v>
      </c>
      <c r="R33" s="1508" t="s">
        <v>8</v>
      </c>
      <c r="S33" s="1509" t="e">
        <f t="shared" si="12"/>
        <v>#N/A</v>
      </c>
      <c r="T33" s="1508" t="s">
        <v>8</v>
      </c>
      <c r="U33" s="1509" t="e">
        <f t="shared" si="13"/>
        <v>#N/A</v>
      </c>
      <c r="V33" s="1508" t="s">
        <v>8</v>
      </c>
      <c r="W33" s="1509" t="e">
        <f t="shared" si="14"/>
        <v>#N/A</v>
      </c>
      <c r="X33" s="1502"/>
      <c r="Y33" s="3547"/>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47"/>
      <c r="Q34" s="1134" t="str">
        <f t="shared" si="11"/>
        <v>物业管理</v>
      </c>
      <c r="R34" s="1503" t="s">
        <v>8</v>
      </c>
      <c r="S34" s="1504">
        <f t="shared" si="12"/>
        <v>100</v>
      </c>
      <c r="T34" s="1503" t="s">
        <v>8</v>
      </c>
      <c r="U34" s="1504">
        <f t="shared" si="13"/>
        <v>100</v>
      </c>
      <c r="V34" s="1503" t="s">
        <v>8</v>
      </c>
      <c r="W34" s="1504">
        <f t="shared" si="14"/>
        <v>100</v>
      </c>
      <c r="X34" s="1505"/>
      <c r="Y34" s="3547"/>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47" t="s">
        <v>544</v>
      </c>
      <c r="Q35" s="1507" t="str">
        <f t="shared" si="11"/>
        <v>市政基础设施</v>
      </c>
      <c r="R35" s="1508" t="s">
        <v>8</v>
      </c>
      <c r="S35" s="1509">
        <f t="shared" si="12"/>
        <v>100</v>
      </c>
      <c r="T35" s="1508" t="s">
        <v>8</v>
      </c>
      <c r="U35" s="1509">
        <f t="shared" si="13"/>
        <v>100</v>
      </c>
      <c r="V35" s="1508" t="s">
        <v>8</v>
      </c>
      <c r="W35" s="1509">
        <f t="shared" si="14"/>
        <v>100</v>
      </c>
      <c r="X35" s="1502"/>
      <c r="Y35" s="3547"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47"/>
      <c r="Q36" s="1507" t="str">
        <f t="shared" si="11"/>
        <v>内部装修</v>
      </c>
      <c r="R36" s="1508" t="s">
        <v>8</v>
      </c>
      <c r="S36" s="1509">
        <f t="shared" si="12"/>
        <v>100</v>
      </c>
      <c r="T36" s="1508" t="s">
        <v>8</v>
      </c>
      <c r="U36" s="1509">
        <f t="shared" si="13"/>
        <v>100</v>
      </c>
      <c r="V36" s="1508" t="s">
        <v>8</v>
      </c>
      <c r="W36" s="1509">
        <f t="shared" si="14"/>
        <v>100</v>
      </c>
      <c r="X36" s="1502"/>
      <c r="Y36" s="3547"/>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47"/>
      <c r="Q37" s="1507" t="str">
        <f t="shared" si="11"/>
        <v>内部装修状况</v>
      </c>
      <c r="R37" s="1508" t="s">
        <v>8</v>
      </c>
      <c r="S37" s="1509">
        <f t="shared" si="12"/>
        <v>100</v>
      </c>
      <c r="T37" s="1508" t="s">
        <v>8</v>
      </c>
      <c r="U37" s="1509">
        <f t="shared" si="13"/>
        <v>100</v>
      </c>
      <c r="V37" s="1508" t="s">
        <v>8</v>
      </c>
      <c r="W37" s="1509">
        <f t="shared" si="14"/>
        <v>100</v>
      </c>
      <c r="X37" s="1502"/>
      <c r="Y37" s="3547"/>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47"/>
      <c r="Q38" s="1536">
        <f t="shared" si="11"/>
        <v>111</v>
      </c>
      <c r="R38" s="1512" t="s">
        <v>8</v>
      </c>
      <c r="S38" s="1513">
        <f t="shared" si="12"/>
        <v>100</v>
      </c>
      <c r="T38" s="1512" t="s">
        <v>8</v>
      </c>
      <c r="U38" s="1513">
        <f t="shared" si="13"/>
        <v>100</v>
      </c>
      <c r="V38" s="1512" t="s">
        <v>8</v>
      </c>
      <c r="W38" s="1513">
        <f t="shared" si="14"/>
        <v>100</v>
      </c>
      <c r="X38" s="1514"/>
      <c r="Y38" s="3547"/>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47"/>
      <c r="Q39" s="1507">
        <f t="shared" si="11"/>
        <v>111</v>
      </c>
      <c r="R39" s="1508" t="s">
        <v>8</v>
      </c>
      <c r="S39" s="1509">
        <f t="shared" si="12"/>
        <v>100</v>
      </c>
      <c r="T39" s="1508" t="s">
        <v>8</v>
      </c>
      <c r="U39" s="1509">
        <f t="shared" si="13"/>
        <v>100</v>
      </c>
      <c r="V39" s="1508" t="s">
        <v>8</v>
      </c>
      <c r="W39" s="1509">
        <f t="shared" si="14"/>
        <v>100</v>
      </c>
      <c r="X39" s="1502"/>
      <c r="Y39" s="3547"/>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648"/>
      <c r="Q40" s="1507">
        <f t="shared" si="11"/>
        <v>111</v>
      </c>
      <c r="R40" s="1508" t="s">
        <v>8</v>
      </c>
      <c r="S40" s="1509">
        <f t="shared" si="12"/>
        <v>100</v>
      </c>
      <c r="T40" s="1508" t="s">
        <v>8</v>
      </c>
      <c r="U40" s="1509">
        <f t="shared" si="13"/>
        <v>100</v>
      </c>
      <c r="V40" s="1508" t="s">
        <v>8</v>
      </c>
      <c r="W40" s="1509">
        <f t="shared" si="14"/>
        <v>100</v>
      </c>
      <c r="X40" s="1502"/>
      <c r="Y40" s="3648"/>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542" t="str">
        <f>A41</f>
        <v>成交单价（元/平方米）</v>
      </c>
      <c r="Q41" s="3542"/>
      <c r="R41" s="3647">
        <f>E41</f>
        <v>0</v>
      </c>
      <c r="S41" s="3647"/>
      <c r="T41" s="3647">
        <f>G41</f>
        <v>0</v>
      </c>
      <c r="U41" s="3647"/>
      <c r="V41" s="3647">
        <f>I41</f>
        <v>0</v>
      </c>
      <c r="W41" s="3647"/>
      <c r="X41" s="1497"/>
      <c r="Y41" s="1516"/>
      <c r="Z41" s="1497"/>
      <c r="AA41" s="1497"/>
      <c r="AB41" s="1497"/>
      <c r="AC41" s="1497"/>
    </row>
    <row r="42" spans="1:29" ht="15.75" thickBot="1">
      <c r="A42" s="609" t="s">
        <v>2741</v>
      </c>
      <c r="B42" s="877"/>
      <c r="C42" s="2476" t="e">
        <f>R43</f>
        <v>#DIV/0!</v>
      </c>
      <c r="D42" s="3014" t="s">
        <v>2969</v>
      </c>
      <c r="E42" s="2477" t="e">
        <f>R42</f>
        <v>#DIV/0!</v>
      </c>
      <c r="F42" s="3015"/>
      <c r="G42" s="2476" t="e">
        <f>T42</f>
        <v>#DIV/0!</v>
      </c>
      <c r="H42" s="3015"/>
      <c r="I42" s="2477" t="e">
        <f>V42</f>
        <v>#DIV/0!</v>
      </c>
      <c r="J42" s="3015"/>
      <c r="K42" s="3023">
        <f>F42+H42+J42</f>
        <v>0</v>
      </c>
      <c r="L42" s="2026"/>
      <c r="M42" s="2027"/>
      <c r="N42" s="2016"/>
      <c r="O42" s="2027"/>
      <c r="P42" s="3542" t="str">
        <f>A42</f>
        <v>比较价格（元/平方米）</v>
      </c>
      <c r="Q42" s="3542"/>
      <c r="R42" s="3647" t="e">
        <f>IF(F1="售价",ROUND(PRODUCT(R41,AA7:AA40),0),ROUND(PRODUCT(R41,AA7:AA40),1))</f>
        <v>#DIV/0!</v>
      </c>
      <c r="S42" s="3647"/>
      <c r="T42" s="3647" t="e">
        <f>IF(F1="售价",ROUND(PRODUCT(T41,AB7:AB40),0),ROUND(PRODUCT(T41,AB7:AB40),1))</f>
        <v>#DIV/0!</v>
      </c>
      <c r="U42" s="3647"/>
      <c r="V42" s="3647" t="e">
        <f>IF(F1="售价",ROUND(PRODUCT(V41,AC7:AC40),0),ROUND(PRODUCT(V41,AC7:AC40),1))</f>
        <v>#DIV/0!</v>
      </c>
      <c r="W42" s="3647"/>
      <c r="X42" s="1497"/>
      <c r="Y42" s="1497"/>
      <c r="Z42" s="1497"/>
      <c r="AA42" s="1497"/>
      <c r="AB42" s="1497"/>
      <c r="AC42" s="1497"/>
    </row>
    <row r="43" spans="1:29" ht="15.75" thickBot="1">
      <c r="A43" s="613" t="s">
        <v>2904</v>
      </c>
      <c r="B43" s="614"/>
      <c r="C43" s="2478" t="e">
        <f>R43</f>
        <v>#DIV/0!</v>
      </c>
      <c r="D43" s="2478"/>
      <c r="E43" s="2478"/>
      <c r="F43" s="2478"/>
      <c r="G43" s="2478"/>
      <c r="H43" s="2478"/>
      <c r="I43" s="2478"/>
      <c r="J43" s="2478"/>
      <c r="K43" s="1542"/>
      <c r="L43" s="2026"/>
      <c r="M43" s="2027"/>
      <c r="N43" s="2027"/>
      <c r="O43" s="2027"/>
      <c r="P43" s="3563" t="str">
        <f>A43</f>
        <v>估价对象XX用房的比较价格（楼面单价，元/平方米）</v>
      </c>
      <c r="Q43" s="3564"/>
      <c r="R43" s="3646" t="e">
        <f>IF(F1="售价",ROUND(IF(D42="简单平均",AVERAGE(R42:V42),R42*F42+T42*H42+V42*J42),0),ROUND(IF(D42="简单平均",AVERAGE(R42:V42),R42*F42+T42*H42+V42*J42),1))</f>
        <v>#DIV/0!</v>
      </c>
      <c r="S43" s="3646"/>
      <c r="T43" s="3646"/>
      <c r="U43" s="3646"/>
      <c r="V43" s="3646"/>
      <c r="W43" s="3646"/>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2021-1</v>
      </c>
      <c r="D52" s="2521">
        <f>EDATE(C52,-1)</f>
        <v>44166</v>
      </c>
      <c r="E52" s="2521">
        <f t="shared" ref="E52:O52" si="16">EDATE(D52,-1)</f>
        <v>44136</v>
      </c>
      <c r="F52" s="2521">
        <f t="shared" si="16"/>
        <v>44105</v>
      </c>
      <c r="G52" s="2521">
        <f t="shared" si="16"/>
        <v>44075</v>
      </c>
      <c r="H52" s="2521">
        <f t="shared" si="16"/>
        <v>44044</v>
      </c>
      <c r="I52" s="2521">
        <f t="shared" si="16"/>
        <v>44013</v>
      </c>
      <c r="J52" s="2521">
        <f t="shared" si="16"/>
        <v>43983</v>
      </c>
      <c r="K52" s="2521">
        <f t="shared" si="16"/>
        <v>43952</v>
      </c>
      <c r="L52" s="2521">
        <f t="shared" si="16"/>
        <v>43922</v>
      </c>
      <c r="M52" s="2521">
        <f t="shared" si="16"/>
        <v>43891</v>
      </c>
      <c r="N52" s="2521">
        <f t="shared" si="16"/>
        <v>43862</v>
      </c>
      <c r="O52" s="2521">
        <f t="shared" si="16"/>
        <v>43831</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48" t="s">
        <v>792</v>
      </c>
      <c r="D4" s="3549"/>
      <c r="E4" s="3548" t="s">
        <v>793</v>
      </c>
      <c r="F4" s="3549"/>
      <c r="G4" s="3548" t="s">
        <v>794</v>
      </c>
      <c r="H4" s="3549"/>
      <c r="I4" s="3548" t="s">
        <v>795</v>
      </c>
      <c r="J4" s="3549"/>
      <c r="K4" s="508" t="s">
        <v>796</v>
      </c>
      <c r="L4" s="2015"/>
      <c r="M4" s="2016"/>
      <c r="N4" s="2016"/>
      <c r="O4" s="2016"/>
      <c r="P4" s="3550" t="s">
        <v>797</v>
      </c>
      <c r="Q4" s="3551"/>
      <c r="R4" s="3536" t="s">
        <v>793</v>
      </c>
      <c r="S4" s="3537"/>
      <c r="T4" s="3536" t="s">
        <v>794</v>
      </c>
      <c r="U4" s="3537"/>
      <c r="V4" s="3556" t="s">
        <v>795</v>
      </c>
      <c r="W4" s="3556"/>
      <c r="X4" s="1502"/>
      <c r="Y4" s="3536" t="s">
        <v>797</v>
      </c>
      <c r="Z4" s="3537"/>
      <c r="AA4" s="3531" t="s">
        <v>793</v>
      </c>
      <c r="AB4" s="3532" t="s">
        <v>794</v>
      </c>
      <c r="AC4" s="3531" t="s">
        <v>795</v>
      </c>
    </row>
    <row r="5" spans="1:29" ht="15">
      <c r="A5" s="509"/>
      <c r="B5" s="510"/>
      <c r="C5" s="3559" t="s">
        <v>2898</v>
      </c>
      <c r="D5" s="3560"/>
      <c r="E5" s="3559" t="s">
        <v>2899</v>
      </c>
      <c r="F5" s="3560"/>
      <c r="G5" s="3559" t="s">
        <v>2900</v>
      </c>
      <c r="H5" s="3560"/>
      <c r="I5" s="3559" t="s">
        <v>2901</v>
      </c>
      <c r="J5" s="3560"/>
      <c r="K5" s="508"/>
      <c r="L5" s="2015"/>
      <c r="M5" s="2016"/>
      <c r="N5" s="2016"/>
      <c r="O5" s="2016"/>
      <c r="P5" s="3552"/>
      <c r="Q5" s="3553"/>
      <c r="R5" s="3538"/>
      <c r="S5" s="3539"/>
      <c r="T5" s="3538"/>
      <c r="U5" s="3539"/>
      <c r="V5" s="3556"/>
      <c r="W5" s="3556"/>
      <c r="X5" s="1502"/>
      <c r="Y5" s="3538"/>
      <c r="Z5" s="3539"/>
      <c r="AA5" s="3532"/>
      <c r="AB5" s="3532"/>
      <c r="AC5" s="3532"/>
    </row>
    <row r="6" spans="1:29" ht="15.75" thickBot="1">
      <c r="A6" s="511"/>
      <c r="B6" s="512"/>
      <c r="C6" s="3557" t="s">
        <v>2902</v>
      </c>
      <c r="D6" s="3558"/>
      <c r="E6" s="3561" t="s">
        <v>2902</v>
      </c>
      <c r="F6" s="3562"/>
      <c r="G6" s="3557" t="s">
        <v>2902</v>
      </c>
      <c r="H6" s="3558"/>
      <c r="I6" s="3557" t="s">
        <v>2902</v>
      </c>
      <c r="J6" s="3558"/>
      <c r="K6" s="508" t="s">
        <v>522</v>
      </c>
      <c r="L6" s="2015"/>
      <c r="M6" s="2016"/>
      <c r="N6" s="2016"/>
      <c r="O6" s="2016"/>
      <c r="P6" s="3554"/>
      <c r="Q6" s="3555"/>
      <c r="R6" s="3538"/>
      <c r="S6" s="3539"/>
      <c r="T6" s="3540"/>
      <c r="U6" s="3541"/>
      <c r="V6" s="3556"/>
      <c r="W6" s="3556"/>
      <c r="X6" s="1502"/>
      <c r="Y6" s="3540"/>
      <c r="Z6" s="3541"/>
      <c r="AA6" s="3533"/>
      <c r="AB6" s="3533"/>
      <c r="AC6" s="3533"/>
    </row>
    <row r="7" spans="1:29" s="1203" customFormat="1" ht="15.75" thickBot="1">
      <c r="A7" s="2629"/>
      <c r="B7" s="2636" t="s">
        <v>523</v>
      </c>
      <c r="C7" s="513">
        <f>'数据-取费表'!B2</f>
        <v>44201</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34" t="s">
        <v>524</v>
      </c>
      <c r="Q7" s="3543"/>
      <c r="R7" s="1503" t="s">
        <v>8</v>
      </c>
      <c r="S7" s="1504">
        <f t="shared" ref="S7:S14" si="0">F7</f>
        <v>0</v>
      </c>
      <c r="T7" s="1503" t="s">
        <v>8</v>
      </c>
      <c r="U7" s="1504">
        <f t="shared" ref="U7:U14" si="1">H7</f>
        <v>0</v>
      </c>
      <c r="V7" s="1503" t="s">
        <v>8</v>
      </c>
      <c r="W7" s="1504">
        <f t="shared" ref="W7:W14" si="2">J7</f>
        <v>0</v>
      </c>
      <c r="X7" s="1505"/>
      <c r="Y7" s="3534" t="s">
        <v>524</v>
      </c>
      <c r="Z7" s="3535"/>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34" t="s">
        <v>527</v>
      </c>
      <c r="Q8" s="3535"/>
      <c r="R8" s="1503" t="s">
        <v>8</v>
      </c>
      <c r="S8" s="1504">
        <f t="shared" si="0"/>
        <v>0</v>
      </c>
      <c r="T8" s="1503" t="s">
        <v>8</v>
      </c>
      <c r="U8" s="1504">
        <f t="shared" si="1"/>
        <v>0</v>
      </c>
      <c r="V8" s="1503" t="s">
        <v>8</v>
      </c>
      <c r="W8" s="1504">
        <f t="shared" si="2"/>
        <v>0</v>
      </c>
      <c r="X8" s="1505"/>
      <c r="Y8" s="3534" t="s">
        <v>527</v>
      </c>
      <c r="Z8" s="3535"/>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42" t="s">
        <v>529</v>
      </c>
      <c r="Q9" s="1134" t="str">
        <f t="shared" ref="Q9:Q14" si="6">B9</f>
        <v>用途</v>
      </c>
      <c r="R9" s="1503" t="s">
        <v>8</v>
      </c>
      <c r="S9" s="1504">
        <f t="shared" si="0"/>
        <v>100</v>
      </c>
      <c r="T9" s="1503" t="s">
        <v>8</v>
      </c>
      <c r="U9" s="1504">
        <f t="shared" si="1"/>
        <v>100</v>
      </c>
      <c r="V9" s="1503" t="s">
        <v>8</v>
      </c>
      <c r="W9" s="1504">
        <f t="shared" si="2"/>
        <v>100</v>
      </c>
      <c r="X9" s="1505"/>
      <c r="Y9" s="3493"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42"/>
      <c r="Q10" s="1134" t="str">
        <f t="shared" si="6"/>
        <v>土地使用年限（年）</v>
      </c>
      <c r="R10" s="1503" t="s">
        <v>8</v>
      </c>
      <c r="S10" s="1504">
        <f t="shared" si="0"/>
        <v>100</v>
      </c>
      <c r="T10" s="1503" t="s">
        <v>8</v>
      </c>
      <c r="U10" s="1504">
        <f t="shared" si="1"/>
        <v>100</v>
      </c>
      <c r="V10" s="1503" t="s">
        <v>8</v>
      </c>
      <c r="W10" s="1504">
        <f t="shared" si="2"/>
        <v>100</v>
      </c>
      <c r="X10" s="1505"/>
      <c r="Y10" s="3493"/>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42"/>
      <c r="Q11" s="1134">
        <f t="shared" si="6"/>
        <v>111</v>
      </c>
      <c r="R11" s="1503" t="s">
        <v>8</v>
      </c>
      <c r="S11" s="1504">
        <f t="shared" si="0"/>
        <v>100</v>
      </c>
      <c r="T11" s="1503" t="s">
        <v>8</v>
      </c>
      <c r="U11" s="1504">
        <f t="shared" si="1"/>
        <v>100</v>
      </c>
      <c r="V11" s="1503" t="s">
        <v>8</v>
      </c>
      <c r="W11" s="1504">
        <f t="shared" si="2"/>
        <v>100</v>
      </c>
      <c r="X11" s="1505"/>
      <c r="Y11" s="3493"/>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42"/>
      <c r="Q12" s="1134">
        <f t="shared" si="6"/>
        <v>111</v>
      </c>
      <c r="R12" s="1503" t="s">
        <v>8</v>
      </c>
      <c r="S12" s="1504">
        <f t="shared" si="0"/>
        <v>100</v>
      </c>
      <c r="T12" s="1503" t="s">
        <v>8</v>
      </c>
      <c r="U12" s="1504">
        <f t="shared" si="1"/>
        <v>100</v>
      </c>
      <c r="V12" s="1503" t="s">
        <v>8</v>
      </c>
      <c r="W12" s="1504">
        <f t="shared" si="2"/>
        <v>100</v>
      </c>
      <c r="X12" s="1505"/>
      <c r="Y12" s="3493"/>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42"/>
      <c r="Q13" s="1134">
        <f t="shared" si="6"/>
        <v>111</v>
      </c>
      <c r="R13" s="1503" t="s">
        <v>8</v>
      </c>
      <c r="S13" s="1504">
        <f t="shared" si="0"/>
        <v>100</v>
      </c>
      <c r="T13" s="1503" t="s">
        <v>8</v>
      </c>
      <c r="U13" s="1504">
        <f t="shared" si="1"/>
        <v>100</v>
      </c>
      <c r="V13" s="1503" t="s">
        <v>8</v>
      </c>
      <c r="W13" s="1504">
        <f t="shared" si="2"/>
        <v>100</v>
      </c>
      <c r="X13" s="1505"/>
      <c r="Y13" s="3493"/>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44" t="s">
        <v>534</v>
      </c>
      <c r="Q14" s="1507" t="str">
        <f t="shared" si="6"/>
        <v>交通便捷度</v>
      </c>
      <c r="R14" s="1508" t="s">
        <v>8</v>
      </c>
      <c r="S14" s="1509">
        <f t="shared" si="0"/>
        <v>100</v>
      </c>
      <c r="T14" s="1508" t="s">
        <v>8</v>
      </c>
      <c r="U14" s="1509">
        <f t="shared" si="1"/>
        <v>100</v>
      </c>
      <c r="V14" s="1508" t="s">
        <v>8</v>
      </c>
      <c r="W14" s="1509">
        <f t="shared" si="2"/>
        <v>100</v>
      </c>
      <c r="X14" s="1502"/>
      <c r="Y14" s="3544"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545"/>
      <c r="Q15" s="1507"/>
      <c r="R15" s="1508"/>
      <c r="S15" s="1509"/>
      <c r="T15" s="1508"/>
      <c r="U15" s="1509"/>
      <c r="V15" s="1508"/>
      <c r="W15" s="1509"/>
      <c r="X15" s="1502"/>
      <c r="Y15" s="3545"/>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45"/>
      <c r="Q16" s="1507" t="str">
        <f>B16</f>
        <v>公共配套设施</v>
      </c>
      <c r="R16" s="1508" t="s">
        <v>8</v>
      </c>
      <c r="S16" s="1509">
        <f>F16</f>
        <v>100</v>
      </c>
      <c r="T16" s="1508" t="s">
        <v>8</v>
      </c>
      <c r="U16" s="1509">
        <f>H16</f>
        <v>100</v>
      </c>
      <c r="V16" s="1508" t="s">
        <v>8</v>
      </c>
      <c r="W16" s="1509">
        <f>J16</f>
        <v>100</v>
      </c>
      <c r="X16" s="1502"/>
      <c r="Y16" s="3545"/>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545"/>
      <c r="Q17" s="1507"/>
      <c r="R17" s="1508"/>
      <c r="S17" s="1509"/>
      <c r="T17" s="1508"/>
      <c r="U17" s="1509"/>
      <c r="V17" s="1508"/>
      <c r="W17" s="1509"/>
      <c r="X17" s="1502"/>
      <c r="Y17" s="3545"/>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45"/>
      <c r="Q18" s="2429" t="str">
        <f>B18</f>
        <v>基础设施水平</v>
      </c>
      <c r="R18" s="1508" t="s">
        <v>8</v>
      </c>
      <c r="S18" s="1509">
        <f>F18</f>
        <v>100</v>
      </c>
      <c r="T18" s="1508" t="s">
        <v>8</v>
      </c>
      <c r="U18" s="1509">
        <f>H18</f>
        <v>100</v>
      </c>
      <c r="V18" s="1508" t="s">
        <v>8</v>
      </c>
      <c r="W18" s="1509">
        <f>J18</f>
        <v>100</v>
      </c>
      <c r="X18" s="2431"/>
      <c r="Y18" s="3545"/>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545"/>
      <c r="Q19" s="2429"/>
      <c r="R19" s="1508"/>
      <c r="S19" s="1509"/>
      <c r="T19" s="1508"/>
      <c r="U19" s="1509"/>
      <c r="V19" s="1508"/>
      <c r="W19" s="1509"/>
      <c r="X19" s="2431"/>
      <c r="Y19" s="3545"/>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45"/>
      <c r="Q20" s="1507" t="str">
        <f>B20</f>
        <v>自然及人文环境</v>
      </c>
      <c r="R20" s="1508" t="s">
        <v>8</v>
      </c>
      <c r="S20" s="1509">
        <f>F20</f>
        <v>100</v>
      </c>
      <c r="T20" s="1508" t="s">
        <v>8</v>
      </c>
      <c r="U20" s="1509">
        <f>H20</f>
        <v>100</v>
      </c>
      <c r="V20" s="1508" t="s">
        <v>8</v>
      </c>
      <c r="W20" s="1509">
        <f>J20</f>
        <v>100</v>
      </c>
      <c r="X20" s="1502"/>
      <c r="Y20" s="3545"/>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545"/>
      <c r="Q21" s="1507"/>
      <c r="R21" s="1508"/>
      <c r="S21" s="1509"/>
      <c r="T21" s="1508"/>
      <c r="U21" s="1509"/>
      <c r="V21" s="1508"/>
      <c r="W21" s="1509"/>
      <c r="X21" s="1502"/>
      <c r="Y21" s="3545"/>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45"/>
      <c r="Q22" s="1507" t="str">
        <f>B22</f>
        <v>楼层</v>
      </c>
      <c r="R22" s="1508" t="s">
        <v>8</v>
      </c>
      <c r="S22" s="1509">
        <f>F22</f>
        <v>100</v>
      </c>
      <c r="T22" s="1508" t="s">
        <v>8</v>
      </c>
      <c r="U22" s="1509">
        <f>H22</f>
        <v>100</v>
      </c>
      <c r="V22" s="1508" t="s">
        <v>8</v>
      </c>
      <c r="W22" s="1509">
        <f>J22</f>
        <v>100</v>
      </c>
      <c r="X22" s="1502"/>
      <c r="Y22" s="3545"/>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45"/>
      <c r="Q23" s="1507">
        <f>B23</f>
        <v>111</v>
      </c>
      <c r="R23" s="1508" t="s">
        <v>8</v>
      </c>
      <c r="S23" s="1509">
        <f>F23</f>
        <v>100</v>
      </c>
      <c r="T23" s="1508" t="s">
        <v>8</v>
      </c>
      <c r="U23" s="1509">
        <f>H23</f>
        <v>100</v>
      </c>
      <c r="V23" s="1508" t="s">
        <v>8</v>
      </c>
      <c r="W23" s="1509">
        <f>J23</f>
        <v>100</v>
      </c>
      <c r="X23" s="1502"/>
      <c r="Y23" s="3545"/>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45"/>
      <c r="Q24" s="1507">
        <f t="shared" ref="Q24:Q36" si="11">B24</f>
        <v>111</v>
      </c>
      <c r="R24" s="1508" t="s">
        <v>8</v>
      </c>
      <c r="S24" s="1509">
        <f>F24</f>
        <v>100</v>
      </c>
      <c r="T24" s="1508" t="s">
        <v>8</v>
      </c>
      <c r="U24" s="1509">
        <f>H24</f>
        <v>100</v>
      </c>
      <c r="V24" s="1508" t="s">
        <v>8</v>
      </c>
      <c r="W24" s="1509">
        <f>J24</f>
        <v>100</v>
      </c>
      <c r="X24" s="1502"/>
      <c r="Y24" s="3545"/>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45"/>
      <c r="Q25" s="1134">
        <f t="shared" si="11"/>
        <v>111</v>
      </c>
      <c r="R25" s="1503" t="s">
        <v>8</v>
      </c>
      <c r="S25" s="1504">
        <f>F25</f>
        <v>100</v>
      </c>
      <c r="T25" s="1503" t="s">
        <v>8</v>
      </c>
      <c r="U25" s="1504">
        <f>H25</f>
        <v>100</v>
      </c>
      <c r="V25" s="1503" t="s">
        <v>8</v>
      </c>
      <c r="W25" s="1504">
        <f>J25</f>
        <v>100</v>
      </c>
      <c r="X25" s="1505"/>
      <c r="Y25" s="3545"/>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46"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47"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47"/>
      <c r="Q27" s="1536" t="str">
        <f t="shared" si="11"/>
        <v>项目停车位配比</v>
      </c>
      <c r="R27" s="1512" t="s">
        <v>8</v>
      </c>
      <c r="S27" s="1513">
        <f t="shared" si="12"/>
        <v>100</v>
      </c>
      <c r="T27" s="1512" t="s">
        <v>8</v>
      </c>
      <c r="U27" s="1513">
        <f t="shared" si="13"/>
        <v>100</v>
      </c>
      <c r="V27" s="1512" t="s">
        <v>8</v>
      </c>
      <c r="W27" s="1513">
        <f t="shared" si="14"/>
        <v>100</v>
      </c>
      <c r="X27" s="1514"/>
      <c r="Y27" s="3547"/>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47"/>
      <c r="Q28" s="1507" t="str">
        <f t="shared" si="11"/>
        <v>公共部分装修</v>
      </c>
      <c r="R28" s="1508" t="s">
        <v>8</v>
      </c>
      <c r="S28" s="1509">
        <f t="shared" si="12"/>
        <v>100</v>
      </c>
      <c r="T28" s="1508" t="s">
        <v>8</v>
      </c>
      <c r="U28" s="1509">
        <f t="shared" si="13"/>
        <v>100</v>
      </c>
      <c r="V28" s="1508" t="s">
        <v>8</v>
      </c>
      <c r="W28" s="1509">
        <f t="shared" si="14"/>
        <v>100</v>
      </c>
      <c r="X28" s="1502"/>
      <c r="Y28" s="3547"/>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47"/>
      <c r="Q29" s="1507" t="str">
        <f t="shared" si="11"/>
        <v>成新率</v>
      </c>
      <c r="R29" s="1508" t="s">
        <v>8</v>
      </c>
      <c r="S29" s="1509" t="e">
        <f t="shared" si="12"/>
        <v>#N/A</v>
      </c>
      <c r="T29" s="1508" t="s">
        <v>8</v>
      </c>
      <c r="U29" s="1509" t="e">
        <f t="shared" si="13"/>
        <v>#N/A</v>
      </c>
      <c r="V29" s="1508" t="s">
        <v>8</v>
      </c>
      <c r="W29" s="1509" t="e">
        <f t="shared" si="14"/>
        <v>#N/A</v>
      </c>
      <c r="X29" s="1502"/>
      <c r="Y29" s="3547"/>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47"/>
      <c r="Q30" s="1507" t="str">
        <f t="shared" si="11"/>
        <v>物业等级</v>
      </c>
      <c r="R30" s="1508" t="s">
        <v>8</v>
      </c>
      <c r="S30" s="1509">
        <f t="shared" si="12"/>
        <v>100</v>
      </c>
      <c r="T30" s="1508" t="s">
        <v>8</v>
      </c>
      <c r="U30" s="1509">
        <f t="shared" si="13"/>
        <v>100</v>
      </c>
      <c r="V30" s="1508" t="s">
        <v>8</v>
      </c>
      <c r="W30" s="1509">
        <f t="shared" si="14"/>
        <v>100</v>
      </c>
      <c r="X30" s="1502"/>
      <c r="Y30" s="3547"/>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47"/>
      <c r="Q31" s="1134" t="str">
        <f t="shared" si="11"/>
        <v>停车位面积</v>
      </c>
      <c r="R31" s="1503" t="s">
        <v>8</v>
      </c>
      <c r="S31" s="1504" t="e">
        <f t="shared" si="12"/>
        <v>#N/A</v>
      </c>
      <c r="T31" s="1503" t="s">
        <v>8</v>
      </c>
      <c r="U31" s="1504" t="e">
        <f t="shared" si="13"/>
        <v>#N/A</v>
      </c>
      <c r="V31" s="1503" t="s">
        <v>8</v>
      </c>
      <c r="W31" s="1504" t="e">
        <f t="shared" si="14"/>
        <v>#N/A</v>
      </c>
      <c r="X31" s="1505"/>
      <c r="Y31" s="3547"/>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47" t="s">
        <v>544</v>
      </c>
      <c r="Q32" s="1507" t="str">
        <f t="shared" si="11"/>
        <v>车位类型</v>
      </c>
      <c r="R32" s="1508" t="s">
        <v>8</v>
      </c>
      <c r="S32" s="1509">
        <f t="shared" si="12"/>
        <v>100</v>
      </c>
      <c r="T32" s="1508" t="s">
        <v>8</v>
      </c>
      <c r="U32" s="1509">
        <f t="shared" si="13"/>
        <v>100</v>
      </c>
      <c r="V32" s="1508" t="s">
        <v>8</v>
      </c>
      <c r="W32" s="1509">
        <f t="shared" si="14"/>
        <v>100</v>
      </c>
      <c r="X32" s="1502"/>
      <c r="Y32" s="3547"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47"/>
      <c r="Q33" s="1507" t="str">
        <f t="shared" si="11"/>
        <v>是否直接入户</v>
      </c>
      <c r="R33" s="1508" t="s">
        <v>8</v>
      </c>
      <c r="S33" s="1509">
        <f t="shared" si="12"/>
        <v>100</v>
      </c>
      <c r="T33" s="1508" t="s">
        <v>8</v>
      </c>
      <c r="U33" s="1509">
        <f t="shared" si="13"/>
        <v>100</v>
      </c>
      <c r="V33" s="1508" t="s">
        <v>8</v>
      </c>
      <c r="W33" s="1509">
        <f t="shared" si="14"/>
        <v>100</v>
      </c>
      <c r="X33" s="1502"/>
      <c r="Y33" s="3547"/>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47"/>
      <c r="Q34" s="1507">
        <f t="shared" si="11"/>
        <v>111</v>
      </c>
      <c r="R34" s="1508" t="s">
        <v>8</v>
      </c>
      <c r="S34" s="1509">
        <f t="shared" si="12"/>
        <v>100</v>
      </c>
      <c r="T34" s="1508" t="s">
        <v>8</v>
      </c>
      <c r="U34" s="1509">
        <f t="shared" si="13"/>
        <v>100</v>
      </c>
      <c r="V34" s="1508" t="s">
        <v>8</v>
      </c>
      <c r="W34" s="1509">
        <f t="shared" si="14"/>
        <v>100</v>
      </c>
      <c r="X34" s="1502"/>
      <c r="Y34" s="3547"/>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47"/>
      <c r="Q35" s="1536">
        <f t="shared" si="11"/>
        <v>111</v>
      </c>
      <c r="R35" s="1512" t="s">
        <v>8</v>
      </c>
      <c r="S35" s="1513">
        <f t="shared" si="12"/>
        <v>100</v>
      </c>
      <c r="T35" s="1512" t="s">
        <v>8</v>
      </c>
      <c r="U35" s="1513">
        <f t="shared" si="13"/>
        <v>100</v>
      </c>
      <c r="V35" s="1512" t="s">
        <v>8</v>
      </c>
      <c r="W35" s="1513">
        <f t="shared" si="14"/>
        <v>100</v>
      </c>
      <c r="X35" s="1514"/>
      <c r="Y35" s="3547"/>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47"/>
      <c r="Q36" s="1507">
        <f t="shared" si="11"/>
        <v>111</v>
      </c>
      <c r="R36" s="1508" t="s">
        <v>8</v>
      </c>
      <c r="S36" s="1509">
        <f t="shared" si="12"/>
        <v>100</v>
      </c>
      <c r="T36" s="1508" t="s">
        <v>8</v>
      </c>
      <c r="U36" s="1509">
        <f t="shared" si="13"/>
        <v>100</v>
      </c>
      <c r="V36" s="1508" t="s">
        <v>8</v>
      </c>
      <c r="W36" s="1509">
        <f t="shared" si="14"/>
        <v>100</v>
      </c>
      <c r="X36" s="1502"/>
      <c r="Y36" s="3547"/>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542" t="str">
        <f>A37</f>
        <v>成交单价</v>
      </c>
      <c r="Q37" s="3542"/>
      <c r="R37" s="3647">
        <f>E37</f>
        <v>0</v>
      </c>
      <c r="S37" s="3647"/>
      <c r="T37" s="3647">
        <f>G37</f>
        <v>0</v>
      </c>
      <c r="U37" s="3647"/>
      <c r="V37" s="3647">
        <f>I37</f>
        <v>0</v>
      </c>
      <c r="W37" s="3647"/>
      <c r="X37" s="1497"/>
      <c r="Y37" s="1516"/>
      <c r="Z37" s="1497"/>
      <c r="AA37" s="1497"/>
      <c r="AB37" s="1497"/>
      <c r="AC37" s="1497"/>
    </row>
    <row r="38" spans="1:29" ht="15.75" thickBot="1">
      <c r="A38" s="609" t="s">
        <v>2741</v>
      </c>
      <c r="B38" s="877"/>
      <c r="C38" s="2476" t="e">
        <f>R39</f>
        <v>#DIV/0!</v>
      </c>
      <c r="D38" s="3014" t="s">
        <v>2969</v>
      </c>
      <c r="E38" s="2477" t="e">
        <f>R38</f>
        <v>#DIV/0!</v>
      </c>
      <c r="F38" s="3015"/>
      <c r="G38" s="2476" t="e">
        <f>T38</f>
        <v>#DIV/0!</v>
      </c>
      <c r="H38" s="3015"/>
      <c r="I38" s="2477" t="e">
        <f>V38</f>
        <v>#DIV/0!</v>
      </c>
      <c r="J38" s="3015"/>
      <c r="K38" s="3023">
        <f>F38+H38+J38</f>
        <v>0</v>
      </c>
      <c r="L38" s="2026"/>
      <c r="M38" s="2027"/>
      <c r="N38" s="2027"/>
      <c r="O38" s="2027"/>
      <c r="P38" s="3542" t="str">
        <f>A38</f>
        <v>比较价格（元/平方米）</v>
      </c>
      <c r="Q38" s="3542"/>
      <c r="R38" s="3647" t="e">
        <f>IF(F1="售价",ROUND(PRODUCT(R37,AA7:AA36),0),ROUND(PRODUCT(R37,AA7:AA36),1))</f>
        <v>#DIV/0!</v>
      </c>
      <c r="S38" s="3647"/>
      <c r="T38" s="3647" t="e">
        <f>IF(F1="售价",ROUND(PRODUCT(T37,AB7:AB36),0),ROUND(PRODUCT(T37,AB7:AB36),1))</f>
        <v>#DIV/0!</v>
      </c>
      <c r="U38" s="3647"/>
      <c r="V38" s="3647" t="e">
        <f>IF(F1="售价",ROUND(PRODUCT(V37,AC7:AC36),0),ROUND(PRODUCT(V37,AC7:AC36),1))</f>
        <v>#DIV/0!</v>
      </c>
      <c r="W38" s="3647"/>
      <c r="X38" s="1497"/>
      <c r="Y38" s="1497"/>
      <c r="Z38" s="1497"/>
      <c r="AA38" s="1497"/>
      <c r="AB38" s="1497"/>
      <c r="AC38" s="1497"/>
    </row>
    <row r="39" spans="1:29" ht="15.75" thickBot="1">
      <c r="A39" s="613" t="s">
        <v>2904</v>
      </c>
      <c r="B39" s="614"/>
      <c r="C39" s="2478" t="e">
        <f>R39</f>
        <v>#DIV/0!</v>
      </c>
      <c r="D39" s="2478"/>
      <c r="E39" s="2478"/>
      <c r="F39" s="2478"/>
      <c r="G39" s="2478"/>
      <c r="H39" s="2478"/>
      <c r="I39" s="2478"/>
      <c r="J39" s="2478"/>
      <c r="K39" s="1542"/>
      <c r="L39" s="2026"/>
      <c r="M39" s="2027"/>
      <c r="N39" s="2027"/>
      <c r="O39" s="2027"/>
      <c r="P39" s="3563" t="str">
        <f>A39</f>
        <v>估价对象XX用房的比较价格（楼面单价，元/平方米）</v>
      </c>
      <c r="Q39" s="3564"/>
      <c r="R39" s="3646" t="e">
        <f>IF(F1="售价",ROUND(IF(D38="简单平均",AVERAGE(R38:W38),R38*F38+T38*H38+V38*J38),0),ROUND(IF(D38="简单平均",AVERAGE(R38:V38),R38*F38+T38*H38+V38*J38),1))</f>
        <v>#DIV/0!</v>
      </c>
      <c r="S39" s="3646"/>
      <c r="T39" s="3646"/>
      <c r="U39" s="3646"/>
      <c r="V39" s="3646"/>
      <c r="W39" s="3646"/>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2021-1</v>
      </c>
      <c r="D48" s="2521">
        <f>EDATE(C48,-1)</f>
        <v>44166</v>
      </c>
      <c r="E48" s="2521">
        <f t="shared" ref="E48:O48" si="16">EDATE(D48,-1)</f>
        <v>44136</v>
      </c>
      <c r="F48" s="2521">
        <f t="shared" si="16"/>
        <v>44105</v>
      </c>
      <c r="G48" s="2521">
        <f t="shared" si="16"/>
        <v>44075</v>
      </c>
      <c r="H48" s="2521">
        <f t="shared" si="16"/>
        <v>44044</v>
      </c>
      <c r="I48" s="2521">
        <f t="shared" si="16"/>
        <v>44013</v>
      </c>
      <c r="J48" s="2521">
        <f t="shared" si="16"/>
        <v>43983</v>
      </c>
      <c r="K48" s="2521">
        <f t="shared" si="16"/>
        <v>43952</v>
      </c>
      <c r="L48" s="2521">
        <f t="shared" si="16"/>
        <v>43922</v>
      </c>
      <c r="M48" s="2521">
        <f t="shared" si="16"/>
        <v>43891</v>
      </c>
      <c r="N48" s="2521">
        <f t="shared" si="16"/>
        <v>43862</v>
      </c>
      <c r="O48" s="2521">
        <f t="shared" si="16"/>
        <v>43831</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48" t="s">
        <v>792</v>
      </c>
      <c r="D4" s="3549"/>
      <c r="E4" s="3573" t="s">
        <v>793</v>
      </c>
      <c r="F4" s="3574"/>
      <c r="G4" s="3548" t="s">
        <v>794</v>
      </c>
      <c r="H4" s="3549"/>
      <c r="I4" s="3548" t="s">
        <v>795</v>
      </c>
      <c r="J4" s="3549"/>
      <c r="K4" s="508" t="s">
        <v>796</v>
      </c>
      <c r="L4" s="2015"/>
      <c r="M4" s="2016"/>
      <c r="N4" s="2016"/>
      <c r="O4" s="2016"/>
      <c r="P4" s="3550" t="s">
        <v>797</v>
      </c>
      <c r="Q4" s="3551"/>
      <c r="R4" s="3536" t="s">
        <v>793</v>
      </c>
      <c r="S4" s="3537"/>
      <c r="T4" s="3536" t="s">
        <v>794</v>
      </c>
      <c r="U4" s="3537"/>
      <c r="V4" s="3556" t="s">
        <v>795</v>
      </c>
      <c r="W4" s="3556"/>
      <c r="X4" s="1502"/>
      <c r="Y4" s="3536" t="s">
        <v>797</v>
      </c>
      <c r="Z4" s="3537"/>
      <c r="AA4" s="3531" t="s">
        <v>793</v>
      </c>
      <c r="AB4" s="3532" t="s">
        <v>794</v>
      </c>
      <c r="AC4" s="3531" t="s">
        <v>795</v>
      </c>
    </row>
    <row r="5" spans="1:29" ht="15">
      <c r="A5" s="509"/>
      <c r="B5" s="510"/>
      <c r="C5" s="3559" t="s">
        <v>2898</v>
      </c>
      <c r="D5" s="3560"/>
      <c r="E5" s="3575" t="s">
        <v>2899</v>
      </c>
      <c r="F5" s="3576"/>
      <c r="G5" s="3559" t="s">
        <v>2900</v>
      </c>
      <c r="H5" s="3560"/>
      <c r="I5" s="3559" t="s">
        <v>2901</v>
      </c>
      <c r="J5" s="3560"/>
      <c r="K5" s="508"/>
      <c r="L5" s="2015"/>
      <c r="M5" s="2016"/>
      <c r="N5" s="2016"/>
      <c r="O5" s="2016"/>
      <c r="P5" s="3552"/>
      <c r="Q5" s="3553"/>
      <c r="R5" s="3538"/>
      <c r="S5" s="3539"/>
      <c r="T5" s="3538"/>
      <c r="U5" s="3539"/>
      <c r="V5" s="3556"/>
      <c r="W5" s="3556"/>
      <c r="X5" s="1502"/>
      <c r="Y5" s="3538"/>
      <c r="Z5" s="3539"/>
      <c r="AA5" s="3532"/>
      <c r="AB5" s="3532"/>
      <c r="AC5" s="3532"/>
    </row>
    <row r="6" spans="1:29" ht="15.75" thickBot="1">
      <c r="A6" s="511"/>
      <c r="B6" s="512"/>
      <c r="C6" s="3557" t="s">
        <v>2902</v>
      </c>
      <c r="D6" s="3558"/>
      <c r="E6" s="3577" t="s">
        <v>2902</v>
      </c>
      <c r="F6" s="3578"/>
      <c r="G6" s="3557" t="s">
        <v>2902</v>
      </c>
      <c r="H6" s="3558"/>
      <c r="I6" s="3557" t="s">
        <v>2902</v>
      </c>
      <c r="J6" s="3558"/>
      <c r="K6" s="508" t="s">
        <v>522</v>
      </c>
      <c r="L6" s="2015"/>
      <c r="M6" s="2016"/>
      <c r="N6" s="2016"/>
      <c r="O6" s="2016"/>
      <c r="P6" s="3554"/>
      <c r="Q6" s="3555"/>
      <c r="R6" s="3538"/>
      <c r="S6" s="3539"/>
      <c r="T6" s="3540"/>
      <c r="U6" s="3541"/>
      <c r="V6" s="3556"/>
      <c r="W6" s="3556"/>
      <c r="X6" s="1502"/>
      <c r="Y6" s="3540"/>
      <c r="Z6" s="3541"/>
      <c r="AA6" s="3533"/>
      <c r="AB6" s="3533"/>
      <c r="AC6" s="3533"/>
    </row>
    <row r="7" spans="1:29" s="1203" customFormat="1" ht="15.75" thickBot="1">
      <c r="A7" s="2629"/>
      <c r="B7" s="2636" t="s">
        <v>523</v>
      </c>
      <c r="C7" s="513">
        <f>'数据-取费表'!B2</f>
        <v>44201</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34" t="s">
        <v>524</v>
      </c>
      <c r="Q7" s="3543"/>
      <c r="R7" s="1503" t="s">
        <v>8</v>
      </c>
      <c r="S7" s="1504">
        <f t="shared" ref="S7:S14" si="0">F7</f>
        <v>0</v>
      </c>
      <c r="T7" s="1503" t="s">
        <v>8</v>
      </c>
      <c r="U7" s="1504">
        <f t="shared" ref="U7:U14" si="1">H7</f>
        <v>0</v>
      </c>
      <c r="V7" s="1503" t="s">
        <v>8</v>
      </c>
      <c r="W7" s="1504">
        <f t="shared" ref="W7:W14" si="2">J7</f>
        <v>0</v>
      </c>
      <c r="X7" s="1505"/>
      <c r="Y7" s="3534" t="s">
        <v>524</v>
      </c>
      <c r="Z7" s="3535"/>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34" t="s">
        <v>527</v>
      </c>
      <c r="Q8" s="3535"/>
      <c r="R8" s="1503" t="s">
        <v>8</v>
      </c>
      <c r="S8" s="1504">
        <f t="shared" si="0"/>
        <v>0</v>
      </c>
      <c r="T8" s="1503" t="s">
        <v>8</v>
      </c>
      <c r="U8" s="1504">
        <f t="shared" si="1"/>
        <v>0</v>
      </c>
      <c r="V8" s="1503" t="s">
        <v>8</v>
      </c>
      <c r="W8" s="1504">
        <f t="shared" si="2"/>
        <v>0</v>
      </c>
      <c r="X8" s="1505"/>
      <c r="Y8" s="3534" t="s">
        <v>527</v>
      </c>
      <c r="Z8" s="3535"/>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42" t="s">
        <v>529</v>
      </c>
      <c r="Q9" s="1134" t="str">
        <f t="shared" ref="Q9:Q14" si="6">B9</f>
        <v>用途</v>
      </c>
      <c r="R9" s="1503" t="s">
        <v>8</v>
      </c>
      <c r="S9" s="1504">
        <f t="shared" si="0"/>
        <v>100</v>
      </c>
      <c r="T9" s="1503" t="s">
        <v>8</v>
      </c>
      <c r="U9" s="1504">
        <f t="shared" si="1"/>
        <v>100</v>
      </c>
      <c r="V9" s="1503" t="s">
        <v>8</v>
      </c>
      <c r="W9" s="1504">
        <f t="shared" si="2"/>
        <v>100</v>
      </c>
      <c r="X9" s="1505"/>
      <c r="Y9" s="3493"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42"/>
      <c r="Q10" s="1134" t="str">
        <f t="shared" si="6"/>
        <v>土地使用年限（年）</v>
      </c>
      <c r="R10" s="1503" t="s">
        <v>8</v>
      </c>
      <c r="S10" s="1504">
        <f t="shared" si="0"/>
        <v>100</v>
      </c>
      <c r="T10" s="1503" t="s">
        <v>8</v>
      </c>
      <c r="U10" s="1504">
        <f t="shared" si="1"/>
        <v>100</v>
      </c>
      <c r="V10" s="1503" t="s">
        <v>8</v>
      </c>
      <c r="W10" s="1504">
        <f t="shared" si="2"/>
        <v>100</v>
      </c>
      <c r="X10" s="1505"/>
      <c r="Y10" s="3493"/>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542"/>
      <c r="Q11" s="1134">
        <f t="shared" si="6"/>
        <v>111</v>
      </c>
      <c r="R11" s="1503" t="s">
        <v>8</v>
      </c>
      <c r="S11" s="1504">
        <f t="shared" si="0"/>
        <v>100</v>
      </c>
      <c r="T11" s="1503" t="s">
        <v>8</v>
      </c>
      <c r="U11" s="1504">
        <f t="shared" si="1"/>
        <v>100</v>
      </c>
      <c r="V11" s="1503" t="s">
        <v>8</v>
      </c>
      <c r="W11" s="1504">
        <f t="shared" si="2"/>
        <v>100</v>
      </c>
      <c r="X11" s="1505"/>
      <c r="Y11" s="3493"/>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542"/>
      <c r="Q12" s="1134">
        <f t="shared" si="6"/>
        <v>111</v>
      </c>
      <c r="R12" s="1503" t="s">
        <v>8</v>
      </c>
      <c r="S12" s="1504">
        <f t="shared" si="0"/>
        <v>100</v>
      </c>
      <c r="T12" s="1503" t="s">
        <v>8</v>
      </c>
      <c r="U12" s="1504">
        <f t="shared" si="1"/>
        <v>100</v>
      </c>
      <c r="V12" s="1503" t="s">
        <v>8</v>
      </c>
      <c r="W12" s="1504">
        <f t="shared" si="2"/>
        <v>100</v>
      </c>
      <c r="X12" s="1505"/>
      <c r="Y12" s="3493"/>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542"/>
      <c r="Q13" s="1134">
        <f t="shared" si="6"/>
        <v>111</v>
      </c>
      <c r="R13" s="1503" t="s">
        <v>8</v>
      </c>
      <c r="S13" s="1504">
        <f t="shared" si="0"/>
        <v>100</v>
      </c>
      <c r="T13" s="1503" t="s">
        <v>8</v>
      </c>
      <c r="U13" s="1504">
        <f t="shared" si="1"/>
        <v>100</v>
      </c>
      <c r="V13" s="1503" t="s">
        <v>8</v>
      </c>
      <c r="W13" s="1504">
        <f t="shared" si="2"/>
        <v>100</v>
      </c>
      <c r="X13" s="1505"/>
      <c r="Y13" s="3493"/>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44" t="s">
        <v>534</v>
      </c>
      <c r="Q14" s="1507" t="str">
        <f t="shared" si="6"/>
        <v>交通便捷度</v>
      </c>
      <c r="R14" s="1508" t="s">
        <v>8</v>
      </c>
      <c r="S14" s="1509">
        <f t="shared" si="0"/>
        <v>100</v>
      </c>
      <c r="T14" s="1508" t="s">
        <v>8</v>
      </c>
      <c r="U14" s="1509">
        <f t="shared" si="1"/>
        <v>100</v>
      </c>
      <c r="V14" s="1508" t="s">
        <v>8</v>
      </c>
      <c r="W14" s="1509">
        <f t="shared" si="2"/>
        <v>100</v>
      </c>
      <c r="X14" s="1502"/>
      <c r="Y14" s="3544"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545"/>
      <c r="Q15" s="1507"/>
      <c r="R15" s="1508"/>
      <c r="S15" s="1509"/>
      <c r="T15" s="1508"/>
      <c r="U15" s="1509"/>
      <c r="V15" s="1508"/>
      <c r="W15" s="1509"/>
      <c r="X15" s="1502"/>
      <c r="Y15" s="3545"/>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45"/>
      <c r="Q16" s="1507" t="str">
        <f>B16</f>
        <v>公共配套设施</v>
      </c>
      <c r="R16" s="1508" t="s">
        <v>8</v>
      </c>
      <c r="S16" s="1509">
        <f>F16</f>
        <v>100</v>
      </c>
      <c r="T16" s="1508" t="s">
        <v>8</v>
      </c>
      <c r="U16" s="1509">
        <f>H16</f>
        <v>100</v>
      </c>
      <c r="V16" s="1508" t="s">
        <v>8</v>
      </c>
      <c r="W16" s="1509">
        <f>J16</f>
        <v>100</v>
      </c>
      <c r="X16" s="1502"/>
      <c r="Y16" s="3545"/>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545"/>
      <c r="Q17" s="1507"/>
      <c r="R17" s="1508"/>
      <c r="S17" s="1509"/>
      <c r="T17" s="1508"/>
      <c r="U17" s="1509"/>
      <c r="V17" s="1508"/>
      <c r="W17" s="1509"/>
      <c r="X17" s="1502"/>
      <c r="Y17" s="3545"/>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45"/>
      <c r="Q18" s="2429" t="str">
        <f>B18</f>
        <v>基础设施水平</v>
      </c>
      <c r="R18" s="1508" t="s">
        <v>8</v>
      </c>
      <c r="S18" s="1509">
        <f>F18</f>
        <v>100</v>
      </c>
      <c r="T18" s="1508" t="s">
        <v>8</v>
      </c>
      <c r="U18" s="1509">
        <f>H18</f>
        <v>100</v>
      </c>
      <c r="V18" s="1508" t="s">
        <v>8</v>
      </c>
      <c r="W18" s="1509">
        <f>J18</f>
        <v>100</v>
      </c>
      <c r="X18" s="2431"/>
      <c r="Y18" s="3545"/>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545"/>
      <c r="Q19" s="2429"/>
      <c r="R19" s="1508"/>
      <c r="S19" s="1509"/>
      <c r="T19" s="1508"/>
      <c r="U19" s="1509"/>
      <c r="V19" s="1508"/>
      <c r="W19" s="1509"/>
      <c r="X19" s="2431"/>
      <c r="Y19" s="3545"/>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45"/>
      <c r="Q20" s="1507" t="str">
        <f>B20</f>
        <v>自然及人文环境</v>
      </c>
      <c r="R20" s="1508" t="s">
        <v>8</v>
      </c>
      <c r="S20" s="1509">
        <f>F20</f>
        <v>100</v>
      </c>
      <c r="T20" s="1508" t="s">
        <v>8</v>
      </c>
      <c r="U20" s="1509">
        <f>H20</f>
        <v>100</v>
      </c>
      <c r="V20" s="1508" t="s">
        <v>8</v>
      </c>
      <c r="W20" s="1509">
        <f>J20</f>
        <v>100</v>
      </c>
      <c r="X20" s="1502"/>
      <c r="Y20" s="3545"/>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545"/>
      <c r="Q21" s="1507"/>
      <c r="R21" s="1508"/>
      <c r="S21" s="1509"/>
      <c r="T21" s="1508"/>
      <c r="U21" s="1509"/>
      <c r="V21" s="1508"/>
      <c r="W21" s="1509"/>
      <c r="X21" s="1502"/>
      <c r="Y21" s="3545"/>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45"/>
      <c r="Q22" s="1507" t="str">
        <f>B22</f>
        <v>楼层</v>
      </c>
      <c r="R22" s="1508" t="s">
        <v>8</v>
      </c>
      <c r="S22" s="1509">
        <f>F22</f>
        <v>100</v>
      </c>
      <c r="T22" s="1508" t="s">
        <v>8</v>
      </c>
      <c r="U22" s="1509">
        <f>H22</f>
        <v>100</v>
      </c>
      <c r="V22" s="1508" t="s">
        <v>8</v>
      </c>
      <c r="W22" s="1509">
        <f>J22</f>
        <v>100</v>
      </c>
      <c r="X22" s="1502"/>
      <c r="Y22" s="3545"/>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45"/>
      <c r="Q23" s="1507">
        <f>B23</f>
        <v>111</v>
      </c>
      <c r="R23" s="1508" t="s">
        <v>8</v>
      </c>
      <c r="S23" s="1509">
        <f>F23</f>
        <v>100</v>
      </c>
      <c r="T23" s="1508" t="s">
        <v>8</v>
      </c>
      <c r="U23" s="1509">
        <f>H23</f>
        <v>100</v>
      </c>
      <c r="V23" s="1508" t="s">
        <v>8</v>
      </c>
      <c r="W23" s="1509">
        <f>J23</f>
        <v>100</v>
      </c>
      <c r="X23" s="1502"/>
      <c r="Y23" s="3545"/>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45"/>
      <c r="Q24" s="1507">
        <f t="shared" ref="Q24:Q34" si="11">B24</f>
        <v>111</v>
      </c>
      <c r="R24" s="1508" t="s">
        <v>8</v>
      </c>
      <c r="S24" s="1509">
        <f>F24</f>
        <v>100</v>
      </c>
      <c r="T24" s="1508" t="s">
        <v>8</v>
      </c>
      <c r="U24" s="1509">
        <f>H24</f>
        <v>100</v>
      </c>
      <c r="V24" s="1508" t="s">
        <v>8</v>
      </c>
      <c r="W24" s="1509">
        <f>J24</f>
        <v>100</v>
      </c>
      <c r="X24" s="1502"/>
      <c r="Y24" s="3545"/>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45"/>
      <c r="Q25" s="1134">
        <f t="shared" si="11"/>
        <v>111</v>
      </c>
      <c r="R25" s="1503" t="s">
        <v>8</v>
      </c>
      <c r="S25" s="1504">
        <f>F25</f>
        <v>100</v>
      </c>
      <c r="T25" s="1503" t="s">
        <v>8</v>
      </c>
      <c r="U25" s="1504">
        <f>H25</f>
        <v>100</v>
      </c>
      <c r="V25" s="1503" t="s">
        <v>8</v>
      </c>
      <c r="W25" s="1504">
        <f>J25</f>
        <v>100</v>
      </c>
      <c r="X25" s="1505"/>
      <c r="Y25" s="3545"/>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46"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47"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47"/>
      <c r="Q27" s="1536" t="str">
        <f t="shared" si="11"/>
        <v>成新率</v>
      </c>
      <c r="R27" s="1512" t="s">
        <v>8</v>
      </c>
      <c r="S27" s="1513" t="e">
        <f t="shared" si="12"/>
        <v>#N/A</v>
      </c>
      <c r="T27" s="1512" t="s">
        <v>8</v>
      </c>
      <c r="U27" s="1513" t="e">
        <f t="shared" si="13"/>
        <v>#N/A</v>
      </c>
      <c r="V27" s="1512" t="s">
        <v>8</v>
      </c>
      <c r="W27" s="1513" t="e">
        <f t="shared" si="14"/>
        <v>#N/A</v>
      </c>
      <c r="X27" s="1514"/>
      <c r="Y27" s="3547"/>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47"/>
      <c r="Q28" s="1507" t="str">
        <f t="shared" si="11"/>
        <v>物业等级</v>
      </c>
      <c r="R28" s="1508" t="s">
        <v>8</v>
      </c>
      <c r="S28" s="1509">
        <f t="shared" si="12"/>
        <v>100</v>
      </c>
      <c r="T28" s="1508" t="s">
        <v>8</v>
      </c>
      <c r="U28" s="1509">
        <f t="shared" si="13"/>
        <v>100</v>
      </c>
      <c r="V28" s="1508" t="s">
        <v>8</v>
      </c>
      <c r="W28" s="1509">
        <f t="shared" si="14"/>
        <v>100</v>
      </c>
      <c r="X28" s="1502"/>
      <c r="Y28" s="3547"/>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47"/>
      <c r="Q29" s="1507" t="str">
        <f t="shared" si="11"/>
        <v>有无电梯</v>
      </c>
      <c r="R29" s="1508" t="s">
        <v>8</v>
      </c>
      <c r="S29" s="1509">
        <f t="shared" si="12"/>
        <v>100</v>
      </c>
      <c r="T29" s="1508" t="s">
        <v>8</v>
      </c>
      <c r="U29" s="1509">
        <f t="shared" si="13"/>
        <v>100</v>
      </c>
      <c r="V29" s="1508" t="s">
        <v>8</v>
      </c>
      <c r="W29" s="1509">
        <f t="shared" si="14"/>
        <v>100</v>
      </c>
      <c r="X29" s="1502"/>
      <c r="Y29" s="3547"/>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47"/>
      <c r="Q30" s="1507" t="str">
        <f t="shared" si="11"/>
        <v>建筑面积</v>
      </c>
      <c r="R30" s="1508" t="s">
        <v>8</v>
      </c>
      <c r="S30" s="1509" t="e">
        <f t="shared" si="12"/>
        <v>#N/A</v>
      </c>
      <c r="T30" s="1508" t="s">
        <v>8</v>
      </c>
      <c r="U30" s="1509" t="e">
        <f t="shared" si="13"/>
        <v>#N/A</v>
      </c>
      <c r="V30" s="1508" t="s">
        <v>8</v>
      </c>
      <c r="W30" s="1509" t="e">
        <f t="shared" si="14"/>
        <v>#N/A</v>
      </c>
      <c r="X30" s="1502"/>
      <c r="Y30" s="3547"/>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47"/>
      <c r="Q31" s="1134" t="str">
        <f t="shared" si="11"/>
        <v>是否封闭</v>
      </c>
      <c r="R31" s="1503" t="s">
        <v>8</v>
      </c>
      <c r="S31" s="1504">
        <f t="shared" si="12"/>
        <v>100</v>
      </c>
      <c r="T31" s="1503" t="s">
        <v>8</v>
      </c>
      <c r="U31" s="1504">
        <f t="shared" si="13"/>
        <v>100</v>
      </c>
      <c r="V31" s="1503" t="s">
        <v>8</v>
      </c>
      <c r="W31" s="1504">
        <f t="shared" si="14"/>
        <v>100</v>
      </c>
      <c r="X31" s="1505"/>
      <c r="Y31" s="3547"/>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47" t="s">
        <v>544</v>
      </c>
      <c r="Q32" s="1507">
        <f t="shared" si="11"/>
        <v>111</v>
      </c>
      <c r="R32" s="1508" t="s">
        <v>8</v>
      </c>
      <c r="S32" s="1509">
        <f t="shared" si="12"/>
        <v>100</v>
      </c>
      <c r="T32" s="1508" t="s">
        <v>8</v>
      </c>
      <c r="U32" s="1509">
        <f t="shared" si="13"/>
        <v>100</v>
      </c>
      <c r="V32" s="1508" t="s">
        <v>8</v>
      </c>
      <c r="W32" s="1509">
        <f t="shared" si="14"/>
        <v>100</v>
      </c>
      <c r="X32" s="1502"/>
      <c r="Y32" s="3547"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47"/>
      <c r="Q33" s="1507">
        <f t="shared" si="11"/>
        <v>111</v>
      </c>
      <c r="R33" s="1508" t="s">
        <v>8</v>
      </c>
      <c r="S33" s="1509">
        <f t="shared" si="12"/>
        <v>100</v>
      </c>
      <c r="T33" s="1508" t="s">
        <v>8</v>
      </c>
      <c r="U33" s="1509">
        <f t="shared" si="13"/>
        <v>100</v>
      </c>
      <c r="V33" s="1508" t="s">
        <v>8</v>
      </c>
      <c r="W33" s="1509">
        <f t="shared" si="14"/>
        <v>100</v>
      </c>
      <c r="X33" s="1502"/>
      <c r="Y33" s="3547"/>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47"/>
      <c r="Q34" s="1507">
        <f t="shared" si="11"/>
        <v>111</v>
      </c>
      <c r="R34" s="1508" t="s">
        <v>8</v>
      </c>
      <c r="S34" s="1509">
        <f t="shared" si="12"/>
        <v>100</v>
      </c>
      <c r="T34" s="1508" t="s">
        <v>8</v>
      </c>
      <c r="U34" s="1509">
        <f t="shared" si="13"/>
        <v>100</v>
      </c>
      <c r="V34" s="1508" t="s">
        <v>8</v>
      </c>
      <c r="W34" s="1509">
        <f t="shared" si="14"/>
        <v>100</v>
      </c>
      <c r="X34" s="1502"/>
      <c r="Y34" s="3547"/>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542" t="str">
        <f>A35</f>
        <v>成交单价（元/平方米）</v>
      </c>
      <c r="Q35" s="3542"/>
      <c r="R35" s="3647">
        <f>E35</f>
        <v>0</v>
      </c>
      <c r="S35" s="3647"/>
      <c r="T35" s="3647">
        <f>G35</f>
        <v>0</v>
      </c>
      <c r="U35" s="3647"/>
      <c r="V35" s="3647">
        <f>I35</f>
        <v>0</v>
      </c>
      <c r="W35" s="3647"/>
      <c r="X35" s="1497"/>
      <c r="Y35" s="1516"/>
      <c r="Z35" s="1497"/>
      <c r="AA35" s="1497"/>
      <c r="AB35" s="1497"/>
      <c r="AC35" s="1497"/>
    </row>
    <row r="36" spans="1:29" ht="15.75" thickBot="1">
      <c r="A36" s="609" t="s">
        <v>2741</v>
      </c>
      <c r="B36" s="877"/>
      <c r="C36" s="2476" t="e">
        <f>R37</f>
        <v>#DIV/0!</v>
      </c>
      <c r="D36" s="3014" t="s">
        <v>2970</v>
      </c>
      <c r="E36" s="2477" t="e">
        <f>R36</f>
        <v>#DIV/0!</v>
      </c>
      <c r="F36" s="3015"/>
      <c r="G36" s="2476" t="e">
        <f>T36</f>
        <v>#DIV/0!</v>
      </c>
      <c r="H36" s="3015"/>
      <c r="I36" s="2477" t="e">
        <f>V36</f>
        <v>#DIV/0!</v>
      </c>
      <c r="J36" s="3015"/>
      <c r="K36" s="3023">
        <f>F36+H36+J36</f>
        <v>0</v>
      </c>
      <c r="L36" s="2026"/>
      <c r="M36" s="2027"/>
      <c r="N36" s="2016"/>
      <c r="O36" s="2027"/>
      <c r="P36" s="3542" t="str">
        <f>A36</f>
        <v>比较价格（元/平方米）</v>
      </c>
      <c r="Q36" s="3542"/>
      <c r="R36" s="3647" t="e">
        <f>IF(F1="售价",ROUND(PRODUCT(R35,AA7:AA34),0),ROUND(PRODUCT(R35,AA7:AA34),1))</f>
        <v>#DIV/0!</v>
      </c>
      <c r="S36" s="3647"/>
      <c r="T36" s="3647" t="e">
        <f>IF(F1="售价",ROUND(PRODUCT(T35,AB7:AB34),0),ROUND(PRODUCT(T35,AB7:AB34),1))</f>
        <v>#DIV/0!</v>
      </c>
      <c r="U36" s="3647"/>
      <c r="V36" s="3647" t="e">
        <f>IF(F1="售价",ROUND(PRODUCT(V35,AC7:AC34),0),ROUND(PRODUCT(V35,AC7:AC34),1))</f>
        <v>#DIV/0!</v>
      </c>
      <c r="W36" s="3647"/>
      <c r="X36" s="1497"/>
      <c r="Y36" s="1497"/>
      <c r="Z36" s="1497"/>
      <c r="AA36" s="1497"/>
      <c r="AB36" s="1497"/>
      <c r="AC36" s="1497"/>
    </row>
    <row r="37" spans="1:29" ht="15.75" thickBot="1">
      <c r="A37" s="613" t="s">
        <v>2904</v>
      </c>
      <c r="B37" s="614"/>
      <c r="C37" s="2478" t="e">
        <f>R37</f>
        <v>#DIV/0!</v>
      </c>
      <c r="D37" s="2478"/>
      <c r="E37" s="2478"/>
      <c r="F37" s="2478"/>
      <c r="G37" s="2478"/>
      <c r="H37" s="2478"/>
      <c r="I37" s="2478"/>
      <c r="J37" s="2478"/>
      <c r="K37" s="1542"/>
      <c r="L37" s="2026"/>
      <c r="M37" s="2027"/>
      <c r="N37" s="2027"/>
      <c r="O37" s="2027"/>
      <c r="P37" s="3563" t="str">
        <f>A37</f>
        <v>估价对象XX用房的比较价格（楼面单价，元/平方米）</v>
      </c>
      <c r="Q37" s="3564"/>
      <c r="R37" s="3646" t="e">
        <f>IF(F1="售价",ROUND(IF(D36="简单平均",AVERAGE(R36:W36),R36*F36+T36*H36+V36*J36),0),ROUND(IF(D36="简单平均",AVERAGE(R36:V36),R36*F36+T36*H36+V36*J36),1))</f>
        <v>#DIV/0!</v>
      </c>
      <c r="S37" s="3646"/>
      <c r="T37" s="3646"/>
      <c r="U37" s="3646"/>
      <c r="V37" s="3646"/>
      <c r="W37" s="3646"/>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2021-1</v>
      </c>
      <c r="D46" s="2521">
        <f>EDATE(C46,-1)</f>
        <v>44166</v>
      </c>
      <c r="E46" s="2521">
        <f t="shared" ref="E46:O46" si="16">EDATE(D46,-1)</f>
        <v>44136</v>
      </c>
      <c r="F46" s="2521">
        <f t="shared" si="16"/>
        <v>44105</v>
      </c>
      <c r="G46" s="2521">
        <f t="shared" si="16"/>
        <v>44075</v>
      </c>
      <c r="H46" s="2521">
        <f t="shared" si="16"/>
        <v>44044</v>
      </c>
      <c r="I46" s="2521">
        <f t="shared" si="16"/>
        <v>44013</v>
      </c>
      <c r="J46" s="2521">
        <f t="shared" si="16"/>
        <v>43983</v>
      </c>
      <c r="K46" s="2521">
        <f t="shared" si="16"/>
        <v>43952</v>
      </c>
      <c r="L46" s="2521">
        <f t="shared" si="16"/>
        <v>43922</v>
      </c>
      <c r="M46" s="2521">
        <f t="shared" si="16"/>
        <v>43891</v>
      </c>
      <c r="N46" s="2521">
        <f t="shared" si="16"/>
        <v>43862</v>
      </c>
      <c r="O46" s="2521">
        <f t="shared" si="16"/>
        <v>43831</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F7" sqref="F7:F46"/>
      <selection pane="bottomLeft" activeCell="F7" sqref="C7:Q46"/>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656" t="s">
        <v>2292</v>
      </c>
      <c r="D1" s="3657"/>
      <c r="E1" s="3657"/>
      <c r="F1" s="3657"/>
      <c r="G1" s="3657"/>
      <c r="H1" s="3657"/>
      <c r="I1" s="3657"/>
      <c r="J1" s="3657"/>
      <c r="K1" s="3657"/>
      <c r="L1" s="3657"/>
      <c r="M1" s="3657"/>
      <c r="N1" s="3657"/>
      <c r="O1" s="3657"/>
      <c r="P1" s="3657"/>
      <c r="Q1" s="3657"/>
      <c r="R1" s="3657"/>
      <c r="S1" s="3658"/>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2897</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2896</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2895</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2908</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2894</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2893</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53" t="s">
        <v>20</v>
      </c>
      <c r="D22" s="3654"/>
      <c r="E22" s="3654"/>
      <c r="F22" s="3654"/>
      <c r="G22" s="3654"/>
      <c r="H22" s="3654"/>
      <c r="I22" s="3654"/>
      <c r="J22" s="3654"/>
      <c r="K22" s="3654"/>
      <c r="L22" s="3654"/>
      <c r="M22" s="3654"/>
      <c r="N22" s="3654"/>
      <c r="O22" s="3654"/>
      <c r="P22" s="3654"/>
      <c r="Q22" s="3655"/>
      <c r="R22" s="484" t="e">
        <f>ROUND(S22*10000/B22,0)</f>
        <v>#DIV/0!</v>
      </c>
      <c r="S22" s="53">
        <f>SUM(S24:S10000)</f>
        <v>0</v>
      </c>
    </row>
    <row r="23" spans="1:45" s="1543" customFormat="1" ht="24">
      <c r="A23" s="17" t="s">
        <v>824</v>
      </c>
      <c r="B23" s="2861"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2021年1月5日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根据《国有土地使用证》[]，估价对象（分摊）出让国有建设用地使用权面积为44852.26平方米。根据《建设工程规划许可证》[]、《出让合同》[]，估价对象规划建筑面积为44852.26平方米。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44201</v>
      </c>
      <c r="H1" s="2655">
        <f>IF(C1&gt;C13,0,MATCH(C1,C$13:C$100,-1))+IF(SUMIF(C13:C100,C1,D13:D100)=0,13,12)</f>
        <v>13</v>
      </c>
      <c r="I1" s="2655">
        <f>MATCH(C2,H3:H7,1)+IF(SUMIF(H3:H7,C2,I3:I7)=0,2,1)</f>
        <v>5</v>
      </c>
      <c r="J1" s="2714">
        <f ca="1">MATCH(C3,H3:H7,1)+IF(SUMIF(H3:H7,C3,J3:J7)=0,2,1)</f>
        <v>4</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2</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1</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8"/>
  <sheetViews>
    <sheetView workbookViewId="0">
      <pane xSplit="4" ySplit="2" topLeftCell="E3" activePane="bottomRight" state="frozen"/>
      <selection pane="topRight" activeCell="E1" sqref="E1"/>
      <selection pane="bottomLeft" activeCell="A3" sqref="A3"/>
      <selection pane="bottomRight" activeCell="J75" sqref="J75"/>
    </sheetView>
  </sheetViews>
  <sheetFormatPr defaultColWidth="9" defaultRowHeight="13.5"/>
  <cols>
    <col min="1" max="3" width="9.25" style="3307" bestFit="1" customWidth="1"/>
    <col min="4" max="9" width="9" style="3307"/>
    <col min="10" max="10" width="20.125" style="3307" customWidth="1"/>
    <col min="11" max="13" width="9.25" style="3307" bestFit="1" customWidth="1"/>
    <col min="14" max="14" width="11.5" style="3307" customWidth="1"/>
    <col min="15" max="15" width="60.625" style="3307" customWidth="1"/>
    <col min="16" max="18" width="9" style="3307"/>
    <col min="19" max="19" width="9.5" style="3307" bestFit="1" customWidth="1"/>
    <col min="20" max="20" width="10.5" style="3307" bestFit="1" customWidth="1"/>
    <col min="21" max="21" width="9.25" style="3307" bestFit="1" customWidth="1"/>
    <col min="22" max="22" width="9.75" style="3307" bestFit="1" customWidth="1"/>
    <col min="23" max="24" width="9.25" style="3307" bestFit="1" customWidth="1"/>
    <col min="25" max="16384" width="9" style="3307"/>
  </cols>
  <sheetData>
    <row r="1" spans="1:27" s="3298" customFormat="1" ht="24.75" customHeight="1">
      <c r="A1" s="3659" t="s">
        <v>3012</v>
      </c>
      <c r="B1" s="3659"/>
      <c r="C1" s="3659"/>
      <c r="D1" s="3659"/>
      <c r="E1" s="3659"/>
      <c r="F1" s="3659"/>
      <c r="G1" s="3659"/>
      <c r="H1" s="3659"/>
      <c r="I1" s="3659"/>
      <c r="J1" s="3659"/>
      <c r="K1" s="3296"/>
      <c r="L1" s="3296"/>
      <c r="M1" s="3296"/>
      <c r="N1" s="3296"/>
      <c r="O1" s="3296"/>
      <c r="P1" s="3296"/>
      <c r="Q1" s="3296"/>
      <c r="R1" s="3296"/>
      <c r="S1" s="3296"/>
      <c r="T1" s="3296"/>
      <c r="U1" s="3283"/>
      <c r="V1" s="3297"/>
    </row>
    <row r="2" spans="1:27" s="3299" customFormat="1" ht="54" customHeight="1">
      <c r="A2" s="3284" t="s">
        <v>3013</v>
      </c>
      <c r="B2" s="3284" t="s">
        <v>3014</v>
      </c>
      <c r="C2" s="3284" t="s">
        <v>3015</v>
      </c>
      <c r="D2" s="3284" t="s">
        <v>3016</v>
      </c>
      <c r="E2" s="3284" t="s">
        <v>3017</v>
      </c>
      <c r="F2" s="3284" t="s">
        <v>3018</v>
      </c>
      <c r="G2" s="3284" t="s">
        <v>3019</v>
      </c>
      <c r="H2" s="3284" t="s">
        <v>3020</v>
      </c>
      <c r="I2" s="3284" t="s">
        <v>3021</v>
      </c>
      <c r="J2" s="3284" t="s">
        <v>3022</v>
      </c>
      <c r="K2" s="3285" t="s">
        <v>3023</v>
      </c>
      <c r="L2" s="3285" t="s">
        <v>3024</v>
      </c>
      <c r="M2" s="3285" t="s">
        <v>3025</v>
      </c>
      <c r="N2" s="3285" t="s">
        <v>3026</v>
      </c>
      <c r="O2" s="3284" t="s">
        <v>3027</v>
      </c>
      <c r="P2" s="3284" t="s">
        <v>3028</v>
      </c>
      <c r="Q2" s="3286" t="s">
        <v>3029</v>
      </c>
      <c r="R2" s="3286" t="s">
        <v>3030</v>
      </c>
      <c r="S2" s="3284" t="s">
        <v>3031</v>
      </c>
      <c r="T2" s="3284" t="s">
        <v>3032</v>
      </c>
      <c r="U2" s="3285" t="s">
        <v>3033</v>
      </c>
      <c r="V2" s="3285" t="s">
        <v>3034</v>
      </c>
      <c r="W2" s="3285" t="s">
        <v>3035</v>
      </c>
      <c r="X2" s="3285" t="s">
        <v>3036</v>
      </c>
      <c r="Y2" s="3286" t="s">
        <v>3037</v>
      </c>
      <c r="Z2" s="3296"/>
    </row>
    <row r="3" spans="1:27" s="3302" customFormat="1" ht="104.25" customHeight="1">
      <c r="A3" s="3281">
        <v>2017</v>
      </c>
      <c r="B3" s="3281">
        <v>2</v>
      </c>
      <c r="C3" s="3282" t="s">
        <v>3038</v>
      </c>
      <c r="D3" s="3287" t="s">
        <v>3039</v>
      </c>
      <c r="E3" s="3287" t="s">
        <v>3040</v>
      </c>
      <c r="F3" s="3287" t="s">
        <v>3041</v>
      </c>
      <c r="G3" s="3287" t="s">
        <v>3042</v>
      </c>
      <c r="H3" s="3287" t="s">
        <v>3043</v>
      </c>
      <c r="I3" s="3287" t="s">
        <v>3044</v>
      </c>
      <c r="J3" s="3287" t="s">
        <v>3045</v>
      </c>
      <c r="K3" s="3287">
        <v>71.7</v>
      </c>
      <c r="L3" s="3287">
        <v>23.32</v>
      </c>
      <c r="M3" s="3287">
        <v>21.36</v>
      </c>
      <c r="N3" s="3287">
        <v>81961.52</v>
      </c>
      <c r="O3" s="3288" t="s">
        <v>3046</v>
      </c>
      <c r="P3" s="3287" t="s">
        <v>3047</v>
      </c>
      <c r="Q3" s="3300" t="s">
        <v>3048</v>
      </c>
      <c r="R3" s="3300" t="s">
        <v>3048</v>
      </c>
      <c r="S3" s="3300">
        <v>25996.07</v>
      </c>
      <c r="T3" s="3300">
        <v>111569.81</v>
      </c>
      <c r="U3" s="3300">
        <v>3078.5</v>
      </c>
      <c r="V3" s="3295">
        <v>1918.6299999999999</v>
      </c>
      <c r="W3" s="3294">
        <v>362.57</v>
      </c>
      <c r="X3" s="3289">
        <v>1556.06</v>
      </c>
      <c r="Y3" s="3301"/>
      <c r="Z3" s="3301"/>
      <c r="AA3" s="3301"/>
    </row>
    <row r="4" spans="1:27" s="3302" customFormat="1" ht="148.5">
      <c r="A4" s="3281">
        <v>2017</v>
      </c>
      <c r="B4" s="3281">
        <v>2</v>
      </c>
      <c r="C4" s="3287">
        <v>4</v>
      </c>
      <c r="D4" s="3287" t="s">
        <v>3039</v>
      </c>
      <c r="E4" s="3287" t="s">
        <v>3040</v>
      </c>
      <c r="F4" s="3287" t="s">
        <v>3049</v>
      </c>
      <c r="G4" s="3287" t="s">
        <v>3050</v>
      </c>
      <c r="H4" s="3287" t="s">
        <v>3043</v>
      </c>
      <c r="I4" s="3287" t="s">
        <v>3051</v>
      </c>
      <c r="J4" s="3287" t="s">
        <v>3052</v>
      </c>
      <c r="K4" s="3287">
        <v>123.12</v>
      </c>
      <c r="L4" s="3287">
        <v>2.52</v>
      </c>
      <c r="M4" s="3287">
        <v>4.8899999999999997</v>
      </c>
      <c r="N4" s="3287">
        <v>27844.26</v>
      </c>
      <c r="O4" s="3288" t="s">
        <v>3071</v>
      </c>
      <c r="P4" s="3287" t="s">
        <v>3047</v>
      </c>
      <c r="Q4" s="3300" t="s">
        <v>3048</v>
      </c>
      <c r="R4" s="3300" t="s">
        <v>3048</v>
      </c>
      <c r="S4" s="3281">
        <v>27680.83</v>
      </c>
      <c r="T4" s="3281">
        <v>141032.19</v>
      </c>
      <c r="U4" s="3303"/>
      <c r="V4" s="3304">
        <v>1370.32</v>
      </c>
      <c r="W4" s="3305">
        <v>224.83</v>
      </c>
      <c r="X4" s="3290">
        <v>1145.49</v>
      </c>
      <c r="Y4" s="3301"/>
      <c r="Z4" s="3301"/>
      <c r="AA4" s="3301"/>
    </row>
    <row r="5" spans="1:27" s="3302" customFormat="1" ht="243">
      <c r="A5" s="3281">
        <v>2017</v>
      </c>
      <c r="B5" s="3281">
        <v>2</v>
      </c>
      <c r="C5" s="3287">
        <v>5</v>
      </c>
      <c r="D5" s="3287" t="s">
        <v>3039</v>
      </c>
      <c r="E5" s="3287" t="s">
        <v>3040</v>
      </c>
      <c r="F5" s="3287" t="s">
        <v>3053</v>
      </c>
      <c r="G5" s="3287" t="s">
        <v>3050</v>
      </c>
      <c r="H5" s="3287" t="s">
        <v>3043</v>
      </c>
      <c r="I5" s="3291" t="s">
        <v>3054</v>
      </c>
      <c r="J5" s="3292" t="s">
        <v>3055</v>
      </c>
      <c r="K5" s="3287" t="s">
        <v>3056</v>
      </c>
      <c r="L5" s="3287">
        <v>55.4</v>
      </c>
      <c r="M5" s="3287">
        <v>69.290000000000006</v>
      </c>
      <c r="N5" s="3287">
        <v>212637.98</v>
      </c>
      <c r="O5" s="3288" t="s">
        <v>3057</v>
      </c>
      <c r="P5" s="3287" t="s">
        <v>3047</v>
      </c>
      <c r="Q5" s="3289" t="s">
        <v>3048</v>
      </c>
      <c r="R5" s="3293" t="s">
        <v>3058</v>
      </c>
      <c r="S5" s="3294">
        <v>78903.5</v>
      </c>
      <c r="T5" s="3293">
        <v>365234.84</v>
      </c>
      <c r="U5" s="3294"/>
      <c r="V5" s="3295">
        <v>1349.43</v>
      </c>
      <c r="W5" s="3306">
        <v>239.73</v>
      </c>
      <c r="X5" s="3306">
        <v>1109.7</v>
      </c>
      <c r="Y5" s="3301"/>
      <c r="Z5" s="3301" t="s">
        <v>3059</v>
      </c>
      <c r="AA5" s="3301"/>
    </row>
    <row r="6" spans="1:27" s="3346" customFormat="1" ht="121.5">
      <c r="A6" s="3341">
        <v>2018</v>
      </c>
      <c r="B6" s="3341">
        <v>3</v>
      </c>
      <c r="C6" s="3342">
        <v>3</v>
      </c>
      <c r="D6" s="3342" t="s">
        <v>3039</v>
      </c>
      <c r="E6" s="3342" t="s">
        <v>3040</v>
      </c>
      <c r="F6" s="3342" t="s">
        <v>3136</v>
      </c>
      <c r="G6" s="3342" t="s">
        <v>3050</v>
      </c>
      <c r="H6" s="3342" t="s">
        <v>3043</v>
      </c>
      <c r="I6" s="3342" t="s">
        <v>3060</v>
      </c>
      <c r="J6" s="3342" t="s">
        <v>3061</v>
      </c>
      <c r="K6" s="3342" t="s">
        <v>3056</v>
      </c>
      <c r="L6" s="3342">
        <v>8.11</v>
      </c>
      <c r="M6" s="3342">
        <v>11.36</v>
      </c>
      <c r="N6" s="3342">
        <v>51100.98</v>
      </c>
      <c r="O6" s="3343" t="s">
        <v>3137</v>
      </c>
      <c r="P6" s="3342" t="s">
        <v>3062</v>
      </c>
      <c r="Q6" s="3290" t="s">
        <v>3048</v>
      </c>
      <c r="R6" s="3344" t="s">
        <v>3058</v>
      </c>
      <c r="S6" s="3305">
        <v>78903.5</v>
      </c>
      <c r="T6" s="3344">
        <v>365234.84</v>
      </c>
      <c r="U6" s="3305"/>
      <c r="V6" s="3304">
        <v>1349.43</v>
      </c>
      <c r="W6" s="3282">
        <v>239.73</v>
      </c>
      <c r="X6" s="3282">
        <v>1109.7</v>
      </c>
      <c r="Y6" s="3345"/>
      <c r="Z6" s="3345"/>
      <c r="AA6" s="3345"/>
    </row>
    <row r="7" spans="1:27" s="3346" customFormat="1" ht="261" customHeight="1">
      <c r="A7" s="3341">
        <v>2018</v>
      </c>
      <c r="B7" s="3341">
        <v>4</v>
      </c>
      <c r="C7" s="3342">
        <v>2</v>
      </c>
      <c r="D7" s="3342" t="s">
        <v>3063</v>
      </c>
      <c r="E7" s="3342" t="s">
        <v>3040</v>
      </c>
      <c r="F7" s="3342" t="s">
        <v>3144</v>
      </c>
      <c r="G7" s="3342" t="s">
        <v>3042</v>
      </c>
      <c r="H7" s="3342" t="s">
        <v>3043</v>
      </c>
      <c r="I7" s="3342" t="s">
        <v>3064</v>
      </c>
      <c r="J7" s="3342" t="s">
        <v>3065</v>
      </c>
      <c r="K7" s="3342">
        <v>71.7</v>
      </c>
      <c r="L7" s="3342">
        <v>24.94</v>
      </c>
      <c r="M7" s="3342">
        <v>25.09</v>
      </c>
      <c r="N7" s="3342">
        <v>111324.76</v>
      </c>
      <c r="O7" s="3343" t="s">
        <v>3138</v>
      </c>
      <c r="P7" s="3342" t="s">
        <v>3066</v>
      </c>
      <c r="Q7" s="3290" t="s">
        <v>3048</v>
      </c>
      <c r="R7" s="3304" t="s">
        <v>3048</v>
      </c>
      <c r="S7" s="3305">
        <v>25804.77</v>
      </c>
      <c r="T7" s="3305">
        <v>108567.45</v>
      </c>
      <c r="U7" s="3347"/>
      <c r="V7" s="3304">
        <v>1874.09</v>
      </c>
      <c r="W7" s="3305">
        <v>359.9</v>
      </c>
      <c r="X7" s="3290">
        <v>1514.19</v>
      </c>
      <c r="Y7" s="3347"/>
      <c r="Z7" s="3347"/>
      <c r="AA7" s="3345"/>
    </row>
    <row r="8" spans="1:27" s="3346" customFormat="1" ht="189">
      <c r="A8" s="3341">
        <v>2019</v>
      </c>
      <c r="B8" s="3341">
        <v>2</v>
      </c>
      <c r="C8" s="3342">
        <v>4</v>
      </c>
      <c r="D8" s="3342" t="s">
        <v>3063</v>
      </c>
      <c r="E8" s="3342" t="s">
        <v>3040</v>
      </c>
      <c r="F8" s="3342" t="s">
        <v>3139</v>
      </c>
      <c r="G8" s="3342" t="s">
        <v>3050</v>
      </c>
      <c r="H8" s="3342" t="s">
        <v>3043</v>
      </c>
      <c r="I8" s="3342" t="s">
        <v>3067</v>
      </c>
      <c r="J8" s="3342" t="s">
        <v>3068</v>
      </c>
      <c r="K8" s="3342" t="s">
        <v>3069</v>
      </c>
      <c r="L8" s="3342">
        <v>11.35</v>
      </c>
      <c r="M8" s="3342">
        <v>16.91</v>
      </c>
      <c r="N8" s="3342">
        <v>76095</v>
      </c>
      <c r="O8" s="3343" t="s">
        <v>3143</v>
      </c>
      <c r="P8" s="3342" t="s">
        <v>3070</v>
      </c>
      <c r="Q8" s="3290" t="s">
        <v>3048</v>
      </c>
      <c r="R8" s="3344" t="s">
        <v>3058</v>
      </c>
      <c r="S8" s="3305">
        <v>78903.5</v>
      </c>
      <c r="T8" s="3344">
        <v>365234.84</v>
      </c>
      <c r="U8" s="3305"/>
      <c r="V8" s="3304">
        <v>1349.43</v>
      </c>
      <c r="W8" s="3282">
        <v>239.73</v>
      </c>
      <c r="X8" s="3282">
        <v>1109.7</v>
      </c>
      <c r="Y8" s="3345"/>
      <c r="Z8" s="3345"/>
      <c r="AA8" s="3345"/>
    </row>
    <row r="9" spans="1:27" s="3298" customFormat="1" ht="11.25">
      <c r="A9" s="3299"/>
      <c r="B9" s="3299"/>
      <c r="C9" s="3299"/>
      <c r="K9" s="3299"/>
      <c r="L9" s="3299"/>
      <c r="M9" s="3299"/>
      <c r="N9" s="3299"/>
      <c r="O9" s="3299"/>
      <c r="P9" s="3299"/>
      <c r="Q9" s="3299"/>
      <c r="R9" s="3299"/>
      <c r="S9" s="3299"/>
      <c r="T9" s="3299"/>
      <c r="U9" s="3299"/>
    </row>
    <row r="10" spans="1:27" s="3298" customFormat="1" ht="11.25">
      <c r="A10" s="3299"/>
      <c r="B10" s="3299"/>
      <c r="C10" s="3299"/>
      <c r="K10" s="3299"/>
      <c r="L10" s="3299"/>
      <c r="M10" s="3299"/>
      <c r="N10" s="3299"/>
      <c r="O10" s="3299"/>
      <c r="P10" s="3299"/>
      <c r="Q10" s="3299"/>
      <c r="R10" s="3299"/>
      <c r="S10" s="3299"/>
      <c r="T10" s="3299"/>
      <c r="U10" s="3299"/>
      <c r="V10" s="3298">
        <f>ROUND(AVERAGE(V6:V8),1)</f>
        <v>1524.3</v>
      </c>
    </row>
    <row r="11" spans="1:27" s="3298" customFormat="1" ht="11.25">
      <c r="A11" s="3299"/>
      <c r="B11" s="3299"/>
      <c r="C11" s="3299"/>
      <c r="K11" s="3299"/>
      <c r="L11" s="3299"/>
      <c r="M11" s="3299"/>
      <c r="N11" s="3299"/>
      <c r="O11" s="3299"/>
      <c r="P11" s="3299"/>
      <c r="Q11" s="3299"/>
      <c r="R11" s="3299"/>
      <c r="S11" s="3299"/>
      <c r="T11" s="3299"/>
      <c r="U11" s="3299"/>
    </row>
    <row r="12" spans="1:27" s="3298" customFormat="1" ht="11.25">
      <c r="A12" s="3299"/>
      <c r="B12" s="3299"/>
      <c r="C12" s="3299"/>
      <c r="K12" s="3299"/>
      <c r="L12" s="3299"/>
      <c r="M12" s="3299"/>
      <c r="N12" s="3299"/>
      <c r="O12" s="3299"/>
      <c r="P12" s="3299"/>
      <c r="Q12" s="3299"/>
      <c r="R12" s="3299"/>
      <c r="S12" s="3299"/>
      <c r="T12" s="3299"/>
      <c r="U12" s="3299"/>
    </row>
    <row r="13" spans="1:27" s="3298" customFormat="1" ht="11.25">
      <c r="A13" s="3299"/>
      <c r="B13" s="3299"/>
      <c r="C13" s="3299"/>
      <c r="K13" s="3299"/>
      <c r="L13" s="3299"/>
      <c r="M13" s="3299"/>
      <c r="N13" s="3299"/>
      <c r="O13" s="3299"/>
      <c r="P13" s="3299"/>
      <c r="Q13" s="3299"/>
      <c r="R13" s="3299"/>
      <c r="S13" s="3299"/>
      <c r="T13" s="3299"/>
      <c r="U13" s="3299"/>
    </row>
    <row r="14" spans="1:27" s="3298" customFormat="1" ht="11.25">
      <c r="A14" s="3299"/>
      <c r="B14" s="3299"/>
      <c r="C14" s="3299"/>
      <c r="K14" s="3299"/>
      <c r="L14" s="3299"/>
      <c r="M14" s="3299"/>
      <c r="N14" s="3299"/>
      <c r="O14" s="3299"/>
      <c r="P14" s="3299"/>
      <c r="Q14" s="3299"/>
      <c r="R14" s="3299"/>
      <c r="S14" s="3299"/>
      <c r="T14" s="3299"/>
      <c r="U14" s="3299"/>
    </row>
    <row r="15" spans="1:27" s="3298" customFormat="1" ht="11.25">
      <c r="A15" s="3299"/>
      <c r="B15" s="3299"/>
      <c r="C15" s="3299"/>
      <c r="K15" s="3299"/>
      <c r="L15" s="3299"/>
      <c r="M15" s="3299"/>
      <c r="N15" s="3299"/>
      <c r="O15" s="3299"/>
      <c r="P15" s="3299"/>
      <c r="Q15" s="3299"/>
      <c r="R15" s="3299"/>
      <c r="S15" s="3299"/>
      <c r="T15" s="3299"/>
      <c r="U15" s="3299"/>
    </row>
    <row r="16" spans="1:27" s="3298" customFormat="1" ht="11.25">
      <c r="A16" s="3299"/>
      <c r="B16" s="3299"/>
      <c r="C16" s="3299"/>
      <c r="K16" s="3299"/>
      <c r="L16" s="3299"/>
      <c r="M16" s="3299"/>
      <c r="N16" s="3299"/>
      <c r="O16" s="3299"/>
      <c r="P16" s="3299"/>
      <c r="Q16" s="3299"/>
      <c r="R16" s="3299"/>
      <c r="S16" s="3299"/>
      <c r="T16" s="3299"/>
      <c r="U16" s="3299"/>
    </row>
    <row r="17" spans="1:21" s="3298" customFormat="1" ht="11.25">
      <c r="A17" s="3299"/>
      <c r="B17" s="3299"/>
      <c r="C17" s="3299"/>
      <c r="K17" s="3299"/>
      <c r="L17" s="3299"/>
      <c r="M17" s="3299"/>
      <c r="N17" s="3299"/>
      <c r="O17" s="3299"/>
      <c r="P17" s="3299"/>
      <c r="Q17" s="3299"/>
      <c r="R17" s="3299"/>
      <c r="S17" s="3299"/>
      <c r="T17" s="3299"/>
      <c r="U17" s="3299"/>
    </row>
    <row r="18" spans="1:21" s="3298" customFormat="1" ht="11.25">
      <c r="A18" s="3299"/>
      <c r="B18" s="3299"/>
      <c r="C18" s="3299"/>
      <c r="K18" s="3299"/>
      <c r="L18" s="3299"/>
      <c r="M18" s="3299"/>
      <c r="N18" s="3299"/>
      <c r="O18" s="3299"/>
      <c r="P18" s="3299"/>
      <c r="Q18" s="3299"/>
      <c r="R18" s="3299"/>
      <c r="S18" s="3299"/>
      <c r="T18" s="3299"/>
      <c r="U18" s="3299"/>
    </row>
  </sheetData>
  <mergeCells count="1">
    <mergeCell ref="A1:J1"/>
  </mergeCells>
  <phoneticPr fontId="229" type="noConversion"/>
  <dataValidations count="1">
    <dataValidation type="list" allowBlank="1" showInputMessage="1" showErrorMessage="1" sqref="E3:E4 E6:E8">
      <formula1>"公开出让,协议出让,划拨"</formula1>
    </dataValidation>
  </dataValidation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election activeCell="E4" sqref="E4"/>
    </sheetView>
  </sheetViews>
  <sheetFormatPr defaultColWidth="9" defaultRowHeight="13.5"/>
  <cols>
    <col min="1" max="1" width="9" style="2"/>
    <col min="2" max="2" width="31.25" style="2" customWidth="1"/>
    <col min="3" max="3" width="20.875" style="2" customWidth="1"/>
    <col min="4" max="4" width="9" style="2"/>
    <col min="5" max="5" width="12.75" style="2" bestFit="1" customWidth="1"/>
    <col min="6" max="6" width="36.25" style="2" customWidth="1"/>
    <col min="7" max="16384" width="9" style="2"/>
  </cols>
  <sheetData>
    <row r="1" spans="1:6">
      <c r="A1" s="3660" t="s">
        <v>3087</v>
      </c>
      <c r="B1" s="3660"/>
      <c r="C1" s="3660"/>
      <c r="D1" s="3317"/>
      <c r="E1" s="3317"/>
      <c r="F1" s="3317"/>
    </row>
    <row r="2" spans="1:6">
      <c r="A2" s="3316" t="s">
        <v>2360</v>
      </c>
      <c r="B2" s="3316" t="s">
        <v>3018</v>
      </c>
      <c r="C2" s="3316" t="s">
        <v>3088</v>
      </c>
      <c r="D2" s="3317"/>
      <c r="E2" s="3317"/>
      <c r="F2" s="3317"/>
    </row>
    <row r="3" spans="1:6">
      <c r="A3" s="3315">
        <v>1</v>
      </c>
      <c r="B3" s="3316" t="s">
        <v>3098</v>
      </c>
      <c r="C3" s="3352">
        <f ca="1">ROUND(结果表!G20*'数据-汇总表'!D3/10000,4)</f>
        <v>6665.0457999999999</v>
      </c>
      <c r="D3" s="3317"/>
      <c r="E3" s="3317">
        <f ca="1">C3*10000/'数据-基础表'!A3</f>
        <v>1485.9999919736485</v>
      </c>
      <c r="F3" s="3317"/>
    </row>
    <row r="4" spans="1:6">
      <c r="A4" s="3315">
        <v>2</v>
      </c>
      <c r="B4" s="3316" t="s">
        <v>3089</v>
      </c>
      <c r="C4" s="3314">
        <f>[1]Sheet1!$F$5/10000</f>
        <v>147.80761788000001</v>
      </c>
      <c r="D4" s="3317"/>
      <c r="E4" s="3317"/>
      <c r="F4" s="3317"/>
    </row>
    <row r="5" spans="1:6">
      <c r="A5" s="3315">
        <v>3</v>
      </c>
      <c r="B5" s="3316" t="s">
        <v>3090</v>
      </c>
      <c r="C5" s="3314">
        <v>72.767099999999999</v>
      </c>
      <c r="D5" s="3317"/>
      <c r="E5" s="3317"/>
      <c r="F5" s="3317"/>
    </row>
    <row r="6" spans="1:6">
      <c r="A6" s="3315">
        <v>4</v>
      </c>
      <c r="B6" s="3316" t="s">
        <v>3091</v>
      </c>
      <c r="C6" s="3313">
        <v>0</v>
      </c>
      <c r="D6" s="3317"/>
      <c r="E6" s="3317"/>
      <c r="F6" s="3317"/>
    </row>
    <row r="7" spans="1:6">
      <c r="A7" s="3315">
        <v>5</v>
      </c>
      <c r="B7" s="3315" t="s">
        <v>3092</v>
      </c>
      <c r="C7" s="3313">
        <v>0</v>
      </c>
      <c r="D7" s="3317"/>
      <c r="E7" s="3317"/>
      <c r="F7" s="3317"/>
    </row>
    <row r="8" spans="1:6" ht="27">
      <c r="A8" s="3315">
        <v>6</v>
      </c>
      <c r="B8" s="3315" t="s">
        <v>3093</v>
      </c>
      <c r="C8" s="3313">
        <v>0</v>
      </c>
      <c r="D8" s="3317"/>
      <c r="E8" s="3317"/>
      <c r="F8" s="3317"/>
    </row>
    <row r="9" spans="1:6" ht="81">
      <c r="A9" s="3315">
        <v>7</v>
      </c>
      <c r="B9" s="3315" t="s">
        <v>3094</v>
      </c>
      <c r="C9" s="3314">
        <f>50*[1]Sheet1!$D$5/10000</f>
        <v>5.2984999999999989</v>
      </c>
      <c r="D9" s="3317"/>
      <c r="E9" s="3317"/>
      <c r="F9" s="3317" t="s">
        <v>3095</v>
      </c>
    </row>
    <row r="10" spans="1:6">
      <c r="A10" s="3661" t="s">
        <v>24</v>
      </c>
      <c r="B10" s="3661"/>
      <c r="C10" s="3314">
        <f ca="1">SUM(C3:C9)</f>
        <v>6890.91901788</v>
      </c>
      <c r="D10" s="3317"/>
      <c r="E10" s="3317"/>
      <c r="F10" s="3317"/>
    </row>
    <row r="11" spans="1:6">
      <c r="A11" s="3661" t="s">
        <v>3096</v>
      </c>
      <c r="B11" s="3661"/>
      <c r="C11" s="3315">
        <f ca="1">ROUND(C10*10000/'数据-基础表'!A3,0)</f>
        <v>1536</v>
      </c>
    </row>
    <row r="12" spans="1:6">
      <c r="A12" s="3661" t="s">
        <v>3097</v>
      </c>
      <c r="B12" s="3661"/>
      <c r="C12" s="3315">
        <f ca="1">ROUND(C11/15,0)</f>
        <v>102</v>
      </c>
    </row>
  </sheetData>
  <mergeCells count="4">
    <mergeCell ref="A1:C1"/>
    <mergeCell ref="A10:B10"/>
    <mergeCell ref="A11:B11"/>
    <mergeCell ref="A12:B12"/>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topLeftCell="B1" workbookViewId="0">
      <selection activeCell="N21" sqref="N21:N22"/>
    </sheetView>
  </sheetViews>
  <sheetFormatPr defaultColWidth="9" defaultRowHeight="13.5"/>
  <cols>
    <col min="1" max="1" width="35" style="3318" customWidth="1"/>
    <col min="2" max="4" width="9" style="3318"/>
    <col min="5" max="5" width="6.375" style="3318" customWidth="1"/>
    <col min="6" max="6" width="9" style="3318"/>
    <col min="7" max="7" width="12.25" style="3318" customWidth="1"/>
    <col min="8" max="8" width="14.625" style="3318" customWidth="1"/>
    <col min="9" max="9" width="13.375" style="3318" customWidth="1"/>
    <col min="10" max="11" width="9" style="3318"/>
    <col min="12" max="12" width="11.375" style="3318" customWidth="1"/>
    <col min="13" max="13" width="12.25" style="3318" customWidth="1"/>
    <col min="14" max="14" width="9" style="3318"/>
    <col min="15" max="15" width="12.75" style="3318" bestFit="1" customWidth="1"/>
    <col min="16" max="16384" width="9" style="3318"/>
  </cols>
  <sheetData>
    <row r="1" spans="1:15" ht="27">
      <c r="A1" s="3319" t="s">
        <v>3099</v>
      </c>
      <c r="B1" s="3319" t="s">
        <v>3100</v>
      </c>
      <c r="C1" s="3319" t="s">
        <v>3101</v>
      </c>
      <c r="D1" s="3319" t="s">
        <v>3102</v>
      </c>
      <c r="E1" s="3319" t="s">
        <v>2021</v>
      </c>
      <c r="F1" s="3319" t="s">
        <v>3103</v>
      </c>
      <c r="G1" s="3319" t="s">
        <v>3104</v>
      </c>
      <c r="H1" s="3319" t="s">
        <v>3105</v>
      </c>
      <c r="I1" s="3319" t="s">
        <v>3106</v>
      </c>
      <c r="J1" s="3319" t="s">
        <v>3107</v>
      </c>
      <c r="K1" s="3319" t="s">
        <v>3108</v>
      </c>
      <c r="L1" s="3319" t="s">
        <v>3109</v>
      </c>
      <c r="M1" s="3320" t="s">
        <v>3121</v>
      </c>
      <c r="N1" s="3320" t="s">
        <v>3122</v>
      </c>
      <c r="O1" s="3320" t="s">
        <v>3123</v>
      </c>
    </row>
    <row r="2" spans="1:15" ht="27">
      <c r="A2" s="3319" t="s">
        <v>3110</v>
      </c>
      <c r="B2" s="3319" t="s">
        <v>3111</v>
      </c>
      <c r="C2" s="3319">
        <v>30231.14</v>
      </c>
      <c r="D2" s="3319">
        <v>30231.14</v>
      </c>
      <c r="E2" s="3319" t="s">
        <v>3112</v>
      </c>
      <c r="F2" s="3319" t="s">
        <v>3113</v>
      </c>
      <c r="G2" s="3319" t="s">
        <v>3114</v>
      </c>
      <c r="H2" s="3319" t="s">
        <v>3115</v>
      </c>
      <c r="I2" s="3319" t="s">
        <v>3115</v>
      </c>
      <c r="J2" s="3319">
        <v>2817.03</v>
      </c>
      <c r="K2" s="3319">
        <v>2817.03</v>
      </c>
      <c r="L2" s="3319">
        <v>931.83</v>
      </c>
      <c r="M2" s="3319">
        <v>2421</v>
      </c>
      <c r="N2" s="3319">
        <f>K2-M2</f>
        <v>396.0300000000002</v>
      </c>
      <c r="O2" s="3319">
        <f>ROUND(N2/K2,2)</f>
        <v>0.14000000000000001</v>
      </c>
    </row>
    <row r="3" spans="1:15" ht="27">
      <c r="A3" s="3319" t="s">
        <v>3116</v>
      </c>
      <c r="B3" s="3319" t="s">
        <v>3111</v>
      </c>
      <c r="C3" s="3319">
        <v>34616.870000000003</v>
      </c>
      <c r="D3" s="3319">
        <v>34616.870000000003</v>
      </c>
      <c r="E3" s="3319">
        <v>1</v>
      </c>
      <c r="F3" s="3319" t="s">
        <v>3113</v>
      </c>
      <c r="G3" s="3319" t="s">
        <v>3111</v>
      </c>
      <c r="H3" s="3319" t="s">
        <v>3117</v>
      </c>
      <c r="I3" s="3319" t="s">
        <v>3117</v>
      </c>
      <c r="J3" s="3319">
        <v>3408.23</v>
      </c>
      <c r="K3" s="3319">
        <v>3408.23</v>
      </c>
      <c r="L3" s="3319">
        <v>984.55</v>
      </c>
      <c r="M3" s="3319">
        <v>2951.3</v>
      </c>
      <c r="N3" s="3319">
        <f>K3-M3</f>
        <v>456.92999999999984</v>
      </c>
      <c r="O3" s="3319">
        <f>ROUND(N3/K3,2)</f>
        <v>0.13</v>
      </c>
    </row>
    <row r="4" spans="1:15" ht="27">
      <c r="A4" s="3319" t="s">
        <v>3118</v>
      </c>
      <c r="B4" s="3319" t="s">
        <v>3111</v>
      </c>
      <c r="C4" s="3319">
        <v>17333.330000000002</v>
      </c>
      <c r="D4" s="3319">
        <v>17333</v>
      </c>
      <c r="E4" s="3319">
        <v>1</v>
      </c>
      <c r="F4" s="3319" t="s">
        <v>3113</v>
      </c>
      <c r="G4" s="3319" t="s">
        <v>972</v>
      </c>
      <c r="H4" s="3319" t="s">
        <v>3119</v>
      </c>
      <c r="I4" s="3319" t="s">
        <v>3119</v>
      </c>
      <c r="J4" s="3319">
        <v>1659.75</v>
      </c>
      <c r="K4" s="3319">
        <v>1659.75</v>
      </c>
      <c r="L4" s="3319">
        <v>957.57</v>
      </c>
      <c r="M4" s="3319"/>
      <c r="N4" s="3319"/>
      <c r="O4" s="3319"/>
    </row>
    <row r="5" spans="1:15" ht="27">
      <c r="A5" s="3319" t="s">
        <v>3120</v>
      </c>
      <c r="B5" s="3319" t="s">
        <v>3111</v>
      </c>
      <c r="C5" s="3319">
        <v>17333.330000000002</v>
      </c>
      <c r="D5" s="3319">
        <v>17333</v>
      </c>
      <c r="E5" s="3319">
        <v>1</v>
      </c>
      <c r="F5" s="3319" t="s">
        <v>3113</v>
      </c>
      <c r="G5" s="3319" t="s">
        <v>972</v>
      </c>
      <c r="H5" s="3319" t="s">
        <v>3119</v>
      </c>
      <c r="I5" s="3319" t="s">
        <v>3119</v>
      </c>
      <c r="J5" s="3319">
        <v>1658.01</v>
      </c>
      <c r="K5" s="3319">
        <v>1658.01</v>
      </c>
      <c r="L5" s="3319">
        <v>956.57</v>
      </c>
      <c r="M5" s="3319"/>
      <c r="N5" s="3319"/>
      <c r="O5" s="3319"/>
    </row>
    <row r="20" spans="2:14" ht="14.25" thickBot="1"/>
    <row r="21" spans="2:14" ht="33.75" customHeight="1" thickTop="1">
      <c r="B21" s="3667" t="s">
        <v>2360</v>
      </c>
      <c r="C21" s="3669" t="s">
        <v>2019</v>
      </c>
      <c r="D21" s="3322" t="s">
        <v>2916</v>
      </c>
      <c r="E21" s="3669" t="s">
        <v>3125</v>
      </c>
      <c r="F21" s="3669" t="s">
        <v>3021</v>
      </c>
      <c r="G21" s="3669" t="s">
        <v>2021</v>
      </c>
      <c r="H21" s="3669" t="s">
        <v>3106</v>
      </c>
      <c r="I21" s="3322" t="s">
        <v>3126</v>
      </c>
      <c r="J21" s="3669" t="s">
        <v>3128</v>
      </c>
      <c r="K21" s="3669" t="s">
        <v>3129</v>
      </c>
      <c r="L21" s="3669" t="s">
        <v>3130</v>
      </c>
      <c r="M21" s="3669" t="s">
        <v>3131</v>
      </c>
      <c r="N21" s="3662" t="s">
        <v>3132</v>
      </c>
    </row>
    <row r="22" spans="2:14" ht="14.25" thickBot="1">
      <c r="B22" s="3668"/>
      <c r="C22" s="3670"/>
      <c r="D22" s="3323" t="s">
        <v>3124</v>
      </c>
      <c r="E22" s="3670"/>
      <c r="F22" s="3670"/>
      <c r="G22" s="3670"/>
      <c r="H22" s="3670"/>
      <c r="I22" s="3324" t="s">
        <v>3127</v>
      </c>
      <c r="J22" s="3670"/>
      <c r="K22" s="3670"/>
      <c r="L22" s="3670"/>
      <c r="M22" s="3670"/>
      <c r="N22" s="3663"/>
    </row>
    <row r="23" spans="2:14" ht="72.75" thickTop="1">
      <c r="B23" s="3325">
        <v>1</v>
      </c>
      <c r="C23" s="3326" t="s">
        <v>3110</v>
      </c>
      <c r="D23" s="3327">
        <v>30231.138999999999</v>
      </c>
      <c r="E23" s="3327">
        <v>30231.138999999999</v>
      </c>
      <c r="F23" s="3327" t="s">
        <v>3133</v>
      </c>
      <c r="G23" s="3327">
        <v>1</v>
      </c>
      <c r="H23" s="3328">
        <v>43878</v>
      </c>
      <c r="I23" s="3327">
        <v>2817.03</v>
      </c>
      <c r="J23" s="3327">
        <v>2421</v>
      </c>
      <c r="K23" s="3327">
        <v>396.03</v>
      </c>
      <c r="L23" s="3327">
        <v>932</v>
      </c>
      <c r="M23" s="3327">
        <v>932</v>
      </c>
      <c r="N23" s="3329">
        <v>0.14000000000000001</v>
      </c>
    </row>
    <row r="24" spans="2:14" ht="60">
      <c r="B24" s="3330">
        <v>2</v>
      </c>
      <c r="C24" s="3331" t="s">
        <v>3134</v>
      </c>
      <c r="D24" s="3332">
        <v>34616.870999999999</v>
      </c>
      <c r="E24" s="3332">
        <v>34616.870999999999</v>
      </c>
      <c r="F24" s="3331" t="s">
        <v>972</v>
      </c>
      <c r="G24" s="3332">
        <v>1</v>
      </c>
      <c r="H24" s="3333">
        <v>43797</v>
      </c>
      <c r="I24" s="3332">
        <v>3408.24</v>
      </c>
      <c r="J24" s="3332">
        <v>2951.3</v>
      </c>
      <c r="K24" s="3332">
        <v>456.94</v>
      </c>
      <c r="L24" s="3332">
        <v>985</v>
      </c>
      <c r="M24" s="3332">
        <v>985</v>
      </c>
      <c r="N24" s="3334">
        <v>0.13</v>
      </c>
    </row>
    <row r="25" spans="2:14" ht="72">
      <c r="B25" s="3335">
        <v>3</v>
      </c>
      <c r="C25" s="3336" t="s">
        <v>3120</v>
      </c>
      <c r="D25" s="3337">
        <v>17333</v>
      </c>
      <c r="E25" s="3337">
        <v>17333.332999999999</v>
      </c>
      <c r="F25" s="3336" t="s">
        <v>972</v>
      </c>
      <c r="G25" s="3337">
        <v>1</v>
      </c>
      <c r="H25" s="3338">
        <v>43468</v>
      </c>
      <c r="I25" s="3337">
        <v>1658.02</v>
      </c>
      <c r="J25" s="3337">
        <v>1477.76</v>
      </c>
      <c r="K25" s="3337">
        <v>180.26</v>
      </c>
      <c r="L25" s="3337">
        <v>957</v>
      </c>
      <c r="M25" s="3337">
        <v>957</v>
      </c>
      <c r="N25" s="3339">
        <v>0.11</v>
      </c>
    </row>
    <row r="26" spans="2:14" ht="72">
      <c r="B26" s="3330">
        <v>4</v>
      </c>
      <c r="C26" s="3331" t="s">
        <v>3118</v>
      </c>
      <c r="D26" s="3332">
        <v>17333</v>
      </c>
      <c r="E26" s="3332">
        <v>17333.332999999999</v>
      </c>
      <c r="F26" s="3331" t="s">
        <v>972</v>
      </c>
      <c r="G26" s="3332">
        <v>1</v>
      </c>
      <c r="H26" s="3333">
        <v>43468</v>
      </c>
      <c r="I26" s="3332">
        <v>1659.76</v>
      </c>
      <c r="J26" s="3332">
        <v>1477.76</v>
      </c>
      <c r="K26" s="3332">
        <v>182</v>
      </c>
      <c r="L26" s="3332">
        <v>958</v>
      </c>
      <c r="M26" s="3332">
        <v>958</v>
      </c>
      <c r="N26" s="3334">
        <v>0.11</v>
      </c>
    </row>
    <row r="27" spans="2:14" ht="14.25" thickBot="1">
      <c r="B27" s="3664" t="s">
        <v>3135</v>
      </c>
      <c r="C27" s="3665"/>
      <c r="D27" s="3665"/>
      <c r="E27" s="3665"/>
      <c r="F27" s="3665"/>
      <c r="G27" s="3665"/>
      <c r="H27" s="3665"/>
      <c r="I27" s="3665"/>
      <c r="J27" s="3665"/>
      <c r="K27" s="3665"/>
      <c r="L27" s="3665"/>
      <c r="M27" s="3666"/>
      <c r="N27" s="3340">
        <v>0.1225</v>
      </c>
    </row>
    <row r="28" spans="2:14" ht="14.25" thickTop="1"/>
  </sheetData>
  <mergeCells count="12">
    <mergeCell ref="N21:N22"/>
    <mergeCell ref="B27:M27"/>
    <mergeCell ref="B21:B22"/>
    <mergeCell ref="C21:C22"/>
    <mergeCell ref="E21:E22"/>
    <mergeCell ref="F21:F22"/>
    <mergeCell ref="G21:G22"/>
    <mergeCell ref="H21:H22"/>
    <mergeCell ref="J21:J22"/>
    <mergeCell ref="K21:K22"/>
    <mergeCell ref="L21:L22"/>
    <mergeCell ref="M21:M22"/>
  </mergeCells>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54" t="s">
        <v>2027</v>
      </c>
      <c r="B1" s="3354"/>
      <c r="C1" s="3354"/>
      <c r="D1" s="3354"/>
      <c r="E1" s="3354"/>
      <c r="F1" s="3354"/>
      <c r="G1" s="3354"/>
      <c r="H1" s="3354"/>
      <c r="I1" s="3354"/>
      <c r="J1" s="3354"/>
      <c r="K1" s="3354"/>
      <c r="L1" s="3354"/>
      <c r="M1" s="3354"/>
      <c r="N1" s="3354"/>
      <c r="O1" s="3354"/>
      <c r="P1" s="3354"/>
      <c r="Q1" s="3354"/>
      <c r="R1" s="3354"/>
    </row>
    <row r="2" spans="1:18">
      <c r="A2" s="1722" t="s">
        <v>2029</v>
      </c>
      <c r="B2" s="1722"/>
      <c r="C2" s="1722"/>
      <c r="D2" s="1722"/>
      <c r="E2" s="1722"/>
      <c r="F2" s="1722"/>
      <c r="G2" s="1722"/>
      <c r="H2" s="1722"/>
      <c r="I2" s="1723"/>
      <c r="J2" s="1723"/>
      <c r="K2" s="1724" t="str">
        <f>"估价期日："&amp;TEXT(项目基本情况!D3,"yyyy年m月d日;;")</f>
        <v>估价期日：2021年1月5日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55" t="s">
        <v>2018</v>
      </c>
      <c r="B3" s="3355" t="s">
        <v>2712</v>
      </c>
      <c r="C3" s="3356" t="s">
        <v>2019</v>
      </c>
      <c r="D3" s="3355" t="s">
        <v>2716</v>
      </c>
      <c r="E3" s="3358" t="s">
        <v>2020</v>
      </c>
      <c r="F3" s="3358"/>
      <c r="G3" s="3358"/>
      <c r="H3" s="3358" t="s">
        <v>2021</v>
      </c>
      <c r="I3" s="3358"/>
      <c r="J3" s="3358"/>
      <c r="K3" s="3356" t="s">
        <v>2022</v>
      </c>
      <c r="L3" s="3356" t="s">
        <v>2023</v>
      </c>
      <c r="M3" s="3355" t="s">
        <v>2713</v>
      </c>
      <c r="N3" s="3357" t="str">
        <f>"（分摊）"&amp;项目基本情况!B16&amp;"国有建设用地使用权面积/㎡"</f>
        <v>（分摊）出让国有建设用地使用权面积/㎡</v>
      </c>
      <c r="O3" s="3355" t="s">
        <v>2052</v>
      </c>
      <c r="P3" s="3356" t="s">
        <v>2032</v>
      </c>
      <c r="Q3" s="3356" t="s">
        <v>2053</v>
      </c>
      <c r="R3" s="3356" t="s">
        <v>2024</v>
      </c>
    </row>
    <row r="4" spans="1:18" ht="36.75" customHeight="1">
      <c r="A4" s="3355"/>
      <c r="B4" s="3355"/>
      <c r="C4" s="3356"/>
      <c r="D4" s="3355"/>
      <c r="E4" s="2491" t="s">
        <v>2031</v>
      </c>
      <c r="F4" s="2491" t="s">
        <v>2725</v>
      </c>
      <c r="G4" s="2491" t="s">
        <v>2025</v>
      </c>
      <c r="H4" s="2491" t="s">
        <v>2026</v>
      </c>
      <c r="I4" s="2491" t="s">
        <v>2726</v>
      </c>
      <c r="J4" s="2491" t="s">
        <v>2025</v>
      </c>
      <c r="K4" s="3356"/>
      <c r="L4" s="3356"/>
      <c r="M4" s="3355"/>
      <c r="N4" s="3357"/>
      <c r="O4" s="3355"/>
      <c r="P4" s="3356"/>
      <c r="Q4" s="3356"/>
      <c r="R4" s="3356"/>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44852.26</v>
      </c>
      <c r="O5" s="1725">
        <f>项目基本情况!C21</f>
        <v>44852.26</v>
      </c>
      <c r="P5" s="1725">
        <f ca="1">结果表!E42</f>
        <v>1486</v>
      </c>
      <c r="Q5" s="1725">
        <f ca="1">结果表!D42</f>
        <v>1486</v>
      </c>
      <c r="R5" s="1726">
        <f ca="1">结果表!C42</f>
        <v>6666</v>
      </c>
    </row>
    <row r="6" spans="1:18">
      <c r="A6" s="3359" t="str">
        <f>IF(项目基本情况!B9="市场价格","——","抵押价格")</f>
        <v>——</v>
      </c>
      <c r="B6" s="3360"/>
      <c r="C6" s="3360"/>
      <c r="D6" s="3360"/>
      <c r="E6" s="3360"/>
      <c r="F6" s="3360"/>
      <c r="G6" s="3360"/>
      <c r="H6" s="3360"/>
      <c r="I6" s="3360"/>
      <c r="J6" s="3360"/>
      <c r="K6" s="3360"/>
      <c r="L6" s="3360"/>
      <c r="M6" s="3360"/>
      <c r="N6" s="3360"/>
      <c r="O6" s="3360"/>
      <c r="P6" s="3360"/>
      <c r="Q6" s="3361"/>
      <c r="R6" s="1727" t="str">
        <f>结果表!O39</f>
        <v>——</v>
      </c>
    </row>
    <row r="7" spans="1:18">
      <c r="A7" s="3359" t="str">
        <f>IF(项目基本情况!B9="市场价格","——",IF(项目基本情况!E8="已注销及未注销","抵押担保权已注销时的抵押价格","——"))</f>
        <v>——</v>
      </c>
      <c r="B7" s="3360"/>
      <c r="C7" s="3360"/>
      <c r="D7" s="3360"/>
      <c r="E7" s="3360"/>
      <c r="F7" s="3360"/>
      <c r="G7" s="3360"/>
      <c r="H7" s="3360"/>
      <c r="I7" s="3360"/>
      <c r="J7" s="3360"/>
      <c r="K7" s="3360"/>
      <c r="L7" s="3360"/>
      <c r="M7" s="3360"/>
      <c r="N7" s="3360"/>
      <c r="O7" s="3360"/>
      <c r="P7" s="3360"/>
      <c r="Q7" s="3361"/>
      <c r="R7" s="1727" t="str">
        <f>结果表!O40</f>
        <v>——</v>
      </c>
    </row>
    <row r="8" spans="1:18">
      <c r="A8" s="3359" t="str">
        <f>IF(项目基本情况!B9="市场价格","——",项目基本情况!E9)</f>
        <v>——</v>
      </c>
      <c r="B8" s="3360"/>
      <c r="C8" s="3360"/>
      <c r="D8" s="3360"/>
      <c r="E8" s="3360"/>
      <c r="F8" s="3360"/>
      <c r="G8" s="3360"/>
      <c r="H8" s="3360"/>
      <c r="I8" s="3360"/>
      <c r="J8" s="3360"/>
      <c r="K8" s="3360"/>
      <c r="L8" s="3360"/>
      <c r="M8" s="3360"/>
      <c r="N8" s="3360"/>
      <c r="O8" s="3360"/>
      <c r="P8" s="3360"/>
      <c r="Q8" s="3361"/>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62" t="s">
        <v>2054</v>
      </c>
      <c r="B1" s="3362"/>
      <c r="C1" s="3362"/>
      <c r="D1" s="3362"/>
    </row>
    <row r="2" spans="1:4" ht="47.25" customHeight="1">
      <c r="A2" s="3366" t="str">
        <f>"1.权利限制："&amp;项目基本情况!L24&amp;"未设定租赁等其他他项权利。"</f>
        <v>1.权利限制：根据估价对象《不动产权证书》原件、《国有土地使用权》复印件，截至估价期日，估价对象抵押权未见登记。未设定租赁等其他他项权利。</v>
      </c>
      <c r="B2" s="3366"/>
      <c r="C2" s="3366"/>
      <c r="D2" s="3366"/>
    </row>
    <row r="3" spans="1:4" ht="48" customHeight="1">
      <c r="A3" s="336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62"/>
      <c r="C3" s="3362"/>
      <c r="D3" s="3362"/>
    </row>
    <row r="4" spans="1:4" ht="36.75" customHeight="1">
      <c r="A4" s="3362" t="str">
        <f>"3.估价规划限制条件：详见"&amp;项目基本情况!E21&amp;"。"</f>
        <v>3.估价规划限制条件：详见《建设工程规划许可证》[]、《出让合同》[]。</v>
      </c>
      <c r="B4" s="3362"/>
      <c r="C4" s="3362"/>
      <c r="D4" s="3362"/>
    </row>
    <row r="5" spans="1:4">
      <c r="A5" s="3365" t="s">
        <v>2055</v>
      </c>
      <c r="B5" s="3365"/>
      <c r="C5" s="3365"/>
      <c r="D5" s="3365"/>
    </row>
    <row r="6" spans="1:4">
      <c r="A6" s="3362" t="s">
        <v>2033</v>
      </c>
      <c r="B6" s="3362"/>
      <c r="C6" s="3362"/>
      <c r="D6" s="3362"/>
    </row>
    <row r="7" spans="1:4" ht="33" customHeight="1">
      <c r="A7" s="3362" t="s">
        <v>2556</v>
      </c>
      <c r="B7" s="3362"/>
      <c r="C7" s="3362"/>
      <c r="D7" s="3362"/>
    </row>
    <row r="8" spans="1:4" ht="32.25" customHeight="1">
      <c r="A8" s="336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62"/>
      <c r="C8" s="3362"/>
      <c r="D8" s="3362"/>
    </row>
    <row r="9" spans="1:4" ht="33.75" customHeight="1">
      <c r="A9" s="3362" t="str">
        <f>IF(项目基本情况!B8="抵押","3.抵押双方在办理抵押登记手续时，应使用本公司出具的正式《土地估价报告》，特提请报告使用者注意。","——")</f>
        <v>——</v>
      </c>
      <c r="B9" s="3362"/>
      <c r="C9" s="3362"/>
      <c r="D9" s="3362"/>
    </row>
    <row r="10" spans="1:4">
      <c r="A10" s="3362" t="str">
        <f>IF(项目基本情况!B8="抵押","4.估价师所知悉的法定优先受偿款情况为：","——")</f>
        <v>——</v>
      </c>
      <c r="B10" s="3362"/>
      <c r="C10" s="3362"/>
      <c r="D10" s="3362"/>
    </row>
    <row r="11" spans="1:4" ht="37.5" customHeight="1">
      <c r="A11" s="3364" t="str">
        <f>IF(项目基本情况!B8="抵押","（1）"&amp;CONCATENATE(项目基本情况!L24,项目基本情况!L25,项目基本情况!L26),"——")</f>
        <v>——</v>
      </c>
      <c r="B11" s="3364"/>
      <c r="C11" s="3364"/>
      <c r="D11" s="3364"/>
    </row>
    <row r="12" spans="1:4" ht="168" customHeight="1">
      <c r="A12" s="3365" t="s">
        <v>2057</v>
      </c>
      <c r="B12" s="3365"/>
      <c r="C12" s="3365"/>
      <c r="D12" s="3365"/>
    </row>
    <row r="13" spans="1:4">
      <c r="A13" s="3363" t="s">
        <v>2727</v>
      </c>
      <c r="B13" s="3363"/>
      <c r="C13" s="3363"/>
      <c r="D13" s="3363"/>
    </row>
    <row r="14" spans="1:4">
      <c r="A14" s="3364" t="str">
        <f>IF(项目基本情况!B8="抵押","综上，"&amp;结果表!K47,"——")</f>
        <v>——</v>
      </c>
      <c r="B14" s="3364"/>
      <c r="C14" s="3364"/>
      <c r="D14" s="3364"/>
    </row>
    <row r="15" spans="1:4" ht="58.5" customHeight="1">
      <c r="A15" s="336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62"/>
      <c r="C15" s="3362"/>
      <c r="D15" s="3362"/>
    </row>
    <row r="16" spans="1:4" ht="70.5" customHeight="1">
      <c r="A16" s="336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62"/>
      <c r="C16" s="3362"/>
      <c r="D16" s="3362"/>
    </row>
    <row r="17" spans="1:4">
      <c r="A17" s="3362" t="s">
        <v>2683</v>
      </c>
      <c r="B17" s="3362"/>
      <c r="C17" s="3362"/>
      <c r="D17" s="3362"/>
    </row>
    <row r="18" spans="1:4">
      <c r="A18" s="3362" t="s">
        <v>2675</v>
      </c>
      <c r="B18" s="3362"/>
      <c r="C18" s="3362"/>
      <c r="D18" s="3362"/>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362" t="s">
        <v>2680</v>
      </c>
      <c r="B23" s="3362"/>
      <c r="C23" s="3362"/>
      <c r="D23" s="3362"/>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74" t="s">
        <v>53</v>
      </c>
      <c r="B15" s="3375" t="s">
        <v>838</v>
      </c>
      <c r="C15" s="3371"/>
    </row>
    <row r="16" spans="1:7" ht="14.25">
      <c r="A16" s="3374"/>
      <c r="B16" s="3372" t="s">
        <v>54</v>
      </c>
      <c r="C16" s="1155" t="s">
        <v>53</v>
      </c>
    </row>
    <row r="17" spans="1:3" ht="14.25">
      <c r="A17" s="3374"/>
      <c r="B17" s="3372"/>
      <c r="C17" s="1155" t="s">
        <v>55</v>
      </c>
    </row>
    <row r="18" spans="1:3" ht="14.25">
      <c r="A18" s="3374"/>
      <c r="B18" s="3372"/>
      <c r="C18" s="1155" t="s">
        <v>56</v>
      </c>
    </row>
    <row r="19" spans="1:3" ht="14.25">
      <c r="A19" s="3374"/>
      <c r="B19" s="3370" t="s">
        <v>57</v>
      </c>
      <c r="C19" s="3371"/>
    </row>
    <row r="20" spans="1:3" ht="14.25">
      <c r="A20" s="1156" t="s">
        <v>58</v>
      </c>
      <c r="B20" s="1157"/>
      <c r="C20" s="1158"/>
    </row>
    <row r="21" spans="1:3" ht="14.25">
      <c r="A21" s="3373" t="s">
        <v>59</v>
      </c>
      <c r="B21" s="3370" t="s">
        <v>60</v>
      </c>
      <c r="C21" s="3371"/>
    </row>
    <row r="22" spans="1:3" ht="14.25">
      <c r="A22" s="3373"/>
      <c r="B22" s="3370" t="s">
        <v>61</v>
      </c>
      <c r="C22" s="3371"/>
    </row>
    <row r="23" spans="1:3" ht="14.25">
      <c r="A23" s="3373"/>
      <c r="B23" s="3370" t="s">
        <v>62</v>
      </c>
      <c r="C23" s="3371"/>
    </row>
    <row r="24" spans="1:3" ht="14.25">
      <c r="A24" s="3373"/>
      <c r="B24" s="3376" t="s">
        <v>63</v>
      </c>
      <c r="C24" s="1159" t="s">
        <v>829</v>
      </c>
    </row>
    <row r="25" spans="1:3" ht="14.25">
      <c r="A25" s="3373"/>
      <c r="B25" s="3377"/>
      <c r="C25" s="1159" t="s">
        <v>830</v>
      </c>
    </row>
    <row r="26" spans="1:3" ht="14.25">
      <c r="A26" s="3373"/>
      <c r="B26" s="3377"/>
      <c r="C26" s="1159" t="s">
        <v>831</v>
      </c>
    </row>
    <row r="27" spans="1:3" ht="14.25">
      <c r="A27" s="3373"/>
      <c r="B27" s="3377"/>
      <c r="C27" s="1159" t="s">
        <v>832</v>
      </c>
    </row>
    <row r="28" spans="1:3" ht="14.25">
      <c r="A28" s="3373"/>
      <c r="B28" s="3377"/>
      <c r="C28" s="1159" t="s">
        <v>833</v>
      </c>
    </row>
    <row r="29" spans="1:3" ht="14.25">
      <c r="A29" s="3373"/>
      <c r="B29" s="3377"/>
      <c r="C29" s="1159" t="s">
        <v>834</v>
      </c>
    </row>
    <row r="30" spans="1:3" ht="14.25">
      <c r="A30" s="3373"/>
      <c r="B30" s="3377"/>
      <c r="C30" s="1159" t="s">
        <v>835</v>
      </c>
    </row>
    <row r="31" spans="1:3" ht="14.25">
      <c r="A31" s="3373"/>
      <c r="B31" s="3377"/>
      <c r="C31" s="1159" t="s">
        <v>836</v>
      </c>
    </row>
    <row r="32" spans="1:3" ht="14.25">
      <c r="A32" s="3373"/>
      <c r="B32" s="3377"/>
      <c r="C32" s="1159" t="s">
        <v>1637</v>
      </c>
    </row>
    <row r="33" spans="1:3" ht="14.25">
      <c r="A33" s="3373"/>
      <c r="B33" s="3367" t="s">
        <v>1643</v>
      </c>
      <c r="C33" s="1159" t="s">
        <v>1638</v>
      </c>
    </row>
    <row r="34" spans="1:3" ht="14.25">
      <c r="A34" s="3373"/>
      <c r="B34" s="3368"/>
      <c r="C34" s="1164" t="s">
        <v>1639</v>
      </c>
    </row>
    <row r="35" spans="1:3" ht="14.25">
      <c r="A35" s="3373"/>
      <c r="B35" s="3368"/>
      <c r="C35" s="1165" t="s">
        <v>1640</v>
      </c>
    </row>
    <row r="36" spans="1:3" ht="14.25">
      <c r="A36" s="3373"/>
      <c r="B36" s="3368"/>
      <c r="C36" s="1165" t="s">
        <v>1641</v>
      </c>
    </row>
    <row r="37" spans="1:3" ht="14.25">
      <c r="A37" s="3373"/>
      <c r="B37" s="3369"/>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44316</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2946</v>
      </c>
      <c r="B12" s="3030">
        <f ca="1">IF(C12&lt;B2,"已过期",1120040230)</f>
        <v>1120040230</v>
      </c>
      <c r="C12" s="3033">
        <v>44864</v>
      </c>
      <c r="D12" s="3041" t="s">
        <v>2947</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2958</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81" t="s">
        <v>1915</v>
      </c>
      <c r="B17" s="3382"/>
      <c r="C17" s="3382"/>
      <c r="D17" s="3382"/>
      <c r="E17" s="3382"/>
      <c r="F17" s="3382"/>
      <c r="G17" s="3034"/>
    </row>
    <row r="18" spans="1:7" ht="20.25" customHeight="1">
      <c r="A18" s="3378" t="s">
        <v>1916</v>
      </c>
      <c r="B18" s="3378"/>
      <c r="C18" s="3379"/>
      <c r="D18" s="3380" t="s">
        <v>1917</v>
      </c>
      <c r="E18" s="3378"/>
      <c r="F18" s="3378"/>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2957</v>
      </c>
      <c r="F21" s="3038">
        <v>44012</v>
      </c>
      <c r="G21" s="3026"/>
    </row>
    <row r="22" spans="1:7" ht="20.25" customHeight="1">
      <c r="A22" s="3025"/>
      <c r="B22" s="3025"/>
      <c r="C22" s="3039"/>
      <c r="D22" s="3047"/>
      <c r="E22" s="3048"/>
      <c r="F22" s="3040" t="s">
        <v>2971</v>
      </c>
      <c r="G22" s="3025"/>
    </row>
  </sheetData>
  <sheetProtection password="CEE9" sheet="1" objects="1" scenarios="1"/>
  <mergeCells count="3">
    <mergeCell ref="A18:C18"/>
    <mergeCell ref="D18:F18"/>
    <mergeCell ref="A17:F17"/>
  </mergeCells>
  <phoneticPr fontId="4"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2922</v>
      </c>
      <c r="C18" s="1493"/>
    </row>
    <row r="19" spans="1:3">
      <c r="A19" s="8" t="s">
        <v>120</v>
      </c>
      <c r="B19" s="2792" t="s">
        <v>2929</v>
      </c>
      <c r="C19" s="1493"/>
    </row>
    <row r="20" spans="1:3">
      <c r="A20" s="8" t="s">
        <v>121</v>
      </c>
      <c r="B20" s="2792" t="s">
        <v>2972</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83"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c r="D53" s="1685"/>
      <c r="E53" s="1685"/>
    </row>
    <row r="54" spans="1:5">
      <c r="A54" s="3383"/>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83"/>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83"/>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83"/>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结果一览表</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2021-04-30T07:26:49Z</dcterms:modified>
</cp:coreProperties>
</file>