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75" windowWidth="16665" windowHeight="8835" tabRatio="875" firstSheet="9"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结果一览表" sheetId="69" r:id="rId42"/>
    <sheet name="Sheet2"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1" l="1"/>
  <c r="F20" i="11" l="1"/>
  <c r="O3" i="70"/>
  <c r="N3" i="70"/>
  <c r="O2" i="70"/>
  <c r="N2" i="70"/>
  <c r="C9" i="69" l="1"/>
  <c r="C4" i="69" l="1"/>
  <c r="I36" i="40"/>
  <c r="G36" i="40"/>
  <c r="E36" i="40"/>
  <c r="C36" i="40"/>
  <c r="I43" i="40"/>
  <c r="G43" i="40"/>
  <c r="E43" i="40"/>
  <c r="O69" i="40"/>
  <c r="E69" i="40"/>
  <c r="E68" i="40" s="1"/>
  <c r="F68" i="40" s="1"/>
  <c r="G68" i="40" s="1"/>
  <c r="H68" i="40" s="1"/>
  <c r="I68" i="40" s="1"/>
  <c r="J68" i="40" s="1"/>
  <c r="K68" i="40" s="1"/>
  <c r="L68" i="40" s="1"/>
  <c r="M68" i="40" s="1"/>
  <c r="N68" i="40" s="1"/>
  <c r="O68" i="40" s="1"/>
  <c r="F69" i="40"/>
  <c r="G69" i="40"/>
  <c r="H69" i="40"/>
  <c r="I69" i="40"/>
  <c r="J69" i="40"/>
  <c r="K69" i="40"/>
  <c r="L69" i="40"/>
  <c r="M69" i="40"/>
  <c r="N69" i="40"/>
  <c r="I8" i="40"/>
  <c r="G8" i="40"/>
  <c r="E8" i="40"/>
  <c r="D5" i="9" l="1"/>
  <c r="V10" i="68"/>
  <c r="F1" i="46"/>
  <c r="D29" i="46" s="1"/>
  <c r="I13" i="3"/>
  <c r="F19" i="6" s="1"/>
  <c r="AH5" i="59"/>
  <c r="AG5" i="59"/>
  <c r="AE5" i="59"/>
  <c r="AF5" i="59"/>
  <c r="AD5" i="59"/>
  <c r="Q5" i="59"/>
  <c r="P5" i="59"/>
  <c r="O5" i="59"/>
  <c r="N5" i="59"/>
  <c r="AH6" i="59"/>
  <c r="AG6" i="59"/>
  <c r="AE6" i="59"/>
  <c r="AF6" i="59" s="1"/>
  <c r="AD6" i="59"/>
  <c r="Q6" i="59"/>
  <c r="P6" i="59"/>
  <c r="O6" i="59"/>
  <c r="N6" i="59"/>
  <c r="F25" i="12"/>
  <c r="C25" i="12"/>
  <c r="C16" i="11"/>
  <c r="C15" i="11"/>
  <c r="C14" i="11"/>
  <c r="C9" i="11"/>
  <c r="K36" i="36"/>
  <c r="K38" i="35"/>
  <c r="K42" i="37"/>
  <c r="K49" i="34"/>
  <c r="K48" i="33"/>
  <c r="K48" i="21"/>
  <c r="K44" i="40"/>
  <c r="K49" i="39"/>
  <c r="E77" i="9"/>
  <c r="F77" i="9"/>
  <c r="AH7" i="59"/>
  <c r="AG7" i="59"/>
  <c r="AE7" i="59"/>
  <c r="AF7" i="59"/>
  <c r="AD7" i="59"/>
  <c r="Q7" i="59"/>
  <c r="P7" i="59"/>
  <c r="O7" i="59"/>
  <c r="N7" i="59"/>
  <c r="A21" i="31"/>
  <c r="C109" i="9"/>
  <c r="AH8" i="59"/>
  <c r="AG8" i="59"/>
  <c r="AE8" i="59"/>
  <c r="AF8" i="59"/>
  <c r="AD8" i="59"/>
  <c r="Q8" i="59"/>
  <c r="P8" i="59"/>
  <c r="O8" i="59"/>
  <c r="N8" i="59"/>
  <c r="Q10" i="59"/>
  <c r="P10" i="59"/>
  <c r="O10" i="59"/>
  <c r="N10" i="59"/>
  <c r="AH9" i="59"/>
  <c r="AG9" i="59"/>
  <c r="AE9" i="59"/>
  <c r="AF9" i="59"/>
  <c r="AD9" i="59"/>
  <c r="Q9" i="59"/>
  <c r="P9" i="59"/>
  <c r="O9" i="59"/>
  <c r="N9" i="59"/>
  <c r="AH10" i="59"/>
  <c r="AG10" i="59"/>
  <c r="AE10" i="59"/>
  <c r="AF10" i="59"/>
  <c r="AD10" i="59"/>
  <c r="Q11" i="59"/>
  <c r="Q12" i="59"/>
  <c r="P11" i="59"/>
  <c r="P12" i="59"/>
  <c r="O11" i="59"/>
  <c r="O12" i="59"/>
  <c r="N11" i="59"/>
  <c r="N12" i="59"/>
  <c r="AH11" i="59"/>
  <c r="AG11" i="59"/>
  <c r="AE11" i="59"/>
  <c r="AF11" i="59"/>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c r="I3" i="59"/>
  <c r="AD3" i="59"/>
  <c r="AH14" i="59"/>
  <c r="AG14" i="59"/>
  <c r="AE14" i="59"/>
  <c r="AF14" i="59"/>
  <c r="AD14" i="59"/>
  <c r="Q14" i="59"/>
  <c r="Q15" i="59"/>
  <c r="P14" i="59"/>
  <c r="P15" i="59"/>
  <c r="O14" i="59"/>
  <c r="O15" i="59"/>
  <c r="N14" i="59"/>
  <c r="N15" i="59"/>
  <c r="AH15" i="59"/>
  <c r="AG15" i="59"/>
  <c r="AE15" i="59"/>
  <c r="AF15" i="59" s="1"/>
  <c r="AD15" i="59"/>
  <c r="Q16" i="59"/>
  <c r="P16" i="59"/>
  <c r="O16" i="59"/>
  <c r="N16" i="59"/>
  <c r="J50" i="15"/>
  <c r="J51" i="15" s="1"/>
  <c r="D18" i="59"/>
  <c r="AH16" i="59"/>
  <c r="AG16" i="59"/>
  <c r="AE16" i="59"/>
  <c r="AF16" i="59"/>
  <c r="AD16" i="59"/>
  <c r="AE17" i="59"/>
  <c r="AF17" i="59" s="1"/>
  <c r="AG17" i="59"/>
  <c r="AH17" i="59"/>
  <c r="AD17" i="59"/>
  <c r="Q17" i="59"/>
  <c r="P17" i="59"/>
  <c r="O17" i="59"/>
  <c r="N17" i="59"/>
  <c r="N18" i="59"/>
  <c r="Q18" i="59"/>
  <c r="P18" i="59"/>
  <c r="O18" i="59"/>
  <c r="L4" i="9"/>
  <c r="M4" i="9"/>
  <c r="A30" i="51" s="1"/>
  <c r="A30" i="64"/>
  <c r="K59" i="15"/>
  <c r="P62" i="15"/>
  <c r="P75" i="15"/>
  <c r="Q74" i="44"/>
  <c r="Q61" i="44"/>
  <c r="Q60" i="44"/>
  <c r="Q53" i="44"/>
  <c r="J51" i="44"/>
  <c r="J52" i="44" s="1"/>
  <c r="M48" i="44"/>
  <c r="A16" i="55"/>
  <c r="A15" i="55"/>
  <c r="B66" i="63" s="1"/>
  <c r="A14" i="55"/>
  <c r="A11" i="55"/>
  <c r="A10" i="55"/>
  <c r="B61" i="63" s="1"/>
  <c r="A9" i="55"/>
  <c r="B60" i="63"/>
  <c r="A8" i="55"/>
  <c r="A6" i="54"/>
  <c r="A8" i="54"/>
  <c r="A7" i="54"/>
  <c r="B51" i="63" s="1"/>
  <c r="A28" i="51"/>
  <c r="A27" i="51"/>
  <c r="B20" i="63"/>
  <c r="Q19" i="59"/>
  <c r="O19" i="59"/>
  <c r="N20" i="59"/>
  <c r="O20" i="59"/>
  <c r="P20" i="59"/>
  <c r="Q20" i="59"/>
  <c r="N19" i="59"/>
  <c r="P19" i="59"/>
  <c r="F21" i="59"/>
  <c r="K75" i="9"/>
  <c r="K6" i="4"/>
  <c r="K76" i="9" s="1"/>
  <c r="O76" i="9"/>
  <c r="L76" i="9"/>
  <c r="B22" i="31"/>
  <c r="E15" i="66"/>
  <c r="F15" i="66"/>
  <c r="E16" i="66"/>
  <c r="F16" i="66"/>
  <c r="E17" i="66"/>
  <c r="F17" i="66"/>
  <c r="E18" i="66"/>
  <c r="F18" i="66"/>
  <c r="E19" i="66"/>
  <c r="F19" i="66"/>
  <c r="E20" i="66"/>
  <c r="F20" i="66"/>
  <c r="E21" i="66"/>
  <c r="F21" i="66"/>
  <c r="E22" i="66"/>
  <c r="F22" i="66"/>
  <c r="E23" i="66"/>
  <c r="F23" i="66"/>
  <c r="B3" i="66"/>
  <c r="V21" i="59"/>
  <c r="B17" i="59"/>
  <c r="F20" i="59"/>
  <c r="F17" i="59"/>
  <c r="V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3" i="65"/>
  <c r="C1" i="65"/>
  <c r="N1" i="65" s="1"/>
  <c r="B76" i="63"/>
  <c r="M5" i="54"/>
  <c r="A23" i="51"/>
  <c r="Y12" i="46"/>
  <c r="AA9" i="46"/>
  <c r="AA12" i="46" s="1"/>
  <c r="AB9" i="46"/>
  <c r="AB10" i="46"/>
  <c r="AC9" i="46"/>
  <c r="AD9" i="46"/>
  <c r="AD10" i="46" s="1"/>
  <c r="AE9" i="46"/>
  <c r="AE10" i="46" s="1"/>
  <c r="AF9" i="46"/>
  <c r="AF10" i="46"/>
  <c r="AG9" i="46"/>
  <c r="AH9" i="46"/>
  <c r="AH10" i="46" s="1"/>
  <c r="AI9" i="46"/>
  <c r="AJ9" i="46"/>
  <c r="AJ10" i="46" s="1"/>
  <c r="Z9" i="46"/>
  <c r="Z10" i="46"/>
  <c r="AG10" i="46"/>
  <c r="AC10" i="46"/>
  <c r="AA10" i="46"/>
  <c r="Y10" i="46"/>
  <c r="Z12" i="46"/>
  <c r="AG12" i="46"/>
  <c r="AE12" i="46"/>
  <c r="AC12" i="46"/>
  <c r="B75" i="63"/>
  <c r="B73" i="63"/>
  <c r="A21" i="64"/>
  <c r="A27" i="64"/>
  <c r="A15" i="64"/>
  <c r="A14" i="64"/>
  <c r="A11" i="64"/>
  <c r="A3" i="64"/>
  <c r="A45" i="9"/>
  <c r="K40" i="9" s="1"/>
  <c r="A44" i="9"/>
  <c r="C57" i="10"/>
  <c r="A28" i="64" s="1"/>
  <c r="C56" i="10"/>
  <c r="A26" i="64" s="1"/>
  <c r="C55" i="10"/>
  <c r="C54" i="10"/>
  <c r="B49" i="63"/>
  <c r="B44" i="63"/>
  <c r="B40" i="63"/>
  <c r="B30" i="63"/>
  <c r="B27" i="63"/>
  <c r="B25" i="63"/>
  <c r="A11" i="51"/>
  <c r="B10" i="63" s="1"/>
  <c r="A26" i="51"/>
  <c r="B19" i="63"/>
  <c r="K39" i="9"/>
  <c r="B58" i="63"/>
  <c r="B53"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c r="R2" i="54"/>
  <c r="B24" i="63"/>
  <c r="B49" i="50"/>
  <c r="B5" i="63"/>
  <c r="B40" i="50"/>
  <c r="B3" i="63"/>
  <c r="N4" i="63"/>
  <c r="B21" i="63"/>
  <c r="B67" i="63"/>
  <c r="I19" i="46"/>
  <c r="Q21" i="59"/>
  <c r="P21" i="59"/>
  <c r="O21" i="59"/>
  <c r="N21" i="59"/>
  <c r="B21" i="59" s="1"/>
  <c r="D82" i="59"/>
  <c r="F81" i="59"/>
  <c r="F80" i="59" s="1"/>
  <c r="F79" i="59" s="1"/>
  <c r="E81" i="59"/>
  <c r="E80" i="59"/>
  <c r="E79" i="59" s="1"/>
  <c r="C81" i="59"/>
  <c r="D81" i="59"/>
  <c r="B81" i="59"/>
  <c r="B80" i="59"/>
  <c r="B79" i="59"/>
  <c r="D78" i="59"/>
  <c r="F77" i="59"/>
  <c r="F76" i="59" s="1"/>
  <c r="E77" i="59"/>
  <c r="E76" i="59"/>
  <c r="E75" i="59" s="1"/>
  <c r="C77" i="59"/>
  <c r="D77" i="59"/>
  <c r="B77" i="59"/>
  <c r="B76" i="59" s="1"/>
  <c r="B75" i="59" s="1"/>
  <c r="F75" i="59"/>
  <c r="D74" i="59"/>
  <c r="Q73" i="59"/>
  <c r="P73" i="59"/>
  <c r="O73" i="59"/>
  <c r="N73" i="59"/>
  <c r="F73" i="59"/>
  <c r="V73" i="59" s="1"/>
  <c r="E73" i="59"/>
  <c r="U73" i="59" s="1"/>
  <c r="C73" i="59"/>
  <c r="D73" i="59" s="1"/>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c r="C69" i="59"/>
  <c r="D69" i="59" s="1"/>
  <c r="B69" i="59"/>
  <c r="S69" i="59"/>
  <c r="Q68" i="59"/>
  <c r="P68" i="59"/>
  <c r="O68" i="59"/>
  <c r="N68" i="59"/>
  <c r="F68" i="59"/>
  <c r="F67" i="59" s="1"/>
  <c r="B68" i="59"/>
  <c r="B67" i="59"/>
  <c r="Q67" i="59"/>
  <c r="P67" i="59"/>
  <c r="O67" i="59"/>
  <c r="N67" i="59"/>
  <c r="Q66" i="59"/>
  <c r="P66" i="59"/>
  <c r="O66" i="59"/>
  <c r="N66" i="59"/>
  <c r="D66" i="59"/>
  <c r="Q65" i="59"/>
  <c r="P65" i="59"/>
  <c r="O65" i="59"/>
  <c r="N65" i="59"/>
  <c r="F65" i="59"/>
  <c r="E65" i="59"/>
  <c r="U65" i="59" s="1"/>
  <c r="C65" i="59"/>
  <c r="B65" i="59"/>
  <c r="B64" i="59" s="1"/>
  <c r="B63" i="59" s="1"/>
  <c r="Q64" i="59"/>
  <c r="P64" i="59"/>
  <c r="O64" i="59"/>
  <c r="N64" i="59"/>
  <c r="Q63" i="59"/>
  <c r="P63" i="59"/>
  <c r="O63" i="59"/>
  <c r="N63" i="59"/>
  <c r="Q62" i="59"/>
  <c r="P62" i="59"/>
  <c r="O62" i="59"/>
  <c r="N62" i="59"/>
  <c r="D62" i="59"/>
  <c r="F61" i="59"/>
  <c r="V61" i="59"/>
  <c r="E61" i="59"/>
  <c r="E60" i="59"/>
  <c r="P60" i="59" s="1"/>
  <c r="C61" i="59"/>
  <c r="B61" i="59"/>
  <c r="N61" i="59"/>
  <c r="F60" i="59"/>
  <c r="F59" i="59"/>
  <c r="Q58" i="59" s="1"/>
  <c r="Q59" i="59"/>
  <c r="B60" i="59"/>
  <c r="B59" i="59" s="1"/>
  <c r="D58" i="59"/>
  <c r="Q57" i="59"/>
  <c r="P57" i="59"/>
  <c r="O57" i="59"/>
  <c r="N57" i="59"/>
  <c r="Q56" i="59"/>
  <c r="P56" i="59"/>
  <c r="O56" i="59"/>
  <c r="N56" i="59"/>
  <c r="Q55" i="59"/>
  <c r="P55" i="59"/>
  <c r="O55" i="59"/>
  <c r="N55" i="59"/>
  <c r="B56" i="59" s="1"/>
  <c r="B57" i="59" s="1"/>
  <c r="S57" i="59" s="1"/>
  <c r="Q54" i="59"/>
  <c r="F55" i="59"/>
  <c r="F56" i="59" s="1"/>
  <c r="P54" i="59"/>
  <c r="E55" i="59"/>
  <c r="E56" i="59" s="1"/>
  <c r="E57" i="59" s="1"/>
  <c r="U57" i="59" s="1"/>
  <c r="O54" i="59"/>
  <c r="C55" i="59"/>
  <c r="N54" i="59"/>
  <c r="B55" i="59" s="1"/>
  <c r="D54" i="59"/>
  <c r="Q53" i="59"/>
  <c r="P53" i="59"/>
  <c r="O53" i="59"/>
  <c r="N53" i="59"/>
  <c r="Q52" i="59"/>
  <c r="P52" i="59"/>
  <c r="O52" i="59"/>
  <c r="N52" i="59"/>
  <c r="Q51" i="59"/>
  <c r="P51" i="59"/>
  <c r="O51" i="59"/>
  <c r="C52" i="59" s="1"/>
  <c r="C53" i="59" s="1"/>
  <c r="N51" i="59"/>
  <c r="Q50" i="59"/>
  <c r="F51" i="59"/>
  <c r="P50" i="59"/>
  <c r="E51" i="59" s="1"/>
  <c r="E52" i="59" s="1"/>
  <c r="E53" i="59"/>
  <c r="U53" i="59" s="1"/>
  <c r="O50" i="59"/>
  <c r="C51" i="59"/>
  <c r="N50" i="59"/>
  <c r="B51" i="59" s="1"/>
  <c r="B52" i="59" s="1"/>
  <c r="B53" i="59" s="1"/>
  <c r="S53" i="59" s="1"/>
  <c r="D50" i="59"/>
  <c r="Q49" i="59"/>
  <c r="P49" i="59"/>
  <c r="O49" i="59"/>
  <c r="N49" i="59"/>
  <c r="Q48" i="59"/>
  <c r="P48" i="59"/>
  <c r="O48" i="59"/>
  <c r="N48" i="59"/>
  <c r="Q47" i="59"/>
  <c r="P47" i="59"/>
  <c r="O47" i="59"/>
  <c r="N47" i="59"/>
  <c r="Q46" i="59"/>
  <c r="F47" i="59"/>
  <c r="P46" i="59"/>
  <c r="E47" i="59"/>
  <c r="E48" i="59" s="1"/>
  <c r="E49" i="59"/>
  <c r="U49" i="59" s="1"/>
  <c r="O46" i="59"/>
  <c r="C47" i="59" s="1"/>
  <c r="N46" i="59"/>
  <c r="B47" i="59"/>
  <c r="B48" i="59" s="1"/>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c r="C44" i="59" s="1"/>
  <c r="D44" i="59" s="1"/>
  <c r="N42" i="59"/>
  <c r="B43" i="59"/>
  <c r="B44"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C40" i="59" s="1"/>
  <c r="D40" i="59" s="1"/>
  <c r="N38" i="59"/>
  <c r="B39" i="59" s="1"/>
  <c r="B40" i="59"/>
  <c r="B41" i="59"/>
  <c r="S41" i="59"/>
  <c r="D38" i="59"/>
  <c r="Q37" i="59"/>
  <c r="P37" i="59"/>
  <c r="O37" i="59"/>
  <c r="N37" i="59"/>
  <c r="Q36" i="59"/>
  <c r="P36" i="59"/>
  <c r="O36" i="59"/>
  <c r="N36" i="59"/>
  <c r="Q35" i="59"/>
  <c r="P35" i="59"/>
  <c r="O35" i="59"/>
  <c r="C36" i="59" s="1"/>
  <c r="N35" i="59"/>
  <c r="Q34" i="59"/>
  <c r="F35" i="59"/>
  <c r="F36" i="59" s="1"/>
  <c r="P34" i="59"/>
  <c r="E35" i="59" s="1"/>
  <c r="E36" i="59" s="1"/>
  <c r="E37" i="59" s="1"/>
  <c r="U37" i="59" s="1"/>
  <c r="O34" i="59"/>
  <c r="C35" i="59"/>
  <c r="D35" i="59" s="1"/>
  <c r="N34" i="59"/>
  <c r="B35" i="59"/>
  <c r="B36" i="59" s="1"/>
  <c r="B37" i="59"/>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F31" i="59"/>
  <c r="P30" i="59"/>
  <c r="E31" i="59"/>
  <c r="O30" i="59"/>
  <c r="N30" i="59"/>
  <c r="X30" i="59" s="1"/>
  <c r="B31" i="59"/>
  <c r="B32" i="59"/>
  <c r="B33" i="59" s="1"/>
  <c r="S33" i="59" s="1"/>
  <c r="D30" i="59"/>
  <c r="Q29" i="59"/>
  <c r="AB29" i="59" s="1"/>
  <c r="P29" i="59"/>
  <c r="O29" i="59"/>
  <c r="Y29" i="59" s="1"/>
  <c r="Z29" i="59" s="1"/>
  <c r="N29" i="59"/>
  <c r="X29" i="59" s="1"/>
  <c r="Q28" i="59"/>
  <c r="AB28" i="59" s="1"/>
  <c r="P28" i="59"/>
  <c r="O28" i="59"/>
  <c r="Y28" i="59" s="1"/>
  <c r="Z28" i="59" s="1"/>
  <c r="N28" i="59"/>
  <c r="X28" i="59" s="1"/>
  <c r="Q27" i="59"/>
  <c r="AB27" i="59" s="1"/>
  <c r="P27" i="59"/>
  <c r="AA27" i="59" s="1"/>
  <c r="O27" i="59"/>
  <c r="Y27" i="59" s="1"/>
  <c r="Z27" i="59" s="1"/>
  <c r="N27" i="59"/>
  <c r="X27" i="59" s="1"/>
  <c r="Q26" i="59"/>
  <c r="P26" i="59"/>
  <c r="AA26" i="59" s="1"/>
  <c r="O26" i="59"/>
  <c r="Y26" i="59" s="1"/>
  <c r="Z26" i="59" s="1"/>
  <c r="N26" i="59"/>
  <c r="X26" i="59" s="1"/>
  <c r="B27" i="59"/>
  <c r="B28" i="59"/>
  <c r="B29" i="59" s="1"/>
  <c r="S29" i="59" s="1"/>
  <c r="D26" i="59"/>
  <c r="Q25" i="59"/>
  <c r="AB25" i="59" s="1"/>
  <c r="P25" i="59"/>
  <c r="AA25" i="59" s="1"/>
  <c r="O25" i="59"/>
  <c r="N25" i="59"/>
  <c r="X25" i="59" s="1"/>
  <c r="Q24" i="59"/>
  <c r="AB24" i="59" s="1"/>
  <c r="P24" i="59"/>
  <c r="AA24" i="59" s="1"/>
  <c r="O24" i="59"/>
  <c r="N24" i="59"/>
  <c r="X24" i="59" s="1"/>
  <c r="Q23" i="59"/>
  <c r="AB23" i="59" s="1"/>
  <c r="P23" i="59"/>
  <c r="AA23" i="59" s="1"/>
  <c r="O23" i="59"/>
  <c r="N23" i="59"/>
  <c r="X23" i="59" s="1"/>
  <c r="Q22" i="59"/>
  <c r="AB22" i="59" s="1"/>
  <c r="F23" i="59"/>
  <c r="P22" i="59"/>
  <c r="O22" i="59"/>
  <c r="C23" i="59"/>
  <c r="D23" i="59" s="1"/>
  <c r="N22" i="59"/>
  <c r="D22" i="59"/>
  <c r="E23" i="59"/>
  <c r="E24" i="59"/>
  <c r="E25" i="59" s="1"/>
  <c r="U25" i="59" s="1"/>
  <c r="B45" i="59"/>
  <c r="S45" i="59"/>
  <c r="E44" i="59"/>
  <c r="E45" i="59" s="1"/>
  <c r="U45" i="59"/>
  <c r="S61" i="59"/>
  <c r="F24" i="59"/>
  <c r="F25" i="59" s="1"/>
  <c r="V25" i="59" s="1"/>
  <c r="F32" i="59"/>
  <c r="F33" i="59" s="1"/>
  <c r="F37" i="59"/>
  <c r="V37" i="59"/>
  <c r="F40" i="59"/>
  <c r="F41" i="59" s="1"/>
  <c r="V41" i="59"/>
  <c r="F48" i="59"/>
  <c r="F49" i="59"/>
  <c r="V49" i="59" s="1"/>
  <c r="F52" i="59"/>
  <c r="F53" i="59"/>
  <c r="V53" i="59"/>
  <c r="F57" i="59"/>
  <c r="V57" i="59" s="1"/>
  <c r="C24" i="59"/>
  <c r="D39" i="59"/>
  <c r="D43" i="59"/>
  <c r="C48" i="59"/>
  <c r="D47" i="59"/>
  <c r="D51" i="59"/>
  <c r="C56" i="59"/>
  <c r="D55" i="59"/>
  <c r="E59" i="59"/>
  <c r="P58" i="59" s="1"/>
  <c r="N60" i="59"/>
  <c r="Q60" i="59"/>
  <c r="T61" i="59"/>
  <c r="O61" i="59"/>
  <c r="D61" i="59"/>
  <c r="C60" i="59"/>
  <c r="C59" i="59" s="1"/>
  <c r="P61" i="59"/>
  <c r="U61" i="59"/>
  <c r="Q61" i="59"/>
  <c r="C64" i="59"/>
  <c r="E64" i="59"/>
  <c r="E63" i="59"/>
  <c r="E68" i="59"/>
  <c r="E67" i="59"/>
  <c r="C72" i="59"/>
  <c r="D72" i="59" s="1"/>
  <c r="C76" i="59"/>
  <c r="C75" i="59" s="1"/>
  <c r="C80" i="59"/>
  <c r="C79" i="59" s="1"/>
  <c r="D79" i="59" s="1"/>
  <c r="U16" i="4"/>
  <c r="S16" i="4"/>
  <c r="Q16" i="4"/>
  <c r="O16" i="4"/>
  <c r="N16" i="4" s="1"/>
  <c r="M16" i="4"/>
  <c r="L16" i="4" s="1"/>
  <c r="K16" i="4"/>
  <c r="P59" i="59"/>
  <c r="C71" i="59"/>
  <c r="D71" i="59" s="1"/>
  <c r="D64" i="59"/>
  <c r="C63" i="59"/>
  <c r="D63" i="59"/>
  <c r="O60" i="59"/>
  <c r="D60" i="59"/>
  <c r="D75" i="59"/>
  <c r="N58" i="59"/>
  <c r="N59" i="59"/>
  <c r="C57" i="59"/>
  <c r="D56" i="59"/>
  <c r="D52" i="59"/>
  <c r="C49" i="59"/>
  <c r="D49" i="59" s="1"/>
  <c r="D48" i="59"/>
  <c r="C45" i="59"/>
  <c r="C25" i="59"/>
  <c r="D25" i="59" s="1"/>
  <c r="D24" i="59"/>
  <c r="T53" i="59"/>
  <c r="D53" i="59"/>
  <c r="T45" i="59"/>
  <c r="D45" i="59"/>
  <c r="T57" i="59"/>
  <c r="D57" i="59"/>
  <c r="O59" i="59"/>
  <c r="D59" i="59"/>
  <c r="O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S21" i="34" s="1"/>
  <c r="Z21" i="33"/>
  <c r="Q21" i="33"/>
  <c r="C21" i="33"/>
  <c r="D83" i="33"/>
  <c r="E83" i="33" s="1"/>
  <c r="F83" i="33" s="1"/>
  <c r="G83" i="33" s="1"/>
  <c r="Z21" i="21"/>
  <c r="Q21" i="21"/>
  <c r="D83" i="21"/>
  <c r="E83" i="21"/>
  <c r="F21" i="21"/>
  <c r="AA21" i="21" s="1"/>
  <c r="C21" i="21"/>
  <c r="Z27" i="40"/>
  <c r="Q27" i="40"/>
  <c r="D96" i="40"/>
  <c r="E96" i="40" s="1"/>
  <c r="F96" i="40" s="1"/>
  <c r="F27" i="40"/>
  <c r="AA27" i="40" s="1"/>
  <c r="Z31" i="39"/>
  <c r="Q31" i="39"/>
  <c r="D105" i="39"/>
  <c r="E105" i="39" s="1"/>
  <c r="F105" i="39" s="1"/>
  <c r="F31" i="39"/>
  <c r="AA31" i="39" s="1"/>
  <c r="G20" i="20"/>
  <c r="C27" i="40" s="1"/>
  <c r="C22" i="20"/>
  <c r="B65" i="46" s="1"/>
  <c r="S18" i="36"/>
  <c r="S18" i="35"/>
  <c r="S21" i="37"/>
  <c r="S21" i="21"/>
  <c r="S31" i="39"/>
  <c r="C31" i="39"/>
  <c r="B54" i="46"/>
  <c r="B74" i="46"/>
  <c r="E66" i="36"/>
  <c r="H18" i="35"/>
  <c r="J18" i="35"/>
  <c r="H21" i="37"/>
  <c r="J21" i="37"/>
  <c r="E84" i="34"/>
  <c r="F84" i="34" s="1"/>
  <c r="G84" i="34" s="1"/>
  <c r="J21" i="34"/>
  <c r="H21" i="34"/>
  <c r="F21" i="33"/>
  <c r="H21" i="33"/>
  <c r="J21" i="33"/>
  <c r="F83" i="21"/>
  <c r="G83" i="21" s="1"/>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20" i="57" s="1"/>
  <c r="I17" i="57"/>
  <c r="E15" i="57"/>
  <c r="I14" i="57"/>
  <c r="I13" i="57"/>
  <c r="I12" i="57"/>
  <c r="I15" i="57"/>
  <c r="I9" i="57"/>
  <c r="I8" i="57"/>
  <c r="I7" i="57"/>
  <c r="I6" i="57"/>
  <c r="I5" i="57"/>
  <c r="I10" i="57" s="1"/>
  <c r="I4" i="57"/>
  <c r="I3" i="57"/>
  <c r="C30" i="57"/>
  <c r="E26" i="57"/>
  <c r="C112" i="9"/>
  <c r="G2" i="46"/>
  <c r="F80" i="46" s="1"/>
  <c r="H81" i="46" s="1"/>
  <c r="I2" i="46"/>
  <c r="N1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77" i="46"/>
  <c r="B83" i="46"/>
  <c r="B82" i="46"/>
  <c r="B71" i="46"/>
  <c r="B60" i="46"/>
  <c r="B49" i="46"/>
  <c r="M87" i="46"/>
  <c r="N87" i="46" s="1"/>
  <c r="K87" i="46"/>
  <c r="J87" i="46" s="1"/>
  <c r="D87" i="46"/>
  <c r="M86" i="46"/>
  <c r="N86" i="46" s="1"/>
  <c r="K86" i="46"/>
  <c r="D86" i="46" s="1"/>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c r="M75" i="46"/>
  <c r="N75" i="46"/>
  <c r="K75" i="46"/>
  <c r="J75" i="46"/>
  <c r="M74" i="46"/>
  <c r="N74" i="46"/>
  <c r="K74" i="46"/>
  <c r="J74" i="46"/>
  <c r="D74" i="46"/>
  <c r="M73" i="46"/>
  <c r="D73" i="46"/>
  <c r="K73" i="46"/>
  <c r="J73" i="46" s="1"/>
  <c r="M72" i="46"/>
  <c r="N72" i="46"/>
  <c r="K72" i="46"/>
  <c r="J72" i="46" s="1"/>
  <c r="D72" i="46"/>
  <c r="M71" i="46"/>
  <c r="N71" i="46" s="1"/>
  <c r="K71" i="46"/>
  <c r="J71" i="46"/>
  <c r="M70" i="46"/>
  <c r="N70" i="46" s="1"/>
  <c r="K70" i="46"/>
  <c r="J70" i="46"/>
  <c r="D70" i="46"/>
  <c r="M69" i="46"/>
  <c r="N69" i="46" s="1"/>
  <c r="K69" i="46"/>
  <c r="J69" i="46"/>
  <c r="M66" i="46"/>
  <c r="N66" i="46" s="1"/>
  <c r="K66" i="46"/>
  <c r="M65" i="46"/>
  <c r="N65" i="46" s="1"/>
  <c r="K65" i="46"/>
  <c r="J65" i="46"/>
  <c r="D65" i="46"/>
  <c r="M64" i="46"/>
  <c r="N64" i="46" s="1"/>
  <c r="K64" i="46"/>
  <c r="J64" i="46"/>
  <c r="D64" i="46"/>
  <c r="M63" i="46"/>
  <c r="N63" i="46"/>
  <c r="K63" i="46"/>
  <c r="J63" i="46" s="1"/>
  <c r="D63" i="46"/>
  <c r="M62" i="46"/>
  <c r="N62" i="46"/>
  <c r="K62" i="46"/>
  <c r="J62" i="46" s="1"/>
  <c r="D62" i="46"/>
  <c r="M61" i="46"/>
  <c r="N61" i="46" s="1"/>
  <c r="K61" i="46"/>
  <c r="J61" i="46"/>
  <c r="D61" i="46"/>
  <c r="M60" i="46"/>
  <c r="N60" i="46" s="1"/>
  <c r="K60" i="46"/>
  <c r="J60" i="46"/>
  <c r="D60" i="46"/>
  <c r="M59" i="46"/>
  <c r="N59" i="46"/>
  <c r="K59" i="46"/>
  <c r="J59" i="46" s="1"/>
  <c r="D59" i="46"/>
  <c r="M58" i="46"/>
  <c r="N58" i="46"/>
  <c r="M55" i="46"/>
  <c r="N55" i="46" s="1"/>
  <c r="K55" i="46"/>
  <c r="J55" i="46"/>
  <c r="M54" i="46"/>
  <c r="N54" i="46" s="1"/>
  <c r="K54" i="46"/>
  <c r="M53" i="46"/>
  <c r="N53" i="46" s="1"/>
  <c r="K53" i="46"/>
  <c r="J53" i="46"/>
  <c r="D53" i="46"/>
  <c r="M52" i="46"/>
  <c r="N52" i="46" s="1"/>
  <c r="K52" i="46"/>
  <c r="J52" i="46"/>
  <c r="D52" i="46"/>
  <c r="M51" i="46"/>
  <c r="N51" i="46"/>
  <c r="K51" i="46"/>
  <c r="J51" i="46" s="1"/>
  <c r="M50" i="46"/>
  <c r="N50" i="46"/>
  <c r="M49" i="46"/>
  <c r="N49" i="46" s="1"/>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s="1"/>
  <c r="A13" i="1"/>
  <c r="B13" i="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AZ97" i="3" s="1"/>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Z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L136" i="3" s="1"/>
  <c r="BN136" i="3"/>
  <c r="BM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AZ283" i="3" s="1"/>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AZ275" i="3" s="1"/>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BB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L478" i="3" s="1"/>
  <c r="AZ478" i="3" s="1"/>
  <c r="BN478" i="3"/>
  <c r="BM478" i="3"/>
  <c r="BK478" i="3"/>
  <c r="BJ478" i="3"/>
  <c r="BI478" i="3"/>
  <c r="BH478" i="3"/>
  <c r="BG478" i="3"/>
  <c r="BF478" i="3"/>
  <c r="BE478" i="3"/>
  <c r="BD478" i="3"/>
  <c r="BC478" i="3"/>
  <c r="BA478" i="3" s="1"/>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G468" i="3" s="1"/>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A465" i="3" s="1"/>
  <c r="AZ465" i="3" s="1"/>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AZ457" i="3" s="1"/>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c r="G55" i="39"/>
  <c r="H55" i="39" s="1"/>
  <c r="E55" i="39"/>
  <c r="F55" i="39"/>
  <c r="I42" i="36"/>
  <c r="J42" i="36" s="1"/>
  <c r="G42" i="36"/>
  <c r="H42" i="36"/>
  <c r="E42" i="36"/>
  <c r="F42" i="36" s="1"/>
  <c r="I44" i="35"/>
  <c r="J44" i="35"/>
  <c r="G44" i="35"/>
  <c r="H44" i="35" s="1"/>
  <c r="E44" i="35"/>
  <c r="F44" i="35"/>
  <c r="I54" i="33"/>
  <c r="J54" i="33" s="1"/>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c r="C26" i="35"/>
  <c r="C79" i="35" s="1"/>
  <c r="J31" i="35"/>
  <c r="H31" i="35"/>
  <c r="AB31" i="35" s="1"/>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W41" i="33" s="1"/>
  <c r="AC41" i="33"/>
  <c r="D113" i="33"/>
  <c r="F37" i="33"/>
  <c r="AA37" i="33"/>
  <c r="D111" i="33"/>
  <c r="E111" i="33" s="1"/>
  <c r="F111" i="33" s="1"/>
  <c r="G111" i="33" s="1"/>
  <c r="H111" i="33" s="1"/>
  <c r="I111" i="33" s="1"/>
  <c r="J111" i="33" s="1"/>
  <c r="K111" i="33" s="1"/>
  <c r="L111" i="33" s="1"/>
  <c r="M111" i="33" s="1"/>
  <c r="S515" i="31"/>
  <c r="S517" i="31"/>
  <c r="S519" i="31"/>
  <c r="S521" i="31"/>
  <c r="S523" i="31"/>
  <c r="F41" i="21"/>
  <c r="J41" i="21"/>
  <c r="AC41" i="21" s="1"/>
  <c r="H41" i="21"/>
  <c r="U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c r="B97" i="40"/>
  <c r="D94" i="40"/>
  <c r="D92" i="40"/>
  <c r="D90" i="40"/>
  <c r="H21" i="40"/>
  <c r="AB21" i="40" s="1"/>
  <c r="D88" i="40"/>
  <c r="E88" i="40"/>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c r="Q30" i="40"/>
  <c r="Z30" i="40" s="1"/>
  <c r="Q29" i="40"/>
  <c r="Z29" i="40"/>
  <c r="Q25" i="40"/>
  <c r="Z25" i="40" s="1"/>
  <c r="Q23" i="40"/>
  <c r="Z23" i="40"/>
  <c r="Q21" i="40"/>
  <c r="Z21" i="40" s="1"/>
  <c r="Q19" i="40"/>
  <c r="Z19" i="40"/>
  <c r="Q17" i="40"/>
  <c r="Z17" i="40" s="1"/>
  <c r="Q16" i="40"/>
  <c r="Z16" i="40"/>
  <c r="Q15" i="40"/>
  <c r="Z15" i="40" s="1"/>
  <c r="Q14" i="40"/>
  <c r="Z14" i="40"/>
  <c r="Q13" i="40"/>
  <c r="Z13" i="40" s="1"/>
  <c r="Q12" i="40"/>
  <c r="Z12" i="40"/>
  <c r="Q11" i="40"/>
  <c r="Z11" i="40" s="1"/>
  <c r="C9" i="40"/>
  <c r="C65" i="40"/>
  <c r="D126" i="39"/>
  <c r="E126" i="39" s="1"/>
  <c r="F126" i="39" s="1"/>
  <c r="G126" i="39"/>
  <c r="H126" i="39" s="1"/>
  <c r="I126" i="39"/>
  <c r="J126" i="39" s="1"/>
  <c r="K126" i="39" s="1"/>
  <c r="L126" i="39" s="1"/>
  <c r="M126" i="39" s="1"/>
  <c r="D122" i="39"/>
  <c r="E122" i="39"/>
  <c r="F122" i="39"/>
  <c r="G122" i="39" s="1"/>
  <c r="H122" i="39" s="1"/>
  <c r="I122" i="39"/>
  <c r="J122" i="39" s="1"/>
  <c r="K122" i="39" s="1"/>
  <c r="L122" i="39" s="1"/>
  <c r="M122" i="39" s="1"/>
  <c r="B116" i="39"/>
  <c r="D111" i="39"/>
  <c r="E111" i="39" s="1"/>
  <c r="F111" i="39"/>
  <c r="G111" i="39" s="1"/>
  <c r="H111" i="39"/>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c r="K107" i="39" s="1"/>
  <c r="L107" i="39" s="1"/>
  <c r="M107" i="39" s="1"/>
  <c r="D103" i="39"/>
  <c r="D101" i="39"/>
  <c r="E101" i="39" s="1"/>
  <c r="F101" i="39" s="1"/>
  <c r="G101" i="39" s="1"/>
  <c r="Q41" i="39"/>
  <c r="Z41" i="39"/>
  <c r="Q42" i="39"/>
  <c r="Z42" i="39"/>
  <c r="Q43" i="39"/>
  <c r="Q44" i="39"/>
  <c r="Z44" i="39" s="1"/>
  <c r="Q45" i="39"/>
  <c r="Z45" i="39"/>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c r="F93" i="39" s="1"/>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c r="U25" i="37"/>
  <c r="B110" i="37"/>
  <c r="J39" i="37" s="1"/>
  <c r="AC39" i="37"/>
  <c r="B108" i="37"/>
  <c r="C23" i="37"/>
  <c r="C19" i="37"/>
  <c r="C17" i="37"/>
  <c r="C15" i="37"/>
  <c r="B112" i="37"/>
  <c r="D107" i="37"/>
  <c r="E107" i="37"/>
  <c r="D105" i="37"/>
  <c r="E105" i="37"/>
  <c r="H36" i="37"/>
  <c r="D103" i="37"/>
  <c r="E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c r="F73" i="37" s="1"/>
  <c r="G73" i="37" s="1"/>
  <c r="D71" i="37"/>
  <c r="E71" i="37" s="1"/>
  <c r="F71" i="37"/>
  <c r="G71" i="37" s="1"/>
  <c r="F15" i="37"/>
  <c r="AA15" i="37" s="1"/>
  <c r="B68" i="37"/>
  <c r="H14" i="37" s="1"/>
  <c r="U14" i="37"/>
  <c r="B66" i="37"/>
  <c r="B64" i="37"/>
  <c r="D63" i="37"/>
  <c r="E63" i="37"/>
  <c r="F63" i="37" s="1"/>
  <c r="G63" i="37" s="1"/>
  <c r="H63" i="37" s="1"/>
  <c r="I63" i="37" s="1"/>
  <c r="J63" i="37"/>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B71" i="36"/>
  <c r="D70" i="36"/>
  <c r="H22" i="36"/>
  <c r="AB22" i="36" s="1"/>
  <c r="D68" i="36"/>
  <c r="E68" i="36"/>
  <c r="D64" i="36"/>
  <c r="E64" i="36" s="1"/>
  <c r="F64" i="36" s="1"/>
  <c r="G64" i="36" s="1"/>
  <c r="J16" i="36"/>
  <c r="D62" i="36"/>
  <c r="E62" i="36" s="1"/>
  <c r="B59" i="36"/>
  <c r="B57" i="36"/>
  <c r="H12" i="36" s="1"/>
  <c r="J12" i="36"/>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c r="J9" i="36"/>
  <c r="AC9" i="36" s="1"/>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s="1"/>
  <c r="H56" i="35" s="1"/>
  <c r="I56" i="35" s="1"/>
  <c r="C53" i="35"/>
  <c r="F9" i="35" s="1"/>
  <c r="AA9" i="35" s="1"/>
  <c r="P39" i="35"/>
  <c r="P38" i="35"/>
  <c r="V37" i="35"/>
  <c r="T37" i="35"/>
  <c r="R37" i="35"/>
  <c r="P37" i="35"/>
  <c r="Q36" i="35"/>
  <c r="Z36" i="35" s="1"/>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9" i="35"/>
  <c r="W9" i="35" s="1"/>
  <c r="J8" i="35"/>
  <c r="H8" i="35"/>
  <c r="F8" i="35"/>
  <c r="AA8" i="35"/>
  <c r="C7" i="35"/>
  <c r="D120" i="34"/>
  <c r="E120" i="34" s="1"/>
  <c r="F120" i="34" s="1"/>
  <c r="G120" i="34" s="1"/>
  <c r="H120" i="34"/>
  <c r="I120" i="34" s="1"/>
  <c r="J120" i="34" s="1"/>
  <c r="K120" i="34" s="1"/>
  <c r="L120" i="34" s="1"/>
  <c r="M120" i="34" s="1"/>
  <c r="D90" i="34"/>
  <c r="C15" i="34"/>
  <c r="F67" i="34"/>
  <c r="G67" i="34" s="1"/>
  <c r="H67" i="34" s="1"/>
  <c r="I67" i="34"/>
  <c r="H10" i="34"/>
  <c r="AB10" i="34" s="1"/>
  <c r="D126" i="34"/>
  <c r="E126" i="34" s="1"/>
  <c r="F126" i="34" s="1"/>
  <c r="G126" i="34" s="1"/>
  <c r="D124" i="34"/>
  <c r="E124" i="34" s="1"/>
  <c r="F124" i="34" s="1"/>
  <c r="G124" i="34" s="1"/>
  <c r="H124" i="34"/>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c r="B89" i="34"/>
  <c r="J27" i="34" s="1"/>
  <c r="D88" i="34"/>
  <c r="E88" i="34"/>
  <c r="F88" i="34" s="1"/>
  <c r="G88" i="34" s="1"/>
  <c r="H88" i="34" s="1"/>
  <c r="I88" i="34" s="1"/>
  <c r="J88" i="34"/>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AC39" i="34" s="1"/>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c r="Q11" i="34"/>
  <c r="Z11" i="34" s="1"/>
  <c r="Q10" i="34"/>
  <c r="Z10" i="34" s="1"/>
  <c r="F10" i="34"/>
  <c r="AA10" i="34" s="1"/>
  <c r="Q9" i="34"/>
  <c r="Z9" i="34" s="1"/>
  <c r="H9" i="34"/>
  <c r="AB9" i="34" s="1"/>
  <c r="F9" i="34"/>
  <c r="AA9" i="34" s="1"/>
  <c r="J8" i="34"/>
  <c r="AC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s="1"/>
  <c r="D81" i="33"/>
  <c r="E81" i="33"/>
  <c r="F81" i="33"/>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s="1"/>
  <c r="Q44" i="33"/>
  <c r="Z44" i="33"/>
  <c r="Q43" i="33"/>
  <c r="Z43" i="33" s="1"/>
  <c r="Q42" i="33"/>
  <c r="Z42" i="33"/>
  <c r="J42" i="33"/>
  <c r="AC42" i="33" s="1"/>
  <c r="Q41" i="33"/>
  <c r="Z41" i="33" s="1"/>
  <c r="Q40" i="33"/>
  <c r="Z40" i="33" s="1"/>
  <c r="J40" i="33"/>
  <c r="AC40" i="33"/>
  <c r="H40" i="33"/>
  <c r="AA40" i="33"/>
  <c r="Q39" i="33"/>
  <c r="Z39" i="33"/>
  <c r="J39" i="33"/>
  <c r="AC39" i="33" s="1"/>
  <c r="Q38" i="33"/>
  <c r="Z38" i="33" s="1"/>
  <c r="J38" i="33"/>
  <c r="AC38" i="33" s="1"/>
  <c r="H38" i="33"/>
  <c r="AB38" i="33" s="1"/>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J12" i="33"/>
  <c r="W12" i="33" s="1"/>
  <c r="H12" i="33"/>
  <c r="U12" i="33"/>
  <c r="F12" i="33"/>
  <c r="S12" i="33" s="1"/>
  <c r="Q11" i="33"/>
  <c r="Z11" i="33" s="1"/>
  <c r="Q10" i="33"/>
  <c r="Z10" i="33" s="1"/>
  <c r="Q9" i="33"/>
  <c r="Z9" i="33" s="1"/>
  <c r="J9" i="33"/>
  <c r="AC9" i="33" s="1"/>
  <c r="H9" i="33"/>
  <c r="AB9" i="33"/>
  <c r="F9" i="33"/>
  <c r="AA9" i="33" s="1"/>
  <c r="J8" i="33"/>
  <c r="W8" i="33"/>
  <c r="H8" i="33"/>
  <c r="F8" i="33"/>
  <c r="C7" i="33"/>
  <c r="C5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c r="H123" i="21" s="1"/>
  <c r="I123" i="21" s="1"/>
  <c r="J123" i="21" s="1"/>
  <c r="K123" i="2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c r="D108" i="21"/>
  <c r="E108" i="21" s="1"/>
  <c r="F108" i="21" s="1"/>
  <c r="G108" i="21"/>
  <c r="H108" i="2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B90" i="21"/>
  <c r="B74" i="21"/>
  <c r="B72" i="21"/>
  <c r="B70" i="21"/>
  <c r="F10" i="21"/>
  <c r="AA10" i="21"/>
  <c r="C7" i="21"/>
  <c r="C58"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S8" i="21" s="1"/>
  <c r="E12" i="11"/>
  <c r="C9" i="12"/>
  <c r="C6" i="12"/>
  <c r="C24" i="12" s="1"/>
  <c r="BB12" i="3"/>
  <c r="F9" i="12"/>
  <c r="D9" i="12"/>
  <c r="E9" i="12"/>
  <c r="G9" i="12"/>
  <c r="K5" i="3"/>
  <c r="J5" i="3"/>
  <c r="BE10" i="3"/>
  <c r="BD13" i="3"/>
  <c r="BE13" i="3"/>
  <c r="BF13" i="3"/>
  <c r="BF5" i="3" s="1"/>
  <c r="BG13" i="3"/>
  <c r="BH13" i="3"/>
  <c r="BH5"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AA38" i="21" s="1"/>
  <c r="S38" i="21"/>
  <c r="F36" i="21"/>
  <c r="S36" i="21"/>
  <c r="F39" i="21"/>
  <c r="AA39" i="21" s="1"/>
  <c r="J40" i="21"/>
  <c r="W40" i="21"/>
  <c r="H35" i="21"/>
  <c r="AB35" i="21" s="1"/>
  <c r="J8" i="21"/>
  <c r="AC8" i="21"/>
  <c r="J9" i="21"/>
  <c r="AC9" i="21" s="1"/>
  <c r="H8" i="21"/>
  <c r="H9" i="21"/>
  <c r="U9" i="21" s="1"/>
  <c r="H10" i="21"/>
  <c r="U10" i="21" s="1"/>
  <c r="H39" i="21"/>
  <c r="AB39" i="21"/>
  <c r="J34" i="21"/>
  <c r="W34" i="21" s="1"/>
  <c r="H36" i="21"/>
  <c r="U36" i="21" s="1"/>
  <c r="F35" i="21"/>
  <c r="AA35" i="21" s="1"/>
  <c r="J33" i="21"/>
  <c r="W33" i="21"/>
  <c r="H33" i="21"/>
  <c r="U33" i="21" s="1"/>
  <c r="F33" i="21"/>
  <c r="J10" i="21"/>
  <c r="AC10" i="21" s="1"/>
  <c r="H26" i="21"/>
  <c r="F19" i="21"/>
  <c r="AA19" i="21" s="1"/>
  <c r="H19" i="21"/>
  <c r="AB19" i="21" s="1"/>
  <c r="J19" i="21"/>
  <c r="W19" i="21"/>
  <c r="J12" i="21"/>
  <c r="J26" i="21"/>
  <c r="W26" i="21"/>
  <c r="F26" i="21"/>
  <c r="AA26" i="21"/>
  <c r="AB41" i="21"/>
  <c r="S41" i="21"/>
  <c r="AA41" i="21"/>
  <c r="W41" i="21"/>
  <c r="S10" i="39"/>
  <c r="U30" i="37"/>
  <c r="F103" i="37"/>
  <c r="F39" i="37"/>
  <c r="S39" i="37" s="1"/>
  <c r="W39" i="37"/>
  <c r="F29" i="36"/>
  <c r="AA29" i="36"/>
  <c r="F16" i="36"/>
  <c r="AA16" i="36" s="1"/>
  <c r="U22" i="36"/>
  <c r="W23" i="36"/>
  <c r="W22" i="36"/>
  <c r="U26" i="36"/>
  <c r="AC31" i="36"/>
  <c r="J33" i="36"/>
  <c r="W33" i="36"/>
  <c r="AC27" i="35"/>
  <c r="U31" i="35"/>
  <c r="S34" i="35"/>
  <c r="S31" i="35"/>
  <c r="W31" i="35"/>
  <c r="U34" i="35"/>
  <c r="F36" i="34"/>
  <c r="S36" i="34"/>
  <c r="W9" i="34"/>
  <c r="S34" i="34"/>
  <c r="W39" i="34"/>
  <c r="H39" i="33"/>
  <c r="AB39" i="33"/>
  <c r="F26" i="33"/>
  <c r="AA26" i="33" s="1"/>
  <c r="U9" i="33"/>
  <c r="U33" i="33"/>
  <c r="W38" i="33"/>
  <c r="S40" i="33"/>
  <c r="S33" i="33"/>
  <c r="W33" i="33"/>
  <c r="U38" i="33"/>
  <c r="W8" i="21"/>
  <c r="H39" i="37"/>
  <c r="AB39" i="37" s="1"/>
  <c r="S10" i="40"/>
  <c r="W10" i="40"/>
  <c r="S11" i="40"/>
  <c r="U11" i="40"/>
  <c r="S36" i="40"/>
  <c r="U36" i="40"/>
  <c r="S40" i="39"/>
  <c r="S36" i="39"/>
  <c r="F11" i="21"/>
  <c r="S11" i="21" s="1"/>
  <c r="AC40" i="21"/>
  <c r="AB36" i="21"/>
  <c r="AC35" i="21"/>
  <c r="C29" i="39"/>
  <c r="C23" i="39"/>
  <c r="U36" i="39"/>
  <c r="S42" i="39"/>
  <c r="H32" i="33"/>
  <c r="AB32" i="33" s="1"/>
  <c r="H11" i="21"/>
  <c r="U11" i="21" s="1"/>
  <c r="J11" i="21"/>
  <c r="W11" i="21" s="1"/>
  <c r="F100" i="40"/>
  <c r="F86" i="40"/>
  <c r="J17" i="40" s="1"/>
  <c r="AA12" i="33"/>
  <c r="J27" i="36"/>
  <c r="W27" i="36" s="1"/>
  <c r="J34" i="36"/>
  <c r="W34" i="36" s="1"/>
  <c r="J30" i="35"/>
  <c r="W30" i="35"/>
  <c r="F22" i="35"/>
  <c r="AA22" i="35" s="1"/>
  <c r="H10" i="35"/>
  <c r="U10" i="35" s="1"/>
  <c r="U29" i="36"/>
  <c r="E85" i="36"/>
  <c r="F85" i="36"/>
  <c r="G85" i="36" s="1"/>
  <c r="H85" i="36" s="1"/>
  <c r="I85" i="36" s="1"/>
  <c r="J85" i="36" s="1"/>
  <c r="K85" i="36" s="1"/>
  <c r="L85" i="36" s="1"/>
  <c r="M85" i="36" s="1"/>
  <c r="J29" i="36"/>
  <c r="AC29" i="36" s="1"/>
  <c r="F12" i="36"/>
  <c r="S12" i="36"/>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AA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W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S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c r="W9" i="33"/>
  <c r="G297" i="3"/>
  <c r="BL298" i="3"/>
  <c r="G299" i="3"/>
  <c r="BL300" i="3"/>
  <c r="AZ300" i="3" s="1"/>
  <c r="BA302" i="3"/>
  <c r="AZ302" i="3" s="1"/>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BL162" i="3"/>
  <c r="G163" i="3"/>
  <c r="BA165" i="3"/>
  <c r="AZ165" i="3" s="1"/>
  <c r="BL166" i="3"/>
  <c r="G167" i="3"/>
  <c r="BA169" i="3"/>
  <c r="AZ169" i="3" s="1"/>
  <c r="BL170" i="3"/>
  <c r="G171" i="3"/>
  <c r="BA173" i="3"/>
  <c r="AZ173" i="3" s="1"/>
  <c r="BL174" i="3"/>
  <c r="G175" i="3"/>
  <c r="BA178" i="3"/>
  <c r="AZ178" i="3" s="1"/>
  <c r="BL179" i="3"/>
  <c r="G180" i="3"/>
  <c r="AZ23" i="3"/>
  <c r="AZ27" i="3"/>
  <c r="AZ31" i="3"/>
  <c r="AZ47"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G198" i="3"/>
  <c r="BA200" i="3"/>
  <c r="BL201" i="3"/>
  <c r="AZ201" i="3" s="1"/>
  <c r="AZ66" i="3"/>
  <c r="AZ74" i="3"/>
  <c r="AZ78" i="3"/>
  <c r="AZ90" i="3"/>
  <c r="AZ94" i="3"/>
  <c r="AZ98" i="3"/>
  <c r="AZ102" i="3"/>
  <c r="AZ106" i="3"/>
  <c r="AZ110" i="3"/>
  <c r="G491" i="3"/>
  <c r="BA298" i="3"/>
  <c r="AZ298" i="3" s="1"/>
  <c r="BA299" i="3"/>
  <c r="BL299" i="3"/>
  <c r="AZ299" i="3" s="1"/>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62" i="3"/>
  <c r="AZ170" i="3"/>
  <c r="AZ174" i="3"/>
  <c r="AZ179" i="3"/>
  <c r="AZ187"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5" i="3"/>
  <c r="AZ335" i="3"/>
  <c r="AZ339" i="3"/>
  <c r="AZ351" i="3"/>
  <c r="AZ361" i="3"/>
  <c r="AZ369" i="3"/>
  <c r="AZ385" i="3"/>
  <c r="AZ390" i="3"/>
  <c r="AZ394" i="3"/>
  <c r="AZ398" i="3"/>
  <c r="AZ410" i="3"/>
  <c r="AZ414" i="3"/>
  <c r="AZ418" i="3"/>
  <c r="AZ422" i="3"/>
  <c r="AZ426" i="3"/>
  <c r="AZ430" i="3"/>
  <c r="AZ434" i="3"/>
  <c r="AZ438" i="3"/>
  <c r="AZ442" i="3"/>
  <c r="AZ446" i="3"/>
  <c r="AZ450" i="3"/>
  <c r="AZ455" i="3"/>
  <c r="AZ459" i="3"/>
  <c r="AZ467"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H13" i="39"/>
  <c r="AB13" i="39" s="1"/>
  <c r="F13" i="39"/>
  <c r="J13" i="39"/>
  <c r="AC13" i="39"/>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G103" i="37"/>
  <c r="H103" i="37"/>
  <c r="I103" i="37"/>
  <c r="J103" i="37" s="1"/>
  <c r="K103" i="37" s="1"/>
  <c r="L103" i="37" s="1"/>
  <c r="M103" i="37" s="1"/>
  <c r="H35" i="37"/>
  <c r="AB35" i="37" s="1"/>
  <c r="S26" i="21"/>
  <c r="H32" i="21"/>
  <c r="U32" i="21" s="1"/>
  <c r="AB26" i="21"/>
  <c r="U26" i="21"/>
  <c r="AA33" i="21"/>
  <c r="S33" i="21"/>
  <c r="U39" i="21"/>
  <c r="W9" i="21"/>
  <c r="J32" i="21"/>
  <c r="AC32" i="21" s="1"/>
  <c r="G13" i="3"/>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H66" i="33"/>
  <c r="F10" i="33"/>
  <c r="AA10" i="33" s="1"/>
  <c r="F11" i="33"/>
  <c r="S11" i="33"/>
  <c r="J15" i="33"/>
  <c r="W15" i="33" s="1"/>
  <c r="H19" i="33"/>
  <c r="AB19" i="33"/>
  <c r="F32" i="33"/>
  <c r="AA32" i="33" s="1"/>
  <c r="J32" i="33"/>
  <c r="AC32" i="33"/>
  <c r="F35" i="33"/>
  <c r="AA35" i="33" s="1"/>
  <c r="AB39" i="34"/>
  <c r="F11" i="34"/>
  <c r="S11" i="34"/>
  <c r="E80" i="34"/>
  <c r="F80" i="34" s="1"/>
  <c r="G80" i="34" s="1"/>
  <c r="H17" i="34"/>
  <c r="AB17" i="34"/>
  <c r="AC27" i="34"/>
  <c r="W27" i="34"/>
  <c r="S12" i="35"/>
  <c r="AB28" i="35"/>
  <c r="U28" i="35"/>
  <c r="J13" i="33"/>
  <c r="W13" i="33"/>
  <c r="H13" i="33"/>
  <c r="U13" i="33" s="1"/>
  <c r="H29" i="33"/>
  <c r="AB29" i="33"/>
  <c r="F29" i="33"/>
  <c r="AA29" i="33" s="1"/>
  <c r="J12" i="34"/>
  <c r="AC12" i="34"/>
  <c r="H12" i="34"/>
  <c r="AB12" i="34" s="1"/>
  <c r="F12" i="34"/>
  <c r="S12" i="34"/>
  <c r="J14" i="34"/>
  <c r="W14" i="34" s="1"/>
  <c r="F14" i="34"/>
  <c r="S14" i="34"/>
  <c r="H14" i="34"/>
  <c r="AB14" i="34" s="1"/>
  <c r="H30" i="34"/>
  <c r="AB30" i="34"/>
  <c r="F30" i="34"/>
  <c r="S30" i="34" s="1"/>
  <c r="J30" i="34"/>
  <c r="W30" i="34"/>
  <c r="H32" i="34"/>
  <c r="AB32" i="34" s="1"/>
  <c r="F32" i="34"/>
  <c r="AA32" i="34"/>
  <c r="J32" i="34"/>
  <c r="W32" i="34" s="1"/>
  <c r="H46" i="34"/>
  <c r="AB46" i="34"/>
  <c r="F46" i="34"/>
  <c r="AA46" i="34" s="1"/>
  <c r="J46" i="34"/>
  <c r="AC46" i="34"/>
  <c r="H11" i="35"/>
  <c r="J11" i="35"/>
  <c r="AC11" i="35" s="1"/>
  <c r="F96" i="37"/>
  <c r="H32" i="37"/>
  <c r="AB32" i="37" s="1"/>
  <c r="F19" i="39"/>
  <c r="S19" i="39"/>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F80" i="35" s="1"/>
  <c r="G80" i="35" s="1"/>
  <c r="H80" i="35" s="1"/>
  <c r="I80" i="35" s="1"/>
  <c r="J80" i="35" s="1"/>
  <c r="K80" i="35" s="1"/>
  <c r="L80" i="35" s="1"/>
  <c r="M80" i="35" s="1"/>
  <c r="E94" i="35"/>
  <c r="F94" i="35" s="1"/>
  <c r="G94" i="35" s="1"/>
  <c r="H94" i="35" s="1"/>
  <c r="I94" i="35" s="1"/>
  <c r="J94" i="35" s="1"/>
  <c r="K94" i="35" s="1"/>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U33" i="36"/>
  <c r="F33" i="36"/>
  <c r="AA33" i="36" s="1"/>
  <c r="H27" i="36"/>
  <c r="AB27" i="36"/>
  <c r="AA31" i="36"/>
  <c r="AC25" i="37"/>
  <c r="AC26" i="37"/>
  <c r="W26" i="37"/>
  <c r="AB29" i="37"/>
  <c r="AA30" i="37"/>
  <c r="S30" i="37"/>
  <c r="AC30" i="37"/>
  <c r="AC31" i="37"/>
  <c r="W31" i="37"/>
  <c r="AB14" i="37"/>
  <c r="F17" i="39"/>
  <c r="AA17" i="39" s="1"/>
  <c r="H17" i="39"/>
  <c r="U17" i="39"/>
  <c r="J17" i="39"/>
  <c r="W17" i="39" s="1"/>
  <c r="F21" i="39"/>
  <c r="S21" i="39"/>
  <c r="H21" i="39"/>
  <c r="U21" i="39" s="1"/>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AZ567" i="3" s="1"/>
  <c r="BA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F23" i="39"/>
  <c r="AA23" i="39" s="1"/>
  <c r="E97" i="39"/>
  <c r="F97" i="39" s="1"/>
  <c r="G97" i="39" s="1"/>
  <c r="F27" i="39"/>
  <c r="AA27" i="39"/>
  <c r="H27" i="39"/>
  <c r="AB27" i="39"/>
  <c r="J27" i="39"/>
  <c r="AC27" i="39"/>
  <c r="F15" i="40"/>
  <c r="AA15" i="40" s="1"/>
  <c r="J15" i="40"/>
  <c r="AC15" i="40" s="1"/>
  <c r="H15" i="40"/>
  <c r="AB15" i="40"/>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s="1"/>
  <c r="J32" i="40"/>
  <c r="AC32" i="40"/>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H40" i="40"/>
  <c r="U40" i="40" s="1"/>
  <c r="H34" i="40"/>
  <c r="U34" i="40" s="1"/>
  <c r="AZ391" i="3"/>
  <c r="AZ399" i="3"/>
  <c r="AZ403" i="3"/>
  <c r="AZ407" i="3"/>
  <c r="AZ415" i="3"/>
  <c r="AZ423" i="3"/>
  <c r="AZ431" i="3"/>
  <c r="AZ439" i="3"/>
  <c r="AZ454" i="3"/>
  <c r="B41" i="1"/>
  <c r="F34" i="44"/>
  <c r="J42" i="40"/>
  <c r="AC42" i="40" s="1"/>
  <c r="J40" i="40"/>
  <c r="AC40" i="40"/>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61" i="3"/>
  <c r="AZ466"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M7" i="46"/>
  <c r="M11" i="46"/>
  <c r="N3" i="46"/>
  <c r="N6" i="46"/>
  <c r="N10" i="46"/>
  <c r="AZ164" i="3"/>
  <c r="AZ167" i="3"/>
  <c r="AZ177" i="3"/>
  <c r="AZ180" i="3"/>
  <c r="AZ24" i="3"/>
  <c r="AZ40" i="3"/>
  <c r="AZ48" i="3"/>
  <c r="AZ56" i="3"/>
  <c r="AZ71" i="3"/>
  <c r="AZ91" i="3"/>
  <c r="AZ99" i="3"/>
  <c r="AZ107" i="3"/>
  <c r="AZ112" i="3"/>
  <c r="J13" i="40"/>
  <c r="W13" i="40" s="1"/>
  <c r="W40" i="40"/>
  <c r="F27" i="43"/>
  <c r="F71" i="9"/>
  <c r="W35" i="40"/>
  <c r="S33" i="40"/>
  <c r="AB32" i="40"/>
  <c r="AC47" i="39"/>
  <c r="S47" i="39"/>
  <c r="AB25" i="39"/>
  <c r="U37" i="34"/>
  <c r="AC41" i="40"/>
  <c r="W41" i="40"/>
  <c r="U41" i="40"/>
  <c r="J23" i="40"/>
  <c r="AC23" i="40" s="1"/>
  <c r="F23" i="40"/>
  <c r="S23" i="40" s="1"/>
  <c r="W27" i="39"/>
  <c r="S23" i="39"/>
  <c r="AB16" i="39"/>
  <c r="W14" i="39"/>
  <c r="U23" i="35"/>
  <c r="H20" i="35"/>
  <c r="F20" i="35"/>
  <c r="S20" i="35"/>
  <c r="H15" i="34"/>
  <c r="AB15" i="34" s="1"/>
  <c r="F78" i="34"/>
  <c r="G78" i="34"/>
  <c r="J15" i="34"/>
  <c r="AC15" i="34" s="1"/>
  <c r="H41" i="33"/>
  <c r="U41" i="33"/>
  <c r="F121" i="33"/>
  <c r="G121" i="33" s="1"/>
  <c r="H121" i="33" s="1"/>
  <c r="I121" i="33" s="1"/>
  <c r="J121" i="33" s="1"/>
  <c r="K121" i="33" s="1"/>
  <c r="L121" i="33" s="1"/>
  <c r="M121" i="33" s="1"/>
  <c r="F30" i="40"/>
  <c r="AA30" i="40" s="1"/>
  <c r="AB38" i="34"/>
  <c r="AZ497" i="3"/>
  <c r="AZ515" i="3"/>
  <c r="AZ529" i="3"/>
  <c r="AZ547" i="3"/>
  <c r="AZ549" i="3"/>
  <c r="AB37" i="39"/>
  <c r="AA29" i="35"/>
  <c r="U39" i="39"/>
  <c r="J29" i="39"/>
  <c r="AC29" i="39" s="1"/>
  <c r="AB21" i="39"/>
  <c r="AB17" i="39"/>
  <c r="AB33" i="36"/>
  <c r="AA11" i="36"/>
  <c r="AA14" i="35"/>
  <c r="S14" i="35"/>
  <c r="G99" i="37"/>
  <c r="F33" i="37"/>
  <c r="S33" i="37" s="1"/>
  <c r="U46" i="34"/>
  <c r="AC30" i="34"/>
  <c r="AA14" i="34"/>
  <c r="W12" i="34"/>
  <c r="U29" i="33"/>
  <c r="AC13" i="33"/>
  <c r="U17" i="34"/>
  <c r="AA11" i="34"/>
  <c r="W32" i="33"/>
  <c r="H15" i="33"/>
  <c r="U15" i="33" s="1"/>
  <c r="AA11" i="33"/>
  <c r="AA40" i="21"/>
  <c r="U17" i="21"/>
  <c r="S13" i="39"/>
  <c r="AA13" i="39"/>
  <c r="AB42" i="40"/>
  <c r="U42" i="40"/>
  <c r="W32" i="40"/>
  <c r="H25" i="40"/>
  <c r="AB25" i="40" s="1"/>
  <c r="F94" i="40"/>
  <c r="G94" i="40" s="1"/>
  <c r="U47" i="39"/>
  <c r="W15" i="39"/>
  <c r="J37" i="34"/>
  <c r="AC37" i="34" s="1"/>
  <c r="J36" i="33"/>
  <c r="W36" i="33" s="1"/>
  <c r="AB23" i="40"/>
  <c r="U27" i="39"/>
  <c r="H23" i="39"/>
  <c r="AB23" i="39" s="1"/>
  <c r="J23" i="39"/>
  <c r="AC23" i="39"/>
  <c r="S15" i="34"/>
  <c r="AA15" i="34"/>
  <c r="AA41" i="33"/>
  <c r="AA34" i="33"/>
  <c r="F106" i="33"/>
  <c r="G106" i="33" s="1"/>
  <c r="H106" i="33" s="1"/>
  <c r="I106" i="33" s="1"/>
  <c r="J106" i="33" s="1"/>
  <c r="K106" i="33" s="1"/>
  <c r="L106" i="33" s="1"/>
  <c r="M106" i="33" s="1"/>
  <c r="J34" i="33"/>
  <c r="AC34" i="33" s="1"/>
  <c r="U30" i="40"/>
  <c r="AA37" i="39"/>
  <c r="W29" i="35"/>
  <c r="AA39" i="39"/>
  <c r="S39" i="39"/>
  <c r="U34" i="39"/>
  <c r="AB29" i="39"/>
  <c r="AB44" i="39"/>
  <c r="AC33" i="39"/>
  <c r="W33" i="39"/>
  <c r="AA33" i="39"/>
  <c r="S33" i="39"/>
  <c r="W14" i="35"/>
  <c r="F90" i="34"/>
  <c r="G90" i="34" s="1"/>
  <c r="H90" i="34" s="1"/>
  <c r="I90" i="34" s="1"/>
  <c r="J90" i="34" s="1"/>
  <c r="K90" i="34" s="1"/>
  <c r="L90" i="34" s="1"/>
  <c r="M90" i="34" s="1"/>
  <c r="F27" i="34"/>
  <c r="S27" i="34" s="1"/>
  <c r="AC43" i="39"/>
  <c r="W43" i="39"/>
  <c r="AA43" i="39"/>
  <c r="S43" i="39"/>
  <c r="AA19" i="39"/>
  <c r="G96" i="37"/>
  <c r="H96" i="37"/>
  <c r="I96" i="37" s="1"/>
  <c r="J96" i="37" s="1"/>
  <c r="K96" i="37" s="1"/>
  <c r="L96" i="37"/>
  <c r="M96" i="37" s="1"/>
  <c r="F32" i="37"/>
  <c r="S32" i="37"/>
  <c r="U11" i="35"/>
  <c r="AB11" i="35"/>
  <c r="U14" i="34"/>
  <c r="AC14" i="34"/>
  <c r="F17" i="34"/>
  <c r="AA17" i="34" s="1"/>
  <c r="J17" i="34"/>
  <c r="AC17" i="34"/>
  <c r="H11" i="34"/>
  <c r="AB11" i="34" s="1"/>
  <c r="J35" i="33"/>
  <c r="W35" i="33"/>
  <c r="S32" i="33"/>
  <c r="H11" i="33"/>
  <c r="U11" i="33"/>
  <c r="H10" i="33"/>
  <c r="U10" i="33" s="1"/>
  <c r="I66" i="33"/>
  <c r="J10" i="33"/>
  <c r="U40" i="21"/>
  <c r="U11" i="37"/>
  <c r="U13" i="39"/>
  <c r="AC16" i="35"/>
  <c r="AC13" i="40"/>
  <c r="J11" i="34"/>
  <c r="W11" i="34"/>
  <c r="S17" i="34"/>
  <c r="F25" i="40"/>
  <c r="AA25" i="40"/>
  <c r="J11" i="33"/>
  <c r="W11" i="33" s="1"/>
  <c r="H33" i="37"/>
  <c r="AB33" i="37"/>
  <c r="W15" i="34"/>
  <c r="U20" i="35"/>
  <c r="AB20" i="35"/>
  <c r="W23" i="40"/>
  <c r="AP11" i="1"/>
  <c r="B11" i="1"/>
  <c r="E11" i="1"/>
  <c r="K11" i="1"/>
  <c r="M11" i="1" s="1"/>
  <c r="O11" i="1" s="1"/>
  <c r="B9" i="1"/>
  <c r="E9" i="1" s="1"/>
  <c r="K9" i="1"/>
  <c r="M9" i="1"/>
  <c r="B7" i="1"/>
  <c r="E7" i="1" s="1"/>
  <c r="K7" i="1"/>
  <c r="M7" i="1"/>
  <c r="C20" i="43"/>
  <c r="F6" i="1"/>
  <c r="AP6" i="1" s="1"/>
  <c r="G11" i="1"/>
  <c r="M22" i="44"/>
  <c r="F29" i="12"/>
  <c r="D86" i="9"/>
  <c r="F31" i="43"/>
  <c r="AC25" i="36"/>
  <c r="S23" i="36"/>
  <c r="S8" i="36"/>
  <c r="AA26" i="36"/>
  <c r="AA28" i="36"/>
  <c r="U25" i="36"/>
  <c r="H20" i="36"/>
  <c r="U20" i="36" s="1"/>
  <c r="F68" i="36"/>
  <c r="G68" i="36"/>
  <c r="J20" i="36"/>
  <c r="AC20" i="36" s="1"/>
  <c r="F20" i="36"/>
  <c r="S20" i="36"/>
  <c r="F62" i="36"/>
  <c r="G62" i="36" s="1"/>
  <c r="J14" i="36"/>
  <c r="H14" i="36"/>
  <c r="U14" i="36" s="1"/>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s="1"/>
  <c r="H99" i="37"/>
  <c r="I99" i="37"/>
  <c r="J99" i="37" s="1"/>
  <c r="K99" i="37" s="1"/>
  <c r="L99" i="37" s="1"/>
  <c r="M99" i="37"/>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AC23" i="34" s="1"/>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c r="F87" i="33"/>
  <c r="G87" i="33" s="1"/>
  <c r="H87" i="33" s="1"/>
  <c r="I87" i="33" s="1"/>
  <c r="J87" i="33" s="1"/>
  <c r="K87" i="33" s="1"/>
  <c r="L87" i="33" s="1"/>
  <c r="M87" i="33" s="1"/>
  <c r="F25" i="33"/>
  <c r="F85" i="33"/>
  <c r="G85" i="33"/>
  <c r="J23" i="33"/>
  <c r="W23" i="33" s="1"/>
  <c r="F23" i="33"/>
  <c r="H23" i="33"/>
  <c r="U19" i="33"/>
  <c r="F79" i="33"/>
  <c r="G79" i="33" s="1"/>
  <c r="F17" i="33"/>
  <c r="H17" i="33"/>
  <c r="J17" i="33"/>
  <c r="W17" i="33" s="1"/>
  <c r="S10" i="33"/>
  <c r="S14"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H39" i="40"/>
  <c r="J39" i="40"/>
  <c r="AC39" i="40" s="1"/>
  <c r="F29" i="40"/>
  <c r="H29" i="40"/>
  <c r="J29" i="40"/>
  <c r="F98" i="40"/>
  <c r="G98" i="40" s="1"/>
  <c r="H98" i="40" s="1"/>
  <c r="I98" i="40" s="1"/>
  <c r="J98" i="40" s="1"/>
  <c r="K98" i="40" s="1"/>
  <c r="L98" i="40" s="1"/>
  <c r="M98" i="40" s="1"/>
  <c r="S30" i="40"/>
  <c r="S25" i="40"/>
  <c r="F88" i="40"/>
  <c r="G88" i="40"/>
  <c r="F19" i="40"/>
  <c r="H19" i="40"/>
  <c r="J19" i="40"/>
  <c r="F17" i="40"/>
  <c r="AA17" i="40" s="1"/>
  <c r="H17" i="40"/>
  <c r="AB17" i="40" s="1"/>
  <c r="W21" i="40"/>
  <c r="AB40" i="40"/>
  <c r="U10" i="40"/>
  <c r="U27" i="40"/>
  <c r="AB27" i="40"/>
  <c r="AC44" i="39"/>
  <c r="W13" i="39"/>
  <c r="S11" i="39"/>
  <c r="AB45" i="39"/>
  <c r="S27" i="39"/>
  <c r="AA21" i="39"/>
  <c r="AC19" i="39"/>
  <c r="W29" i="39"/>
  <c r="S29" i="39"/>
  <c r="AC21" i="39"/>
  <c r="AC17" i="39"/>
  <c r="S14" i="39"/>
  <c r="AB15" i="39"/>
  <c r="U11" i="39"/>
  <c r="U41" i="39"/>
  <c r="U23" i="39"/>
  <c r="AB38" i="39"/>
  <c r="U31" i="39"/>
  <c r="AB31" i="39"/>
  <c r="S25" i="39"/>
  <c r="S38" i="39"/>
  <c r="S22" i="31"/>
  <c r="B22" i="63"/>
  <c r="M20" i="15"/>
  <c r="D96" i="9"/>
  <c r="M18" i="15"/>
  <c r="A18" i="64"/>
  <c r="B74" i="63"/>
  <c r="C53" i="10"/>
  <c r="A25" i="64" s="1"/>
  <c r="A18" i="51"/>
  <c r="B14" i="63"/>
  <c r="BA16" i="3"/>
  <c r="BA17" i="3"/>
  <c r="AZ17" i="3" s="1"/>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s="1"/>
  <c r="B67" i="46" s="1"/>
  <c r="E47" i="46"/>
  <c r="E58" i="46"/>
  <c r="B56" i="46" s="1"/>
  <c r="A4" i="64"/>
  <c r="A4" i="51"/>
  <c r="B6" i="63" s="1"/>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s="1"/>
  <c r="T41" i="4"/>
  <c r="A17" i="64"/>
  <c r="B46" i="50"/>
  <c r="B4" i="63" s="1"/>
  <c r="C46" i="36"/>
  <c r="C48" i="35"/>
  <c r="D48" i="35"/>
  <c r="E48" i="35" s="1"/>
  <c r="F48" i="35" s="1"/>
  <c r="G48" i="35" s="1"/>
  <c r="C52" i="37"/>
  <c r="D52" i="37" s="1"/>
  <c r="E52" i="37" s="1"/>
  <c r="F52" i="37" s="1"/>
  <c r="G52" i="37" s="1"/>
  <c r="H52" i="37" s="1"/>
  <c r="I52" i="37" s="1"/>
  <c r="J52" i="37" s="1"/>
  <c r="K52" i="37" s="1"/>
  <c r="O19" i="46"/>
  <c r="K17" i="4"/>
  <c r="A22" i="51"/>
  <c r="B16" i="63"/>
  <c r="H86" i="46"/>
  <c r="H82" i="46"/>
  <c r="H10" i="48"/>
  <c r="H87" i="46"/>
  <c r="H85" i="46"/>
  <c r="H83" i="46"/>
  <c r="K10" i="1"/>
  <c r="M10" i="1"/>
  <c r="S11" i="1"/>
  <c r="R11" i="1"/>
  <c r="S13" i="1"/>
  <c r="R13" i="1"/>
  <c r="B6" i="1"/>
  <c r="E6" i="1" s="1"/>
  <c r="B10" i="1"/>
  <c r="E10" i="1" s="1"/>
  <c r="S10" i="1"/>
  <c r="B8" i="1"/>
  <c r="E8" i="1" s="1"/>
  <c r="B12" i="1"/>
  <c r="E12" i="1"/>
  <c r="S12" i="1"/>
  <c r="K6" i="1"/>
  <c r="M6" i="1" s="1"/>
  <c r="G1" i="15"/>
  <c r="F66" i="36"/>
  <c r="G66" i="36" s="1"/>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AB14" i="36"/>
  <c r="AB18" i="36"/>
  <c r="S26" i="35"/>
  <c r="U26" i="35"/>
  <c r="AB26" i="35"/>
  <c r="W26" i="35"/>
  <c r="AC26" i="35"/>
  <c r="S19" i="37"/>
  <c r="W19" i="37"/>
  <c r="AB19" i="37"/>
  <c r="U19" i="37"/>
  <c r="AC17" i="37"/>
  <c r="W17" i="37"/>
  <c r="U25" i="34"/>
  <c r="AB25" i="34"/>
  <c r="AA25" i="34"/>
  <c r="S25" i="34"/>
  <c r="W25" i="34"/>
  <c r="AC25" i="34"/>
  <c r="U23" i="34"/>
  <c r="AB23" i="34"/>
  <c r="AA23" i="34"/>
  <c r="S23" i="34"/>
  <c r="W23" i="34"/>
  <c r="AA25" i="33"/>
  <c r="S25" i="33"/>
  <c r="U23" i="33"/>
  <c r="AB23" i="33"/>
  <c r="AC23" i="33"/>
  <c r="S23" i="33"/>
  <c r="AA23" i="33"/>
  <c r="AC17" i="33"/>
  <c r="AA17" i="33"/>
  <c r="S17" i="33"/>
  <c r="U17" i="33"/>
  <c r="AB17" i="33"/>
  <c r="U23" i="21"/>
  <c r="AB23" i="21"/>
  <c r="AA23" i="21"/>
  <c r="S23" i="21"/>
  <c r="U15" i="21"/>
  <c r="AB15" i="21"/>
  <c r="W15" i="21"/>
  <c r="AC15" i="21"/>
  <c r="AB39" i="40"/>
  <c r="U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A17" i="51"/>
  <c r="B13" i="63"/>
  <c r="E58" i="39"/>
  <c r="E53" i="40"/>
  <c r="F27" i="6"/>
  <c r="E5" i="6"/>
  <c r="D12" i="11" s="1"/>
  <c r="C12" i="11" s="1"/>
  <c r="AT6" i="3"/>
  <c r="G29" i="6"/>
  <c r="E29" i="6" s="1"/>
  <c r="K15" i="1" s="1"/>
  <c r="AZ16" i="3"/>
  <c r="A9" i="64"/>
  <c r="A9" i="51"/>
  <c r="B9" i="63" s="1"/>
  <c r="A3" i="55"/>
  <c r="B56" i="63"/>
  <c r="E4" i="4"/>
  <c r="B21" i="55" s="1"/>
  <c r="B72" i="63" s="1"/>
  <c r="C4" i="4"/>
  <c r="J18" i="36"/>
  <c r="W18" i="36" s="1"/>
  <c r="AE8" i="1"/>
  <c r="AE7" i="1"/>
  <c r="AC18" i="36"/>
  <c r="AG6" i="1"/>
  <c r="L20" i="6"/>
  <c r="B20" i="55"/>
  <c r="B70" i="63" s="1"/>
  <c r="S7" i="1"/>
  <c r="S8" i="1"/>
  <c r="S9" i="1"/>
  <c r="R9" i="1"/>
  <c r="R7" i="1"/>
  <c r="R8" i="1"/>
  <c r="C45" i="9"/>
  <c r="H14" i="66" s="1"/>
  <c r="B7" i="66" s="1"/>
  <c r="C44" i="9"/>
  <c r="K29" i="9"/>
  <c r="K30" i="9"/>
  <c r="N76" i="9"/>
  <c r="C46" i="9"/>
  <c r="K33" i="9" s="1"/>
  <c r="I14" i="66"/>
  <c r="B8" i="66" s="1"/>
  <c r="C67" i="40"/>
  <c r="D65" i="40"/>
  <c r="D67" i="40" s="1"/>
  <c r="H58" i="46"/>
  <c r="J17" i="46"/>
  <c r="C17" i="46"/>
  <c r="F34" i="46"/>
  <c r="F38" i="46"/>
  <c r="F37" i="46"/>
  <c r="H113" i="46"/>
  <c r="H49" i="46"/>
  <c r="H53" i="46"/>
  <c r="F16" i="59"/>
  <c r="F15" i="59"/>
  <c r="F14" i="59" s="1"/>
  <c r="F13" i="59" s="1"/>
  <c r="H1" i="65"/>
  <c r="H51" i="46"/>
  <c r="X7" i="46"/>
  <c r="E17" i="46"/>
  <c r="N17" i="46"/>
  <c r="O17" i="46"/>
  <c r="M17" i="46"/>
  <c r="L17" i="46"/>
  <c r="E28" i="6"/>
  <c r="P13"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K14" i="1"/>
  <c r="M14" i="1"/>
  <c r="E46" i="36"/>
  <c r="F46" i="36" s="1"/>
  <c r="C7" i="46"/>
  <c r="C31" i="43"/>
  <c r="F31" i="6"/>
  <c r="Y11" i="46"/>
  <c r="Y13" i="46" s="1"/>
  <c r="G22" i="46"/>
  <c r="F101" i="46"/>
  <c r="M101" i="46"/>
  <c r="M107" i="46" s="1"/>
  <c r="AC11" i="46"/>
  <c r="AC13" i="46"/>
  <c r="AJ11" i="46"/>
  <c r="AJ13" i="46" s="1"/>
  <c r="C101" i="46"/>
  <c r="J101" i="46"/>
  <c r="N104" i="45"/>
  <c r="F22" i="46"/>
  <c r="Z7" i="46"/>
  <c r="E22" i="46"/>
  <c r="AA11" i="46"/>
  <c r="AA13" i="46" s="1"/>
  <c r="AF11" i="46"/>
  <c r="AF13" i="46"/>
  <c r="C102" i="46"/>
  <c r="D101" i="46"/>
  <c r="D102" i="46" s="1"/>
  <c r="E101" i="46"/>
  <c r="F102" i="46"/>
  <c r="G101" i="46"/>
  <c r="G102" i="46"/>
  <c r="H101" i="46"/>
  <c r="H102" i="46"/>
  <c r="I101" i="46"/>
  <c r="I102" i="46"/>
  <c r="J102" i="46"/>
  <c r="K101" i="46"/>
  <c r="K102" i="46" s="1"/>
  <c r="L101" i="46"/>
  <c r="L102" i="46"/>
  <c r="N101" i="46"/>
  <c r="N102" i="46"/>
  <c r="C103" i="46"/>
  <c r="F103" i="46"/>
  <c r="G103" i="46"/>
  <c r="H103" i="46"/>
  <c r="I103" i="46"/>
  <c r="J103" i="46"/>
  <c r="L103" i="46"/>
  <c r="N103" i="46"/>
  <c r="C104" i="46"/>
  <c r="D104" i="46"/>
  <c r="F104" i="46"/>
  <c r="G104" i="46"/>
  <c r="H104" i="46"/>
  <c r="I104" i="46"/>
  <c r="J104" i="46"/>
  <c r="L104" i="46"/>
  <c r="N104" i="46"/>
  <c r="C105" i="46"/>
  <c r="F105" i="46"/>
  <c r="G105" i="46"/>
  <c r="H105" i="46"/>
  <c r="I105" i="46"/>
  <c r="J105" i="46"/>
  <c r="L105" i="46"/>
  <c r="N105" i="46"/>
  <c r="C106" i="46"/>
  <c r="D106" i="46"/>
  <c r="F106" i="46"/>
  <c r="G106" i="46"/>
  <c r="H106" i="46"/>
  <c r="I106" i="46"/>
  <c r="J106" i="46"/>
  <c r="L106" i="46"/>
  <c r="N106" i="46"/>
  <c r="C107" i="46"/>
  <c r="F107" i="46"/>
  <c r="G107" i="46"/>
  <c r="H107" i="46"/>
  <c r="I107" i="46"/>
  <c r="J107" i="46"/>
  <c r="L107" i="46"/>
  <c r="N107" i="46"/>
  <c r="H22" i="46"/>
  <c r="J22" i="46"/>
  <c r="AD11" i="46"/>
  <c r="AD13" i="46"/>
  <c r="B113" i="46"/>
  <c r="AG11" i="46"/>
  <c r="AG13" i="46" s="1"/>
  <c r="Z11" i="46"/>
  <c r="Z13" i="46" s="1"/>
  <c r="AH11" i="46"/>
  <c r="AH13" i="46"/>
  <c r="AI11" i="46"/>
  <c r="AE11" i="46"/>
  <c r="AE13" i="46" s="1"/>
  <c r="AB11" i="46"/>
  <c r="BL13" i="3"/>
  <c r="AZ13" i="3" s="1"/>
  <c r="L19" i="6"/>
  <c r="L27" i="6" s="1"/>
  <c r="G30" i="6"/>
  <c r="G31" i="6"/>
  <c r="C15" i="43"/>
  <c r="H12" i="48"/>
  <c r="G6" i="1"/>
  <c r="I20" i="46"/>
  <c r="L52" i="37"/>
  <c r="D58" i="33"/>
  <c r="D58" i="21"/>
  <c r="D59" i="34"/>
  <c r="A25" i="51"/>
  <c r="B18" i="63"/>
  <c r="C29" i="12"/>
  <c r="C95" i="9"/>
  <c r="C92" i="9" s="1"/>
  <c r="C27" i="43"/>
  <c r="D22" i="46"/>
  <c r="H71" i="46"/>
  <c r="H75" i="46"/>
  <c r="H72" i="46"/>
  <c r="H77" i="46"/>
  <c r="H70" i="46"/>
  <c r="H73" i="46"/>
  <c r="H74" i="46"/>
  <c r="H69" i="46"/>
  <c r="H76" i="46"/>
  <c r="F28" i="15"/>
  <c r="C28" i="15"/>
  <c r="F30" i="44"/>
  <c r="C30" i="44" s="1"/>
  <c r="M20" i="44"/>
  <c r="F70" i="9"/>
  <c r="F32" i="15"/>
  <c r="F59" i="15" s="1"/>
  <c r="F72" i="9"/>
  <c r="F66" i="9"/>
  <c r="P72" i="9" s="1"/>
  <c r="O9" i="1"/>
  <c r="P9" i="1"/>
  <c r="O14" i="1"/>
  <c r="J109" i="46"/>
  <c r="D21" i="12"/>
  <c r="C21" i="12" s="1"/>
  <c r="I109" i="46"/>
  <c r="O8" i="1"/>
  <c r="P8" i="1"/>
  <c r="O6" i="1"/>
  <c r="P6" i="1" s="1"/>
  <c r="M109" i="46"/>
  <c r="K77" i="9"/>
  <c r="K79" i="9"/>
  <c r="K81" i="9" s="1"/>
  <c r="F31" i="15"/>
  <c r="F33" i="44"/>
  <c r="Y3" i="59"/>
  <c r="Z3" i="59"/>
  <c r="P22" i="46"/>
  <c r="P24" i="46"/>
  <c r="B68" i="40"/>
  <c r="P23" i="46"/>
  <c r="P25" i="46"/>
  <c r="B73" i="39" s="1"/>
  <c r="P21" i="46"/>
  <c r="I1" i="65"/>
  <c r="F58" i="15"/>
  <c r="M17" i="15"/>
  <c r="E109" i="46"/>
  <c r="I116" i="46"/>
  <c r="J116" i="46"/>
  <c r="K116" i="46" s="1"/>
  <c r="L116" i="46"/>
  <c r="M116" i="46" s="1"/>
  <c r="I118" i="46"/>
  <c r="J118" i="46" s="1"/>
  <c r="K118" i="46"/>
  <c r="L118" i="46" s="1"/>
  <c r="M118" i="46"/>
  <c r="D116" i="46"/>
  <c r="E116" i="46"/>
  <c r="F116" i="46" s="1"/>
  <c r="G116" i="46"/>
  <c r="H116" i="46" s="1"/>
  <c r="D117" i="46"/>
  <c r="E117" i="46" s="1"/>
  <c r="F117" i="46"/>
  <c r="G117" i="46" s="1"/>
  <c r="H117" i="46" s="1"/>
  <c r="D115" i="46"/>
  <c r="E115" i="46"/>
  <c r="F115" i="46" s="1"/>
  <c r="G115" i="46"/>
  <c r="H115" i="46" s="1"/>
  <c r="G118" i="46"/>
  <c r="H118" i="46" s="1"/>
  <c r="B118" i="46"/>
  <c r="C118" i="46" s="1"/>
  <c r="B115" i="46"/>
  <c r="I115" i="46"/>
  <c r="J115" i="46"/>
  <c r="K115" i="46" s="1"/>
  <c r="L115" i="46"/>
  <c r="M115" i="46" s="1"/>
  <c r="B116" i="46"/>
  <c r="C116" i="46" s="1"/>
  <c r="I117" i="46"/>
  <c r="J117" i="46" s="1"/>
  <c r="K117" i="46" s="1"/>
  <c r="L117" i="46" s="1"/>
  <c r="M117" i="46" s="1"/>
  <c r="D118" i="46"/>
  <c r="E118" i="46"/>
  <c r="F118" i="46" s="1"/>
  <c r="B117" i="46"/>
  <c r="C117" i="46" s="1"/>
  <c r="K109" i="46"/>
  <c r="L109" i="46"/>
  <c r="G109" i="46"/>
  <c r="N109" i="46"/>
  <c r="D109" i="46"/>
  <c r="H109" i="46"/>
  <c r="C109" i="46"/>
  <c r="F109" i="46"/>
  <c r="E59" i="34"/>
  <c r="E58" i="21"/>
  <c r="F58" i="21" s="1"/>
  <c r="G58" i="21" s="1"/>
  <c r="H58" i="21" s="1"/>
  <c r="E58" i="33"/>
  <c r="M19" i="44"/>
  <c r="C115" i="46"/>
  <c r="F59" i="34"/>
  <c r="G59" i="34" s="1"/>
  <c r="F58" i="33"/>
  <c r="G58" i="33"/>
  <c r="H58" i="33" s="1"/>
  <c r="C15" i="12"/>
  <c r="D77" i="9"/>
  <c r="N75" i="9" s="1"/>
  <c r="D66" i="9"/>
  <c r="N72" i="9" s="1"/>
  <c r="C21" i="46"/>
  <c r="L49" i="44"/>
  <c r="M27" i="15"/>
  <c r="J36" i="15"/>
  <c r="F45" i="44"/>
  <c r="F41" i="15"/>
  <c r="F43" i="15"/>
  <c r="B14" i="67"/>
  <c r="F39" i="44"/>
  <c r="F16" i="15"/>
  <c r="J5" i="65"/>
  <c r="M24" i="44"/>
  <c r="F37" i="44"/>
  <c r="F11" i="67"/>
  <c r="N3" i="65"/>
  <c r="F8" i="44"/>
  <c r="M23" i="44"/>
  <c r="F40" i="15"/>
  <c r="J7" i="65"/>
  <c r="F40" i="44"/>
  <c r="F18" i="44"/>
  <c r="M28" i="15"/>
  <c r="F11" i="44"/>
  <c r="F10" i="44"/>
  <c r="F26" i="15"/>
  <c r="I6" i="65"/>
  <c r="E8" i="67"/>
  <c r="M21" i="15"/>
  <c r="J4" i="65"/>
  <c r="M23" i="15"/>
  <c r="M6" i="15"/>
  <c r="M30" i="44"/>
  <c r="I7" i="65"/>
  <c r="B12" i="67"/>
  <c r="E13" i="67"/>
  <c r="M26" i="44"/>
  <c r="J17" i="44"/>
  <c r="M8" i="15"/>
  <c r="C19" i="44"/>
  <c r="F28" i="44"/>
  <c r="J15" i="15"/>
  <c r="F12" i="67"/>
  <c r="B8" i="67"/>
  <c r="F38" i="15"/>
  <c r="E9" i="67"/>
  <c r="F7" i="67"/>
  <c r="F42" i="15"/>
  <c r="F43" i="44"/>
  <c r="M24" i="15"/>
  <c r="M25" i="44"/>
  <c r="F14" i="67"/>
  <c r="M10" i="44"/>
  <c r="L47" i="15"/>
  <c r="F7" i="15"/>
  <c r="M29" i="15"/>
  <c r="J3" i="65"/>
  <c r="L48" i="15"/>
  <c r="I3" i="65"/>
  <c r="I5" i="65"/>
  <c r="B11" i="67"/>
  <c r="B13" i="67"/>
  <c r="F6" i="15"/>
  <c r="F13" i="15"/>
  <c r="F8" i="67"/>
  <c r="F35" i="15"/>
  <c r="F9" i="67"/>
  <c r="B7" i="67"/>
  <c r="M9" i="15"/>
  <c r="F9" i="15"/>
  <c r="E14" i="67"/>
  <c r="E11" i="67"/>
  <c r="E7" i="67"/>
  <c r="F9" i="44"/>
  <c r="F8" i="15"/>
  <c r="B10" i="67"/>
  <c r="I4" i="65"/>
  <c r="M11" i="44"/>
  <c r="M31" i="44"/>
  <c r="M8" i="44"/>
  <c r="E10" i="67"/>
  <c r="J6" i="65"/>
  <c r="M22" i="15"/>
  <c r="F37" i="15"/>
  <c r="N4" i="65"/>
  <c r="B9" i="67"/>
  <c r="N7" i="65"/>
  <c r="N5" i="65"/>
  <c r="N6" i="65"/>
  <c r="M28" i="44"/>
  <c r="M26" i="15"/>
  <c r="F46" i="44"/>
  <c r="M29" i="44"/>
  <c r="F15" i="44"/>
  <c r="F36" i="15"/>
  <c r="F13" i="67"/>
  <c r="E12" i="67"/>
  <c r="F38" i="44"/>
  <c r="F10" i="67"/>
  <c r="L48" i="44"/>
  <c r="E7" i="52" l="1"/>
  <c r="W17" i="40"/>
  <c r="AC17" i="40"/>
  <c r="G86" i="40"/>
  <c r="U17" i="40"/>
  <c r="S17" i="40"/>
  <c r="D70" i="39"/>
  <c r="C72" i="39"/>
  <c r="B5" i="52"/>
  <c r="E12" i="52"/>
  <c r="I58" i="21"/>
  <c r="J58" i="21" s="1"/>
  <c r="K58" i="21" s="1"/>
  <c r="L58" i="21" s="1"/>
  <c r="M58" i="21" s="1"/>
  <c r="N58" i="21" s="1"/>
  <c r="O58" i="21" s="1"/>
  <c r="F7" i="21"/>
  <c r="I58" i="33"/>
  <c r="J58" i="33" s="1"/>
  <c r="K58" i="33" s="1"/>
  <c r="L58" i="33" s="1"/>
  <c r="M58" i="33" s="1"/>
  <c r="N58" i="33" s="1"/>
  <c r="O58" i="33" s="1"/>
  <c r="J7" i="33"/>
  <c r="H7" i="33"/>
  <c r="F12" i="59"/>
  <c r="F11" i="59" s="1"/>
  <c r="F10" i="59" s="1"/>
  <c r="F9" i="59" s="1"/>
  <c r="V13" i="59"/>
  <c r="H59" i="34"/>
  <c r="I59" i="34" s="1"/>
  <c r="J59" i="34" s="1"/>
  <c r="K59" i="34" s="1"/>
  <c r="L59" i="34" s="1"/>
  <c r="M59" i="34" s="1"/>
  <c r="N59" i="34" s="1"/>
  <c r="O59" i="34" s="1"/>
  <c r="G46" i="36"/>
  <c r="D113" i="46"/>
  <c r="M52" i="37"/>
  <c r="E103" i="46"/>
  <c r="E104" i="46"/>
  <c r="E105" i="46"/>
  <c r="E106" i="46"/>
  <c r="E107" i="46"/>
  <c r="P14" i="1"/>
  <c r="K107" i="46"/>
  <c r="K105" i="46"/>
  <c r="K103" i="46"/>
  <c r="G14" i="66"/>
  <c r="B6" i="66" s="1"/>
  <c r="O39" i="9"/>
  <c r="R6" i="54" s="1"/>
  <c r="B50" i="63" s="1"/>
  <c r="M103" i="46"/>
  <c r="M104" i="46"/>
  <c r="M105" i="46"/>
  <c r="M106" i="46"/>
  <c r="AB13" i="46"/>
  <c r="D107" i="46"/>
  <c r="K106" i="46"/>
  <c r="D105" i="46"/>
  <c r="K104" i="46"/>
  <c r="D103" i="46"/>
  <c r="M102" i="46"/>
  <c r="E102" i="46"/>
  <c r="S3" i="46" s="1"/>
  <c r="E30" i="6"/>
  <c r="K34" i="9"/>
  <c r="N69" i="9"/>
  <c r="H48" i="35"/>
  <c r="E65" i="40"/>
  <c r="O41" i="9"/>
  <c r="R8" i="54" s="1"/>
  <c r="B54" i="63" s="1"/>
  <c r="O40" i="9"/>
  <c r="W39" i="40"/>
  <c r="P11" i="1"/>
  <c r="AC23" i="21"/>
  <c r="U27" i="33"/>
  <c r="AB27" i="33"/>
  <c r="O10" i="1"/>
  <c r="P10" i="1"/>
  <c r="O7" i="1"/>
  <c r="P7" i="1" s="1"/>
  <c r="AC10" i="33"/>
  <c r="W10" i="33"/>
  <c r="AZ520" i="3"/>
  <c r="W20" i="36"/>
  <c r="AB13" i="33"/>
  <c r="U32" i="34"/>
  <c r="AB46" i="39"/>
  <c r="S16" i="39"/>
  <c r="AB34" i="40"/>
  <c r="W15" i="40"/>
  <c r="BG5" i="3"/>
  <c r="U27" i="35"/>
  <c r="AB27" i="35"/>
  <c r="H24" i="36"/>
  <c r="J24" i="36"/>
  <c r="AC38" i="39"/>
  <c r="AA23" i="40"/>
  <c r="U25" i="33"/>
  <c r="AC11" i="33"/>
  <c r="W34" i="33"/>
  <c r="AA30" i="34"/>
  <c r="AA33" i="37"/>
  <c r="AC36" i="33"/>
  <c r="AC15" i="33"/>
  <c r="U12" i="34"/>
  <c r="S46" i="34"/>
  <c r="U11" i="36"/>
  <c r="W39" i="39"/>
  <c r="S41" i="40"/>
  <c r="AC16" i="40"/>
  <c r="U19" i="39"/>
  <c r="AA36" i="37"/>
  <c r="AA10" i="35"/>
  <c r="S45" i="21"/>
  <c r="W31" i="34"/>
  <c r="AB13" i="21"/>
  <c r="W46" i="33"/>
  <c r="AC35" i="35"/>
  <c r="S27" i="33"/>
  <c r="AB9" i="21"/>
  <c r="G571" i="3"/>
  <c r="BI5" i="3"/>
  <c r="AA8" i="21"/>
  <c r="H12" i="21"/>
  <c r="F12" i="21"/>
  <c r="AC24" i="35"/>
  <c r="W24" i="35"/>
  <c r="H36" i="35"/>
  <c r="J36" i="35"/>
  <c r="AB15" i="33"/>
  <c r="S17" i="39"/>
  <c r="AC41" i="34"/>
  <c r="AB40" i="37"/>
  <c r="BA570" i="3"/>
  <c r="AZ570" i="3" s="1"/>
  <c r="H9" i="35"/>
  <c r="G504" i="3"/>
  <c r="G532" i="3"/>
  <c r="AZ406" i="3"/>
  <c r="AZ409" i="3"/>
  <c r="AZ416" i="3"/>
  <c r="AZ389" i="3"/>
  <c r="AZ393" i="3"/>
  <c r="AZ395" i="3"/>
  <c r="AZ404" i="3"/>
  <c r="AZ412" i="3"/>
  <c r="AZ435" i="3"/>
  <c r="AZ437" i="3"/>
  <c r="AZ445" i="3"/>
  <c r="AZ447" i="3"/>
  <c r="AZ460" i="3"/>
  <c r="J38" i="40"/>
  <c r="AC38" i="40" s="1"/>
  <c r="G509" i="3"/>
  <c r="AZ392" i="3"/>
  <c r="AZ400" i="3"/>
  <c r="AZ413" i="3"/>
  <c r="AZ429" i="3"/>
  <c r="AZ453" i="3"/>
  <c r="G457" i="3"/>
  <c r="BL463" i="3"/>
  <c r="AZ463" i="3" s="1"/>
  <c r="BA469" i="3"/>
  <c r="AZ469" i="3" s="1"/>
  <c r="G473" i="3"/>
  <c r="G478" i="3"/>
  <c r="G305" i="3"/>
  <c r="G309" i="3"/>
  <c r="BA313" i="3"/>
  <c r="AZ313" i="3" s="1"/>
  <c r="G317" i="3"/>
  <c r="G320" i="3"/>
  <c r="AZ386" i="3"/>
  <c r="AZ222" i="3"/>
  <c r="AZ287" i="3"/>
  <c r="AZ116" i="3"/>
  <c r="AZ120" i="3"/>
  <c r="AZ128" i="3"/>
  <c r="AZ117" i="3"/>
  <c r="AZ129" i="3"/>
  <c r="C18" i="9"/>
  <c r="G465" i="3"/>
  <c r="BL471" i="3"/>
  <c r="AZ471" i="3" s="1"/>
  <c r="G307" i="3"/>
  <c r="BA311" i="3"/>
  <c r="AZ311" i="3" s="1"/>
  <c r="BA319" i="3"/>
  <c r="AZ319" i="3" s="1"/>
  <c r="AZ384" i="3"/>
  <c r="AZ206" i="3"/>
  <c r="AZ218" i="3"/>
  <c r="BL458" i="3"/>
  <c r="AZ458" i="3" s="1"/>
  <c r="G470" i="3"/>
  <c r="BL474" i="3"/>
  <c r="AZ474" i="3" s="1"/>
  <c r="AZ480" i="3"/>
  <c r="AZ182" i="3"/>
  <c r="AZ25" i="3"/>
  <c r="AZ28" i="3"/>
  <c r="AZ34" i="3"/>
  <c r="AZ41" i="3"/>
  <c r="BA42" i="3"/>
  <c r="AZ42" i="3" s="1"/>
  <c r="AZ69" i="3"/>
  <c r="AZ155" i="3"/>
  <c r="BA158" i="3"/>
  <c r="AZ158" i="3" s="1"/>
  <c r="BA168" i="3"/>
  <c r="AZ168" i="3" s="1"/>
  <c r="BA171" i="3"/>
  <c r="AZ171" i="3" s="1"/>
  <c r="BA183" i="3"/>
  <c r="AZ183" i="3" s="1"/>
  <c r="BA197" i="3"/>
  <c r="AZ197" i="3" s="1"/>
  <c r="BA21" i="3"/>
  <c r="BA22" i="3"/>
  <c r="AZ22" i="3" s="1"/>
  <c r="AZ26" i="3"/>
  <c r="AZ29" i="3"/>
  <c r="BA35" i="3"/>
  <c r="AZ35" i="3" s="1"/>
  <c r="BA36" i="3"/>
  <c r="AZ36" i="3" s="1"/>
  <c r="AZ37" i="3"/>
  <c r="BA39" i="3"/>
  <c r="AZ39" i="3" s="1"/>
  <c r="BL44" i="3"/>
  <c r="BL50" i="3"/>
  <c r="BL149" i="3"/>
  <c r="AZ149" i="3" s="1"/>
  <c r="BA154" i="3"/>
  <c r="AZ154" i="3" s="1"/>
  <c r="BA156" i="3"/>
  <c r="AZ156" i="3" s="1"/>
  <c r="BL159" i="3"/>
  <c r="AZ159" i="3" s="1"/>
  <c r="G160" i="3"/>
  <c r="BL161" i="3"/>
  <c r="AZ161" i="3" s="1"/>
  <c r="G162" i="3"/>
  <c r="BA166" i="3"/>
  <c r="AZ166" i="3" s="1"/>
  <c r="BL176" i="3"/>
  <c r="AZ176" i="3" s="1"/>
  <c r="G179" i="3"/>
  <c r="BA186" i="3"/>
  <c r="AZ186" i="3" s="1"/>
  <c r="BA191" i="3"/>
  <c r="AZ191" i="3" s="1"/>
  <c r="BL198" i="3"/>
  <c r="AZ198" i="3" s="1"/>
  <c r="BL200" i="3"/>
  <c r="AZ200" i="3" s="1"/>
  <c r="BA202" i="3"/>
  <c r="AZ202" i="3" s="1"/>
  <c r="AZ204" i="3"/>
  <c r="BL30" i="3"/>
  <c r="G31" i="3"/>
  <c r="BL32" i="3"/>
  <c r="AZ32" i="3" s="1"/>
  <c r="G33" i="3"/>
  <c r="AZ38" i="3"/>
  <c r="G42" i="3"/>
  <c r="BL43" i="3"/>
  <c r="AZ43" i="3" s="1"/>
  <c r="G48" i="3"/>
  <c r="BL49" i="3"/>
  <c r="AZ49" i="3" s="1"/>
  <c r="AZ53" i="3"/>
  <c r="AZ61" i="3"/>
  <c r="G152" i="3"/>
  <c r="BL152" i="3"/>
  <c r="AZ152" i="3" s="1"/>
  <c r="G164" i="3"/>
  <c r="AZ44" i="3"/>
  <c r="AZ50" i="3"/>
  <c r="G53" i="3"/>
  <c r="BL58" i="3"/>
  <c r="BA62" i="3"/>
  <c r="AZ62" i="3" s="1"/>
  <c r="BA64" i="3"/>
  <c r="AZ64" i="3" s="1"/>
  <c r="BL67" i="3"/>
  <c r="BA70" i="3"/>
  <c r="AZ70" i="3" s="1"/>
  <c r="BL72" i="3"/>
  <c r="AZ72" i="3" s="1"/>
  <c r="G74" i="3"/>
  <c r="BA76" i="3"/>
  <c r="AZ76" i="3" s="1"/>
  <c r="AZ81" i="3"/>
  <c r="BA82" i="3"/>
  <c r="AZ82" i="3" s="1"/>
  <c r="BA84" i="3"/>
  <c r="AZ84" i="3" s="1"/>
  <c r="AZ101" i="3"/>
  <c r="AZ104" i="3"/>
  <c r="C37" i="59"/>
  <c r="D36" i="59"/>
  <c r="BA52" i="3"/>
  <c r="AZ52" i="3" s="1"/>
  <c r="G56" i="3"/>
  <c r="BA58" i="3"/>
  <c r="AZ58" i="3" s="1"/>
  <c r="BL60" i="3"/>
  <c r="AZ60" i="3" s="1"/>
  <c r="G62" i="3"/>
  <c r="BA65" i="3"/>
  <c r="AZ65" i="3" s="1"/>
  <c r="BA67" i="3"/>
  <c r="AZ67" i="3" s="1"/>
  <c r="BL73" i="3"/>
  <c r="BA77" i="3"/>
  <c r="AZ77" i="3" s="1"/>
  <c r="I21" i="57"/>
  <c r="D1" i="57"/>
  <c r="E10" i="57" s="1"/>
  <c r="S21" i="59"/>
  <c r="B20" i="59"/>
  <c r="B19" i="59" s="1"/>
  <c r="BL51" i="3"/>
  <c r="AZ51" i="3" s="1"/>
  <c r="BL55" i="3"/>
  <c r="AZ55" i="3" s="1"/>
  <c r="BL61" i="3"/>
  <c r="BL63" i="3"/>
  <c r="AZ63" i="3" s="1"/>
  <c r="G65" i="3"/>
  <c r="BA68" i="3"/>
  <c r="AZ68" i="3" s="1"/>
  <c r="G71" i="3"/>
  <c r="BA73" i="3"/>
  <c r="AZ73" i="3" s="1"/>
  <c r="BL75" i="3"/>
  <c r="AZ75" i="3" s="1"/>
  <c r="G77" i="3"/>
  <c r="BA79" i="3"/>
  <c r="AZ79" i="3" s="1"/>
  <c r="BL81" i="3"/>
  <c r="G85" i="3"/>
  <c r="BL86" i="3"/>
  <c r="AZ86" i="3" s="1"/>
  <c r="AZ89" i="3"/>
  <c r="AZ93" i="3"/>
  <c r="AZ109" i="3"/>
  <c r="M19" i="46"/>
  <c r="V33" i="59"/>
  <c r="K12" i="1"/>
  <c r="T49" i="59"/>
  <c r="T25" i="59"/>
  <c r="D80" i="59"/>
  <c r="E72" i="59"/>
  <c r="E71" i="59" s="1"/>
  <c r="C68" i="59"/>
  <c r="C27" i="59"/>
  <c r="E27" i="59"/>
  <c r="E28" i="59" s="1"/>
  <c r="E29" i="59" s="1"/>
  <c r="U29" i="59" s="1"/>
  <c r="Y30" i="59"/>
  <c r="Z30" i="59" s="1"/>
  <c r="C31" i="59"/>
  <c r="AA30" i="59"/>
  <c r="S65" i="59"/>
  <c r="V65" i="59"/>
  <c r="F64" i="59"/>
  <c r="F63" i="59" s="1"/>
  <c r="T69" i="59"/>
  <c r="AA11" i="59"/>
  <c r="D22" i="15"/>
  <c r="S27" i="40"/>
  <c r="B85" i="46"/>
  <c r="AA21" i="34"/>
  <c r="X22" i="59"/>
  <c r="B23" i="59"/>
  <c r="B24" i="59" s="1"/>
  <c r="B25" i="59" s="1"/>
  <c r="S25" i="59" s="1"/>
  <c r="AA21" i="59"/>
  <c r="E21" i="59"/>
  <c r="AI12" i="46"/>
  <c r="AI13" i="46" s="1"/>
  <c r="AI10" i="46"/>
  <c r="B16" i="59"/>
  <c r="B15" i="59" s="1"/>
  <c r="B14" i="59" s="1"/>
  <c r="B13" i="59" s="1"/>
  <c r="S17" i="59"/>
  <c r="AA20" i="59"/>
  <c r="AB19" i="59"/>
  <c r="AB3" i="59"/>
  <c r="AA18" i="59"/>
  <c r="Y17" i="59"/>
  <c r="Z17" i="59" s="1"/>
  <c r="C17" i="59"/>
  <c r="Y6" i="59"/>
  <c r="Z6" i="59" s="1"/>
  <c r="AA16" i="59"/>
  <c r="Y15" i="59"/>
  <c r="Z15" i="59" s="1"/>
  <c r="AB15" i="59"/>
  <c r="D83" i="46"/>
  <c r="AA3" i="59"/>
  <c r="F27" i="59"/>
  <c r="F28" i="59" s="1"/>
  <c r="F29" i="59" s="1"/>
  <c r="V29" i="59" s="1"/>
  <c r="AB26" i="59"/>
  <c r="T65" i="59"/>
  <c r="D65" i="59"/>
  <c r="AB21" i="59"/>
  <c r="AA19" i="59"/>
  <c r="AB18" i="59"/>
  <c r="AB14" i="59"/>
  <c r="D76" i="59"/>
  <c r="X3" i="59"/>
  <c r="Y22" i="59"/>
  <c r="Z22" i="59" s="1"/>
  <c r="E32" i="59"/>
  <c r="E33" i="59" s="1"/>
  <c r="U33" i="59" s="1"/>
  <c r="X21" i="59"/>
  <c r="X18" i="59"/>
  <c r="X10" i="59"/>
  <c r="F19" i="59"/>
  <c r="X14" i="59"/>
  <c r="AB20" i="59"/>
  <c r="Y19" i="59"/>
  <c r="Z19" i="59" s="1"/>
  <c r="Y18" i="59"/>
  <c r="Z18" i="59" s="1"/>
  <c r="X17" i="59"/>
  <c r="Y16" i="59"/>
  <c r="Z16" i="59" s="1"/>
  <c r="AA14" i="59"/>
  <c r="AA13" i="59"/>
  <c r="Y11" i="59"/>
  <c r="Z11" i="59" s="1"/>
  <c r="AB11" i="59"/>
  <c r="AB9" i="59"/>
  <c r="AA10" i="59"/>
  <c r="AA8" i="59"/>
  <c r="AB6" i="59"/>
  <c r="AB5" i="59"/>
  <c r="AB13" i="59"/>
  <c r="X12" i="59"/>
  <c r="AA12" i="59"/>
  <c r="X9" i="59"/>
  <c r="AB8" i="59"/>
  <c r="AB10" i="59"/>
  <c r="X6" i="59"/>
  <c r="X5" i="59"/>
  <c r="Y20" i="59"/>
  <c r="Z20" i="59" s="1"/>
  <c r="AA17" i="59"/>
  <c r="E17" i="59"/>
  <c r="AB16" i="59"/>
  <c r="Y14" i="59"/>
  <c r="Z14" i="59" s="1"/>
  <c r="X13" i="59"/>
  <c r="X11" i="59"/>
  <c r="Y9" i="59"/>
  <c r="Z9" i="59" s="1"/>
  <c r="X8" i="59"/>
  <c r="AB7" i="59"/>
  <c r="Y5" i="59"/>
  <c r="Z5" i="59" s="1"/>
  <c r="AA22" i="59"/>
  <c r="Y23" i="59"/>
  <c r="Z23" i="59" s="1"/>
  <c r="Y24" i="59"/>
  <c r="Z24" i="59" s="1"/>
  <c r="Y25" i="59"/>
  <c r="Z25" i="59" s="1"/>
  <c r="AA28" i="59"/>
  <c r="AA29" i="59"/>
  <c r="Y21" i="59"/>
  <c r="Z21" i="59" s="1"/>
  <c r="C21" i="59"/>
  <c r="X19" i="59"/>
  <c r="X20" i="59"/>
  <c r="AB17" i="59"/>
  <c r="X16" i="59"/>
  <c r="X15" i="59"/>
  <c r="Y13" i="59"/>
  <c r="Z13" i="59" s="1"/>
  <c r="Y12" i="59"/>
  <c r="Z12" i="59" s="1"/>
  <c r="AB12" i="59"/>
  <c r="AA9" i="59"/>
  <c r="Y10" i="59"/>
  <c r="Z10" i="59" s="1"/>
  <c r="Y8" i="59"/>
  <c r="Z8" i="59" s="1"/>
  <c r="X7" i="59"/>
  <c r="AA15" i="59"/>
  <c r="AA5" i="59"/>
  <c r="AA7" i="59"/>
  <c r="Y7" i="59"/>
  <c r="Z7" i="59" s="1"/>
  <c r="AA6" i="59"/>
  <c r="D18" i="9"/>
  <c r="M44" i="9" s="1"/>
  <c r="M43" i="9"/>
  <c r="S38" i="40"/>
  <c r="W34" i="40"/>
  <c r="B14" i="52"/>
  <c r="B8" i="52"/>
  <c r="E14" i="52"/>
  <c r="U16" i="40"/>
  <c r="AC14" i="40"/>
  <c r="AB14" i="40"/>
  <c r="B12" i="52"/>
  <c r="B10" i="52"/>
  <c r="E4" i="52"/>
  <c r="E11" i="52"/>
  <c r="B4" i="52"/>
  <c r="E80" i="46"/>
  <c r="B78" i="46" s="1"/>
  <c r="C24" i="46" s="1"/>
  <c r="E5" i="52"/>
  <c r="E8" i="52"/>
  <c r="B11" i="52"/>
  <c r="B6" i="52"/>
  <c r="E10" i="52"/>
  <c r="E13" i="52"/>
  <c r="B9" i="52"/>
  <c r="E9" i="52"/>
  <c r="E6" i="52"/>
  <c r="B7" i="52"/>
  <c r="G17" i="46"/>
  <c r="J20" i="15"/>
  <c r="E3" i="67"/>
  <c r="J22" i="44"/>
  <c r="C34" i="15"/>
  <c r="F62" i="15"/>
  <c r="C61" i="15" s="1"/>
  <c r="B2" i="67"/>
  <c r="E4" i="67"/>
  <c r="C36" i="44"/>
  <c r="F63" i="15"/>
  <c r="F64" i="15"/>
  <c r="M9" i="44"/>
  <c r="J8" i="44" s="1"/>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E20" i="46"/>
  <c r="L60" i="44"/>
  <c r="L59" i="44"/>
  <c r="C6" i="15"/>
  <c r="F70" i="15"/>
  <c r="E2" i="65"/>
  <c r="C18" i="44"/>
  <c r="C16" i="15"/>
  <c r="C17" i="15"/>
  <c r="E3" i="65"/>
  <c r="W38" i="40" l="1"/>
  <c r="H7" i="21"/>
  <c r="J7" i="21"/>
  <c r="E70" i="39"/>
  <c r="D72" i="39"/>
  <c r="E20" i="59"/>
  <c r="E19" i="59" s="1"/>
  <c r="U21" i="59"/>
  <c r="G5" i="3"/>
  <c r="B3" i="3" s="1"/>
  <c r="E74" i="3" s="1"/>
  <c r="AZ21" i="3"/>
  <c r="BA5" i="3"/>
  <c r="E27" i="6" s="1"/>
  <c r="U36" i="35"/>
  <c r="AB36" i="35"/>
  <c r="AB12" i="21"/>
  <c r="U12" i="21"/>
  <c r="M84" i="9"/>
  <c r="N84" i="9" s="1"/>
  <c r="M87" i="9"/>
  <c r="N87" i="9" s="1"/>
  <c r="M83" i="9"/>
  <c r="N83" i="9" s="1"/>
  <c r="N89" i="9" s="1"/>
  <c r="O89" i="9" s="1"/>
  <c r="M86" i="9"/>
  <c r="N86" i="9" s="1"/>
  <c r="M88" i="9"/>
  <c r="N88" i="9" s="1"/>
  <c r="M85" i="9"/>
  <c r="N85" i="9" s="1"/>
  <c r="N52" i="37"/>
  <c r="F7" i="33"/>
  <c r="B12" i="59"/>
  <c r="B11" i="59" s="1"/>
  <c r="B10" i="59" s="1"/>
  <c r="B9" i="59" s="1"/>
  <c r="S13" i="59"/>
  <c r="C28" i="59"/>
  <c r="D27" i="59"/>
  <c r="D37" i="59"/>
  <c r="T37" i="59"/>
  <c r="BL5" i="3"/>
  <c r="AZ30" i="3"/>
  <c r="E307" i="3"/>
  <c r="E320" i="3"/>
  <c r="AB9" i="35"/>
  <c r="U9" i="35"/>
  <c r="W24" i="36"/>
  <c r="AC24" i="36"/>
  <c r="E15" i="6"/>
  <c r="E12" i="6"/>
  <c r="E10" i="6"/>
  <c r="E11" i="6"/>
  <c r="E14" i="6"/>
  <c r="E13" i="6"/>
  <c r="E67" i="40"/>
  <c r="F65" i="40"/>
  <c r="S5" i="46"/>
  <c r="S6" i="46"/>
  <c r="C23" i="46"/>
  <c r="S7" i="46"/>
  <c r="S2" i="46"/>
  <c r="S4" i="46"/>
  <c r="J7" i="34"/>
  <c r="V9" i="59"/>
  <c r="F8" i="59"/>
  <c r="F7" i="59" s="1"/>
  <c r="F6" i="59" s="1"/>
  <c r="F5" i="59" s="1"/>
  <c r="AC7" i="33"/>
  <c r="V48" i="33" s="1"/>
  <c r="I48" i="33" s="1"/>
  <c r="W7" i="33"/>
  <c r="U7" i="21"/>
  <c r="AB7" i="21"/>
  <c r="T48" i="21" s="1"/>
  <c r="G48" i="21" s="1"/>
  <c r="C16" i="46"/>
  <c r="D5" i="46" s="1"/>
  <c r="E13" i="11"/>
  <c r="D21" i="59"/>
  <c r="C20" i="59"/>
  <c r="T21" i="59"/>
  <c r="E16" i="59"/>
  <c r="E15" i="59" s="1"/>
  <c r="E14" i="59" s="1"/>
  <c r="E13" i="59" s="1"/>
  <c r="U17" i="59"/>
  <c r="C19" i="46"/>
  <c r="D17" i="59"/>
  <c r="C16" i="59"/>
  <c r="T17" i="59"/>
  <c r="C32" i="59"/>
  <c r="D31" i="59"/>
  <c r="D68" i="59"/>
  <c r="C67" i="59"/>
  <c r="D67" i="59" s="1"/>
  <c r="E85" i="3"/>
  <c r="E65" i="3"/>
  <c r="E56" i="3"/>
  <c r="E152" i="3"/>
  <c r="E48" i="3"/>
  <c r="E33" i="3"/>
  <c r="E470" i="3"/>
  <c r="E317" i="3"/>
  <c r="E478" i="3"/>
  <c r="E457" i="3"/>
  <c r="AB24" i="36"/>
  <c r="U24" i="36"/>
  <c r="H46" i="36"/>
  <c r="F7" i="34"/>
  <c r="AC7" i="21"/>
  <c r="V48" i="21" s="1"/>
  <c r="I48" i="21" s="1"/>
  <c r="W7" i="21"/>
  <c r="M12" i="1"/>
  <c r="Q16" i="1"/>
  <c r="K16" i="1"/>
  <c r="G16" i="1"/>
  <c r="AP16" i="1"/>
  <c r="F22" i="11" s="1"/>
  <c r="H16" i="1"/>
  <c r="E62" i="3"/>
  <c r="E53" i="3"/>
  <c r="E162" i="3"/>
  <c r="E465" i="3"/>
  <c r="E473" i="3"/>
  <c r="E532" i="3"/>
  <c r="AC36" i="35"/>
  <c r="W36" i="35"/>
  <c r="AA12" i="21"/>
  <c r="S12" i="21"/>
  <c r="E571" i="3"/>
  <c r="R7" i="54"/>
  <c r="B52" i="63" s="1"/>
  <c r="K31" i="9"/>
  <c r="K32" i="9" s="1"/>
  <c r="I48" i="35"/>
  <c r="J48" i="35" s="1"/>
  <c r="K48" i="35" s="1"/>
  <c r="L48" i="35" s="1"/>
  <c r="M48" i="35" s="1"/>
  <c r="N48" i="35" s="1"/>
  <c r="O48" i="35" s="1"/>
  <c r="H7" i="35"/>
  <c r="AB7" i="33"/>
  <c r="T48" i="33" s="1"/>
  <c r="G48" i="33" s="1"/>
  <c r="U7" i="33"/>
  <c r="S7" i="21"/>
  <c r="AA7" i="21"/>
  <c r="R48" i="21" s="1"/>
  <c r="H7" i="34"/>
  <c r="B40" i="1"/>
  <c r="F26" i="44" s="1"/>
  <c r="C26" i="44" s="1"/>
  <c r="C5" i="46"/>
  <c r="C48" i="15"/>
  <c r="L47" i="44"/>
  <c r="F17" i="11"/>
  <c r="J18" i="15"/>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E72" i="39" l="1"/>
  <c r="F70" i="39"/>
  <c r="F24" i="15"/>
  <c r="C24" i="15" s="1"/>
  <c r="U7" i="34"/>
  <c r="AB7" i="34"/>
  <c r="T49" i="34" s="1"/>
  <c r="G49" i="34" s="1"/>
  <c r="I52" i="21"/>
  <c r="J52" i="21" s="1"/>
  <c r="D32" i="59"/>
  <c r="C33" i="59"/>
  <c r="G52" i="21"/>
  <c r="H52" i="21" s="1"/>
  <c r="G53" i="21"/>
  <c r="H53" i="21" s="1"/>
  <c r="F7" i="35"/>
  <c r="F24" i="43"/>
  <c r="C26" i="43" s="1"/>
  <c r="D24" i="43" s="1"/>
  <c r="F33" i="12"/>
  <c r="C34" i="12" s="1"/>
  <c r="D33" i="12" s="1"/>
  <c r="S7" i="34"/>
  <c r="AA7" i="34"/>
  <c r="R49" i="34" s="1"/>
  <c r="G65" i="40"/>
  <c r="F67" i="40"/>
  <c r="E63" i="39"/>
  <c r="E58" i="40"/>
  <c r="E305" i="3"/>
  <c r="E160" i="3"/>
  <c r="E77" i="3"/>
  <c r="S9" i="59"/>
  <c r="B8" i="59"/>
  <c r="B7" i="59" s="1"/>
  <c r="B6" i="59" s="1"/>
  <c r="B5" i="59" s="1"/>
  <c r="E504" i="3"/>
  <c r="AZ5" i="3"/>
  <c r="E42" i="3"/>
  <c r="G52" i="33"/>
  <c r="H52" i="33" s="1"/>
  <c r="G53" i="33"/>
  <c r="H53" i="33" s="1"/>
  <c r="D16" i="59"/>
  <c r="C15" i="59"/>
  <c r="E12" i="59"/>
  <c r="E11" i="59" s="1"/>
  <c r="E10" i="59" s="1"/>
  <c r="E9" i="59" s="1"/>
  <c r="U13" i="59"/>
  <c r="W7" i="34"/>
  <c r="AC7" i="34"/>
  <c r="V49" i="34" s="1"/>
  <c r="I49" i="34" s="1"/>
  <c r="E16" i="6"/>
  <c r="S7" i="33"/>
  <c r="AA7" i="33"/>
  <c r="R48" i="33" s="1"/>
  <c r="E509" i="3"/>
  <c r="E179" i="3"/>
  <c r="E164" i="3"/>
  <c r="AB7" i="35"/>
  <c r="T38" i="35" s="1"/>
  <c r="G38" i="35" s="1"/>
  <c r="U7" i="35"/>
  <c r="O12" i="1"/>
  <c r="O16" i="1" s="1"/>
  <c r="M16" i="1"/>
  <c r="E48" i="21"/>
  <c r="I53" i="21" s="1"/>
  <c r="J53" i="21" s="1"/>
  <c r="R49" i="21"/>
  <c r="F12" i="39"/>
  <c r="H12" i="39"/>
  <c r="J12" i="39"/>
  <c r="I46" i="36"/>
  <c r="I52" i="33"/>
  <c r="J52" i="33" s="1"/>
  <c r="E60" i="40"/>
  <c r="E65" i="39"/>
  <c r="E64" i="39"/>
  <c r="E59" i="40"/>
  <c r="D28" i="59"/>
  <c r="C29" i="59"/>
  <c r="E309" i="3"/>
  <c r="E31" i="3"/>
  <c r="J7" i="35"/>
  <c r="D20" i="59"/>
  <c r="C19" i="59"/>
  <c r="D19" i="59" s="1"/>
  <c r="E66" i="39"/>
  <c r="E61" i="40"/>
  <c r="E67" i="39"/>
  <c r="E62" i="40"/>
  <c r="O52" i="37"/>
  <c r="J7" i="37" s="1"/>
  <c r="F7" i="37"/>
  <c r="K25" i="6"/>
  <c r="M25" i="6" s="1"/>
  <c r="I25" i="6" s="1"/>
  <c r="S25" i="6" s="1"/>
  <c r="K21" i="6"/>
  <c r="M21" i="6" s="1"/>
  <c r="I21" i="6" s="1"/>
  <c r="S21" i="6" s="1"/>
  <c r="K19" i="6"/>
  <c r="K23" i="6"/>
  <c r="M23" i="6" s="1"/>
  <c r="I23" i="6" s="1"/>
  <c r="S23" i="6" s="1"/>
  <c r="K24" i="6"/>
  <c r="M24" i="6" s="1"/>
  <c r="I24" i="6" s="1"/>
  <c r="S24" i="6" s="1"/>
  <c r="K22" i="6"/>
  <c r="M22" i="6" s="1"/>
  <c r="I22" i="6" s="1"/>
  <c r="S22" i="6" s="1"/>
  <c r="E31" i="6"/>
  <c r="K20" i="6"/>
  <c r="M20" i="6" s="1"/>
  <c r="I20" i="6" s="1"/>
  <c r="S20" i="6" s="1"/>
  <c r="K26" i="6"/>
  <c r="M26" i="6" s="1"/>
  <c r="I26" i="6" s="1"/>
  <c r="S26" i="6" s="1"/>
  <c r="E395" i="3"/>
  <c r="AN6" i="3"/>
  <c r="E59" i="3"/>
  <c r="E464" i="3"/>
  <c r="E209" i="3"/>
  <c r="E450" i="3"/>
  <c r="E492" i="3"/>
  <c r="E295" i="3"/>
  <c r="E89" i="3"/>
  <c r="E201" i="3"/>
  <c r="E170" i="3"/>
  <c r="E274" i="3"/>
  <c r="E32" i="3"/>
  <c r="E547" i="3"/>
  <c r="E447" i="3"/>
  <c r="Q6" i="3"/>
  <c r="E119" i="3"/>
  <c r="E500" i="3"/>
  <c r="E97" i="3"/>
  <c r="AE6" i="3"/>
  <c r="E289" i="3"/>
  <c r="E136" i="3"/>
  <c r="E568" i="3"/>
  <c r="E539" i="3"/>
  <c r="E332" i="3"/>
  <c r="E245" i="3"/>
  <c r="E139" i="3"/>
  <c r="E52" i="3"/>
  <c r="E445" i="3"/>
  <c r="E451" i="3"/>
  <c r="E556" i="3"/>
  <c r="U6" i="3"/>
  <c r="E291" i="3"/>
  <c r="E527" i="3"/>
  <c r="E73" i="3"/>
  <c r="E365" i="3"/>
  <c r="E126" i="3"/>
  <c r="E248" i="3"/>
  <c r="E211" i="3"/>
  <c r="E336" i="3"/>
  <c r="Y6" i="3"/>
  <c r="AR6" i="3"/>
  <c r="E466" i="3"/>
  <c r="E51" i="3"/>
  <c r="E513" i="3"/>
  <c r="E198" i="3"/>
  <c r="E345" i="3"/>
  <c r="E281" i="3"/>
  <c r="E72" i="3"/>
  <c r="E290" i="3"/>
  <c r="E440" i="3"/>
  <c r="AF6" i="3"/>
  <c r="E331" i="3"/>
  <c r="E40" i="3"/>
  <c r="E362" i="3"/>
  <c r="E559" i="3"/>
  <c r="E150" i="3"/>
  <c r="E228" i="3"/>
  <c r="E314" i="3"/>
  <c r="E324" i="3"/>
  <c r="E502" i="3"/>
  <c r="E334" i="3"/>
  <c r="E489" i="3"/>
  <c r="E325" i="3"/>
  <c r="E286" i="3"/>
  <c r="E396" i="3"/>
  <c r="E297" i="3"/>
  <c r="E411" i="3"/>
  <c r="E41" i="3"/>
  <c r="E270" i="3"/>
  <c r="E238" i="3"/>
  <c r="E202" i="3"/>
  <c r="E149" i="3"/>
  <c r="E304" i="3"/>
  <c r="E100" i="3"/>
  <c r="I3" i="6"/>
  <c r="E441" i="3"/>
  <c r="E399" i="3"/>
  <c r="E60" i="3"/>
  <c r="E28" i="3"/>
  <c r="E407" i="3"/>
  <c r="E247" i="3"/>
  <c r="E113" i="3"/>
  <c r="E37" i="3"/>
  <c r="E111" i="3"/>
  <c r="E257" i="3"/>
  <c r="E39" i="3"/>
  <c r="O6" i="3"/>
  <c r="E67" i="3"/>
  <c r="E288" i="3"/>
  <c r="E207" i="3"/>
  <c r="E486" i="3"/>
  <c r="E88" i="3"/>
  <c r="E196" i="3"/>
  <c r="E264" i="3"/>
  <c r="E220" i="3"/>
  <c r="E308" i="3"/>
  <c r="V6" i="3"/>
  <c r="E453" i="3"/>
  <c r="E96" i="3"/>
  <c r="AG6" i="3"/>
  <c r="E242" i="3"/>
  <c r="E419" i="3"/>
  <c r="E229" i="3"/>
  <c r="E87" i="3"/>
  <c r="E386" i="3"/>
  <c r="E191" i="3"/>
  <c r="E29" i="3"/>
  <c r="E188" i="3"/>
  <c r="E355" i="3"/>
  <c r="E491" i="3"/>
  <c r="E180" i="3"/>
  <c r="E558" i="3"/>
  <c r="E456" i="3"/>
  <c r="E246" i="3"/>
  <c r="E436" i="3"/>
  <c r="E177" i="3"/>
  <c r="E260" i="3"/>
  <c r="E432" i="3"/>
  <c r="E90" i="3"/>
  <c r="E153" i="3"/>
  <c r="E210" i="3"/>
  <c r="E339" i="3"/>
  <c r="E106" i="3"/>
  <c r="E14" i="3"/>
  <c r="E169" i="3"/>
  <c r="E118" i="3"/>
  <c r="E226" i="3"/>
  <c r="E378" i="3"/>
  <c r="E163" i="3"/>
  <c r="E364" i="3"/>
  <c r="E351" i="3"/>
  <c r="E342" i="3"/>
  <c r="AL6" i="3"/>
  <c r="E522" i="3"/>
  <c r="E368" i="3"/>
  <c r="E572" i="3"/>
  <c r="E510" i="3"/>
  <c r="E516" i="3"/>
  <c r="E227" i="3"/>
  <c r="E406" i="3"/>
  <c r="E488" i="3"/>
  <c r="E244" i="3"/>
  <c r="E137" i="3"/>
  <c r="E240" i="3"/>
  <c r="E301" i="3"/>
  <c r="E382" i="3"/>
  <c r="E484" i="3"/>
  <c r="E326" i="3"/>
  <c r="E356" i="3"/>
  <c r="E481" i="3"/>
  <c r="E250" i="3"/>
  <c r="E280" i="3"/>
  <c r="E408" i="3"/>
  <c r="E414" i="3"/>
  <c r="E131" i="3"/>
  <c r="E428" i="3"/>
  <c r="E460" i="3"/>
  <c r="E30" i="3"/>
  <c r="E205" i="3"/>
  <c r="E426" i="3"/>
  <c r="E80" i="3"/>
  <c r="E357" i="3"/>
  <c r="J6" i="3"/>
  <c r="E34" i="3"/>
  <c r="E383" i="3"/>
  <c r="E363" i="3"/>
  <c r="E189" i="3"/>
  <c r="E420" i="3"/>
  <c r="E401" i="3"/>
  <c r="E275" i="3"/>
  <c r="E203" i="3"/>
  <c r="E102" i="3"/>
  <c r="E429" i="3"/>
  <c r="E172" i="3"/>
  <c r="E258" i="3"/>
  <c r="E372" i="3"/>
  <c r="E417" i="3"/>
  <c r="E43" i="3"/>
  <c r="E154" i="3"/>
  <c r="E279" i="3"/>
  <c r="E370" i="3"/>
  <c r="E400" i="3"/>
  <c r="E477" i="3"/>
  <c r="E197" i="3"/>
  <c r="E134" i="3"/>
  <c r="E224" i="3"/>
  <c r="E61" i="3"/>
  <c r="E239" i="3"/>
  <c r="E66" i="3"/>
  <c r="E529" i="3"/>
  <c r="E128" i="3"/>
  <c r="E24" i="3"/>
  <c r="E379" i="3"/>
  <c r="E554" i="3"/>
  <c r="E508" i="3"/>
  <c r="E538" i="3"/>
  <c r="K6" i="3"/>
  <c r="E108" i="3"/>
  <c r="E217" i="3"/>
  <c r="E50" i="3"/>
  <c r="AJ6" i="3"/>
  <c r="E236" i="3"/>
  <c r="E546" i="3"/>
  <c r="E474" i="3"/>
  <c r="E15" i="3"/>
  <c r="E171" i="3"/>
  <c r="E251" i="3"/>
  <c r="E354" i="3"/>
  <c r="E531" i="3"/>
  <c r="E122" i="3"/>
  <c r="E495" i="3"/>
  <c r="E208" i="3"/>
  <c r="E344" i="3"/>
  <c r="E485" i="3"/>
  <c r="E335" i="3"/>
  <c r="E483" i="3"/>
  <c r="E366" i="3"/>
  <c r="E330" i="3"/>
  <c r="E340" i="3"/>
  <c r="E350" i="3"/>
  <c r="E521" i="3"/>
  <c r="E496" i="3"/>
  <c r="E130" i="3"/>
  <c r="E352" i="3"/>
  <c r="E461" i="3"/>
  <c r="E138" i="3"/>
  <c r="E328" i="3"/>
  <c r="E519" i="3"/>
  <c r="E155" i="3"/>
  <c r="E252" i="3"/>
  <c r="E346" i="3"/>
  <c r="E544" i="3"/>
  <c r="E541" i="3"/>
  <c r="E523" i="3"/>
  <c r="E557" i="3"/>
  <c r="E13" i="3"/>
  <c r="E413" i="3"/>
  <c r="M6" i="3"/>
  <c r="E241" i="3"/>
  <c r="E69" i="3"/>
  <c r="E446" i="3"/>
  <c r="E437" i="3"/>
  <c r="E46" i="3"/>
  <c r="E221" i="3"/>
  <c r="X6" i="3"/>
  <c r="AA6" i="3"/>
  <c r="AD6" i="3"/>
  <c r="E299" i="3"/>
  <c r="E327" i="3"/>
  <c r="E103" i="3"/>
  <c r="E200" i="3"/>
  <c r="E389" i="3"/>
  <c r="E230" i="3"/>
  <c r="E143" i="3"/>
  <c r="E471" i="3"/>
  <c r="E92" i="3"/>
  <c r="E161" i="3"/>
  <c r="E237" i="3"/>
  <c r="E549" i="3"/>
  <c r="E404" i="3"/>
  <c r="E223" i="3"/>
  <c r="E292" i="3"/>
  <c r="E415" i="3"/>
  <c r="E178" i="3"/>
  <c r="E168" i="3"/>
  <c r="E444" i="3"/>
  <c r="E455" i="3"/>
  <c r="E533" i="3"/>
  <c r="E560" i="3"/>
  <c r="E425" i="3"/>
  <c r="E303" i="3"/>
  <c r="E261" i="3"/>
  <c r="E166" i="3"/>
  <c r="E467" i="3"/>
  <c r="E107" i="3"/>
  <c r="E204" i="3"/>
  <c r="E214" i="3"/>
  <c r="E393" i="3"/>
  <c r="E449" i="3"/>
  <c r="E543" i="3"/>
  <c r="E480" i="3"/>
  <c r="E259" i="3"/>
  <c r="E369" i="3"/>
  <c r="E517" i="3"/>
  <c r="E416" i="3"/>
  <c r="E105" i="3"/>
  <c r="AQ6" i="3"/>
  <c r="E505" i="3"/>
  <c r="E235" i="3"/>
  <c r="E133" i="3"/>
  <c r="E302" i="3"/>
  <c r="E120" i="3"/>
  <c r="E458" i="3"/>
  <c r="E287" i="3"/>
  <c r="E555" i="3"/>
  <c r="E256" i="3"/>
  <c r="E306" i="3"/>
  <c r="E499" i="3"/>
  <c r="E319" i="3"/>
  <c r="E551" i="3"/>
  <c r="E173" i="3"/>
  <c r="E569"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20" i="3"/>
  <c r="E564" i="3"/>
  <c r="E418" i="3"/>
  <c r="E157" i="3"/>
  <c r="E44" i="3"/>
  <c r="E36" i="3"/>
  <c r="E249" i="3"/>
  <c r="E165" i="3"/>
  <c r="E374" i="3"/>
  <c r="E463" i="3"/>
  <c r="E367" i="3"/>
  <c r="E75" i="3"/>
  <c r="E141" i="3"/>
  <c r="AS6" i="3"/>
  <c r="E438" i="3"/>
  <c r="E550" i="3"/>
  <c r="E190" i="3"/>
  <c r="E79" i="3"/>
  <c r="E507" i="3"/>
  <c r="E233" i="3"/>
  <c r="E272" i="3"/>
  <c r="L6" i="3"/>
  <c r="E402" i="3"/>
  <c r="E25" i="3"/>
  <c r="E116" i="3"/>
  <c r="E255" i="3"/>
  <c r="E479" i="3"/>
  <c r="E145" i="3"/>
  <c r="E276" i="3"/>
  <c r="E243" i="3"/>
  <c r="E347" i="3"/>
  <c r="E526" i="3"/>
  <c r="E448" i="3"/>
  <c r="E58" i="3"/>
  <c r="E540" i="3"/>
  <c r="E121" i="3"/>
  <c r="E285" i="3"/>
  <c r="AI6" i="3"/>
  <c r="E123" i="3"/>
  <c r="E433" i="3"/>
  <c r="E234" i="3"/>
  <c r="E76" i="3"/>
  <c r="E300" i="3"/>
  <c r="E176" i="3"/>
  <c r="E271" i="3"/>
  <c r="E530" i="3"/>
  <c r="E525" i="3"/>
  <c r="E493" i="3"/>
  <c r="E403" i="3"/>
  <c r="E353" i="3"/>
  <c r="E81" i="3"/>
  <c r="E183" i="3"/>
  <c r="E216" i="3"/>
  <c r="E392" i="3"/>
  <c r="E45" i="3"/>
  <c r="E373" i="3"/>
  <c r="E284" i="3"/>
  <c r="E360" i="3"/>
  <c r="T6" i="3"/>
  <c r="E181" i="3"/>
  <c r="E144" i="3"/>
  <c r="E269" i="3"/>
  <c r="E219" i="3"/>
  <c r="E338" i="3"/>
  <c r="E506" i="3"/>
  <c r="E562" i="3"/>
  <c r="E518" i="3"/>
  <c r="E497"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266" i="3"/>
  <c r="E215" i="3"/>
  <c r="I6" i="3"/>
  <c r="E548" i="3"/>
  <c r="Z6" i="3"/>
  <c r="E454" i="3"/>
  <c r="E520" i="3"/>
  <c r="AK6" i="3"/>
  <c r="E192" i="3"/>
  <c r="E348" i="3"/>
  <c r="E394" i="3"/>
  <c r="E282" i="3"/>
  <c r="E375" i="3"/>
  <c r="E83" i="3"/>
  <c r="E222" i="3"/>
  <c r="E430" i="3"/>
  <c r="E552" i="3"/>
  <c r="E283" i="3"/>
  <c r="E156" i="3"/>
  <c r="E49" i="3"/>
  <c r="E193" i="3"/>
  <c r="E104" i="3"/>
  <c r="E534" i="3"/>
  <c r="E387" i="3"/>
  <c r="R6" i="3"/>
  <c r="E125" i="3"/>
  <c r="AH6" i="3"/>
  <c r="P6" i="3"/>
  <c r="E84" i="3"/>
  <c r="AP6" i="3"/>
  <c r="E431" i="3"/>
  <c r="E70" i="3"/>
  <c r="E38" i="3"/>
  <c r="E151" i="3"/>
  <c r="E313" i="3"/>
  <c r="E405" i="3"/>
  <c r="W6" i="3"/>
  <c r="E86" i="3"/>
  <c r="E135" i="3"/>
  <c r="E22" i="3"/>
  <c r="E459" i="3"/>
  <c r="E231" i="3"/>
  <c r="E186" i="3"/>
  <c r="E263" i="3"/>
  <c r="E82" i="3"/>
  <c r="E99" i="3"/>
  <c r="E101" i="3"/>
  <c r="E23" i="3"/>
  <c r="E265" i="3"/>
  <c r="AM6" i="3"/>
  <c r="E337" i="3"/>
  <c r="E158" i="3"/>
  <c r="E472" i="3"/>
  <c r="E253" i="3"/>
  <c r="E537" i="3"/>
  <c r="E54" i="3"/>
  <c r="E452" i="3"/>
  <c r="E213" i="3"/>
  <c r="E536" i="3"/>
  <c r="E397" i="3"/>
  <c r="E462" i="3"/>
  <c r="E47" i="3"/>
  <c r="E545" i="3"/>
  <c r="E184" i="3"/>
  <c r="E482" i="3"/>
  <c r="N6" i="3"/>
  <c r="E476" i="3"/>
  <c r="E114" i="3"/>
  <c r="E93" i="3"/>
  <c r="E55" i="3"/>
  <c r="E570" i="3"/>
  <c r="E409" i="3"/>
  <c r="E124" i="3"/>
  <c r="E388" i="3"/>
  <c r="E146" i="3"/>
  <c r="E434" i="3"/>
  <c r="E57" i="3"/>
  <c r="E535" i="3"/>
  <c r="E381" i="3"/>
  <c r="E427" i="3"/>
  <c r="E278" i="3"/>
  <c r="E94" i="3"/>
  <c r="E376" i="3"/>
  <c r="E294" i="3"/>
  <c r="E21" i="3"/>
  <c r="E64" i="3"/>
  <c r="E140" i="3"/>
  <c r="E343" i="3"/>
  <c r="E142" i="3"/>
  <c r="E410" i="3"/>
  <c r="E468" i="3"/>
  <c r="E109" i="3"/>
  <c r="E185" i="3"/>
  <c r="E148" i="3"/>
  <c r="E27" i="3"/>
  <c r="E412" i="3"/>
  <c r="E469" i="3"/>
  <c r="E232" i="3"/>
  <c r="E68" i="3"/>
  <c r="E147" i="3"/>
  <c r="E439" i="3"/>
  <c r="E117" i="3"/>
  <c r="E528" i="3"/>
  <c r="E349" i="3"/>
  <c r="E311" i="3"/>
  <c r="E424" i="3"/>
  <c r="E262" i="3"/>
  <c r="E561" i="3"/>
  <c r="E390" i="3"/>
  <c r="E199" i="3"/>
  <c r="E218" i="3"/>
  <c r="E174" i="3"/>
  <c r="E398" i="3"/>
  <c r="E443" i="3"/>
  <c r="E296" i="3"/>
  <c r="E423" i="3"/>
  <c r="E442" i="3"/>
  <c r="E129" i="3"/>
  <c r="E293" i="3"/>
  <c r="E194" i="3"/>
  <c r="E187" i="3"/>
  <c r="E435" i="3"/>
  <c r="E110" i="3"/>
  <c r="E98" i="3"/>
  <c r="E78" i="3"/>
  <c r="E225" i="3"/>
  <c r="E490" i="3"/>
  <c r="E63" i="3"/>
  <c r="E422" i="3"/>
  <c r="E71" i="3"/>
  <c r="F21" i="43"/>
  <c r="C23" i="43" s="1"/>
  <c r="D21" i="43" s="1"/>
  <c r="F26" i="12"/>
  <c r="C27" i="12" s="1"/>
  <c r="D26" i="12" s="1"/>
  <c r="C32" i="12" s="1"/>
  <c r="D30" i="12" s="1"/>
  <c r="J28" i="44"/>
  <c r="J31" i="44" s="1"/>
  <c r="J26" i="44"/>
  <c r="J26" i="15"/>
  <c r="J29" i="15" s="1"/>
  <c r="J24" i="15"/>
  <c r="C40" i="44"/>
  <c r="C20" i="46"/>
  <c r="E41" i="46"/>
  <c r="C41" i="46" s="1"/>
  <c r="C52" i="15"/>
  <c r="C47" i="15" s="1"/>
  <c r="C10" i="15"/>
  <c r="C5" i="15" s="1"/>
  <c r="H7" i="37" l="1"/>
  <c r="AB7" i="37" s="1"/>
  <c r="T42" i="37" s="1"/>
  <c r="G42" i="37" s="1"/>
  <c r="F72" i="39"/>
  <c r="G70" i="39"/>
  <c r="AC7" i="37"/>
  <c r="V42" i="37" s="1"/>
  <c r="I42" i="37" s="1"/>
  <c r="W7" i="37"/>
  <c r="S6" i="1"/>
  <c r="K27" i="6"/>
  <c r="M19" i="6"/>
  <c r="U7" i="37"/>
  <c r="AC7" i="35"/>
  <c r="V38" i="35" s="1"/>
  <c r="I38" i="35" s="1"/>
  <c r="G43" i="35" s="1"/>
  <c r="H43" i="35" s="1"/>
  <c r="W7" i="35"/>
  <c r="U12" i="40"/>
  <c r="AB12" i="40"/>
  <c r="C48" i="21"/>
  <c r="C49" i="21"/>
  <c r="B3" i="21" s="1"/>
  <c r="B2" i="21" s="1"/>
  <c r="E48" i="33"/>
  <c r="R49" i="33"/>
  <c r="E3" i="6"/>
  <c r="AY6" i="3"/>
  <c r="J46" i="36"/>
  <c r="AC12" i="39"/>
  <c r="W12" i="39"/>
  <c r="E53" i="21"/>
  <c r="F53" i="21" s="1"/>
  <c r="E52" i="21"/>
  <c r="F52" i="21" s="1"/>
  <c r="U9" i="59"/>
  <c r="E8" i="59"/>
  <c r="E7" i="59" s="1"/>
  <c r="E6" i="59" s="1"/>
  <c r="E5" i="59" s="1"/>
  <c r="H65" i="40"/>
  <c r="G67" i="40"/>
  <c r="T33" i="59"/>
  <c r="D33" i="59"/>
  <c r="G53" i="34"/>
  <c r="H53" i="34" s="1"/>
  <c r="G54" i="34"/>
  <c r="H54" i="34" s="1"/>
  <c r="H6" i="3"/>
  <c r="AC6" i="3"/>
  <c r="S12" i="40"/>
  <c r="AA12" i="40"/>
  <c r="AB12" i="39"/>
  <c r="U12" i="39"/>
  <c r="P12" i="1"/>
  <c r="P16" i="1" s="1"/>
  <c r="C13" i="12" s="1"/>
  <c r="G42" i="35"/>
  <c r="H42" i="35" s="1"/>
  <c r="I54" i="34"/>
  <c r="J54" i="34" s="1"/>
  <c r="I53" i="34"/>
  <c r="J53" i="34" s="1"/>
  <c r="D15" i="59"/>
  <c r="C14" i="59"/>
  <c r="R50" i="34"/>
  <c r="E49" i="34"/>
  <c r="AA7" i="35"/>
  <c r="R38" i="35" s="1"/>
  <c r="S7" i="35"/>
  <c r="AA7" i="37"/>
  <c r="R42" i="37" s="1"/>
  <c r="S7" i="37"/>
  <c r="D29" i="59"/>
  <c r="T29" i="59"/>
  <c r="AC12" i="40"/>
  <c r="W12" i="40"/>
  <c r="AA12" i="39"/>
  <c r="S12" i="39"/>
  <c r="L16" i="1"/>
  <c r="C13" i="43"/>
  <c r="N16" i="1"/>
  <c r="C29" i="43" s="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C59" i="15"/>
  <c r="C65" i="15"/>
  <c r="C38" i="15"/>
  <c r="C38" i="46"/>
  <c r="C39" i="46"/>
  <c r="Q67" i="44"/>
  <c r="Q58" i="44"/>
  <c r="Q49" i="44"/>
  <c r="Q55" i="44" s="1"/>
  <c r="H70" i="39" l="1"/>
  <c r="G72" i="39"/>
  <c r="E42" i="37"/>
  <c r="R43" i="37"/>
  <c r="C17" i="43"/>
  <c r="C14" i="43"/>
  <c r="E54" i="34"/>
  <c r="F54" i="34" s="1"/>
  <c r="E53" i="34"/>
  <c r="F53" i="34" s="1"/>
  <c r="E53" i="33"/>
  <c r="F53" i="33" s="1"/>
  <c r="E52" i="33"/>
  <c r="F52" i="33" s="1"/>
  <c r="I53" i="33"/>
  <c r="J53" i="33" s="1"/>
  <c r="C49" i="34"/>
  <c r="C50" i="34"/>
  <c r="B3" i="34" s="1"/>
  <c r="B2" i="34" s="1"/>
  <c r="I65" i="40"/>
  <c r="H67" i="40"/>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69" i="3"/>
  <c r="AY198" i="3"/>
  <c r="AY104" i="3"/>
  <c r="AY98" i="3"/>
  <c r="AY262" i="3"/>
  <c r="AY361" i="3"/>
  <c r="AY170" i="3"/>
  <c r="AY379" i="3"/>
  <c r="AY39" i="3"/>
  <c r="AY366" i="3"/>
  <c r="AY62" i="3"/>
  <c r="AY67" i="3"/>
  <c r="AY47" i="3"/>
  <c r="AY209" i="3"/>
  <c r="AY181" i="3"/>
  <c r="AY265" i="3"/>
  <c r="AY226" i="3"/>
  <c r="AY30" i="3"/>
  <c r="AY132" i="3"/>
  <c r="AY405" i="3"/>
  <c r="AY143" i="3"/>
  <c r="AY528" i="3"/>
  <c r="AY103" i="3"/>
  <c r="AY246" i="3"/>
  <c r="AY117" i="3"/>
  <c r="AY172" i="3"/>
  <c r="AY25" i="3"/>
  <c r="AY76" i="3"/>
  <c r="AY544" i="3"/>
  <c r="AY431" i="3"/>
  <c r="AY42" i="3"/>
  <c r="AY290" i="3"/>
  <c r="AY176" i="3"/>
  <c r="AY288" i="3"/>
  <c r="AY283" i="3"/>
  <c r="AY22" i="3"/>
  <c r="AY303" i="3"/>
  <c r="AY239" i="3"/>
  <c r="AY140" i="3"/>
  <c r="AY519" i="3"/>
  <c r="AY417" i="3"/>
  <c r="AY222" i="3"/>
  <c r="AY484" i="3"/>
  <c r="AY504" i="3"/>
  <c r="AY479" i="3"/>
  <c r="AY115" i="3"/>
  <c r="AY450" i="3"/>
  <c r="BC6" i="3"/>
  <c r="AY13" i="3"/>
  <c r="AY414" i="3"/>
  <c r="AY558" i="3"/>
  <c r="AY378" i="3"/>
  <c r="BL6" i="3"/>
  <c r="AY96" i="3"/>
  <c r="AY249" i="3"/>
  <c r="AY151" i="3"/>
  <c r="AY565" i="3"/>
  <c r="AY480" i="3"/>
  <c r="AY328" i="3"/>
  <c r="BR6" i="3"/>
  <c r="AY404" i="3"/>
  <c r="AY276" i="3"/>
  <c r="AY557" i="3"/>
  <c r="AY434" i="3"/>
  <c r="AY313" i="3"/>
  <c r="AY331" i="3"/>
  <c r="AY571" i="3"/>
  <c r="AY423" i="3"/>
  <c r="AY564" i="3"/>
  <c r="AY251" i="3"/>
  <c r="AY460" i="3"/>
  <c r="AY79" i="3"/>
  <c r="AY426" i="3"/>
  <c r="AY570" i="3"/>
  <c r="AY474" i="3"/>
  <c r="AY491" i="3"/>
  <c r="AY95" i="3"/>
  <c r="AY425" i="3"/>
  <c r="AY72" i="3"/>
  <c r="AY342" i="3"/>
  <c r="AY278" i="3"/>
  <c r="AY525" i="3"/>
  <c r="AY411" i="3"/>
  <c r="AY335" i="3"/>
  <c r="AY430" i="3"/>
  <c r="AY510" i="3"/>
  <c r="AY409" i="3"/>
  <c r="AY29" i="3"/>
  <c r="BT6" i="3"/>
  <c r="AY518" i="3"/>
  <c r="AY208" i="3"/>
  <c r="AY375" i="3"/>
  <c r="AY223" i="3"/>
  <c r="AY440" i="3"/>
  <c r="AY40" i="3"/>
  <c r="AY267" i="3"/>
  <c r="AY339" i="3"/>
  <c r="AY210" i="3"/>
  <c r="AY298" i="3"/>
  <c r="AY507" i="3"/>
  <c r="AY237" i="3"/>
  <c r="AY33" i="3"/>
  <c r="AY180" i="3"/>
  <c r="AY468" i="3"/>
  <c r="AY177" i="3"/>
  <c r="AY513" i="3"/>
  <c r="AY533" i="3"/>
  <c r="AY51" i="3"/>
  <c r="AY535" i="3"/>
  <c r="AY97" i="3"/>
  <c r="AY129" i="3"/>
  <c r="AY53" i="3"/>
  <c r="AY57" i="3"/>
  <c r="AY291" i="3"/>
  <c r="AY427" i="3"/>
  <c r="AY149" i="3"/>
  <c r="AY324" i="3"/>
  <c r="AY116" i="3"/>
  <c r="AY372" i="3"/>
  <c r="AY168" i="3"/>
  <c r="AY159" i="3"/>
  <c r="AY126" i="3"/>
  <c r="AY317" i="3"/>
  <c r="AY343" i="3"/>
  <c r="AY310" i="3"/>
  <c r="AY241" i="3"/>
  <c r="AY230" i="3"/>
  <c r="AY272" i="3"/>
  <c r="AY555" i="3"/>
  <c r="AY157" i="3"/>
  <c r="AY99" i="3"/>
  <c r="AY52" i="3"/>
  <c r="AY333" i="3"/>
  <c r="AY280" i="3"/>
  <c r="AY183" i="3"/>
  <c r="AY341" i="3"/>
  <c r="AY282" i="3"/>
  <c r="BH6" i="3"/>
  <c r="AY428" i="3"/>
  <c r="AY515" i="3"/>
  <c r="AY309" i="3"/>
  <c r="AY356" i="3"/>
  <c r="AY371" i="3"/>
  <c r="AY561" i="3"/>
  <c r="AY562" i="3"/>
  <c r="AY245" i="3"/>
  <c r="AY407" i="3"/>
  <c r="AY527" i="3"/>
  <c r="AY546" i="3"/>
  <c r="AY186" i="3"/>
  <c r="AY390" i="3"/>
  <c r="AY355" i="3"/>
  <c r="AY182" i="3"/>
  <c r="AY364" i="3"/>
  <c r="AY376" i="3"/>
  <c r="AY122" i="3"/>
  <c r="AY543" i="3"/>
  <c r="AY191" i="3"/>
  <c r="AY114" i="3"/>
  <c r="AY424" i="3"/>
  <c r="AY193" i="3"/>
  <c r="AY160" i="3"/>
  <c r="AY329" i="3"/>
  <c r="AY453" i="3"/>
  <c r="AY360" i="3"/>
  <c r="BP6" i="3"/>
  <c r="AY174" i="3"/>
  <c r="AY344" i="3"/>
  <c r="AY497" i="3"/>
  <c r="AY133" i="3"/>
  <c r="AY538" i="3"/>
  <c r="AY478" i="3"/>
  <c r="AY56" i="3"/>
  <c r="AY130" i="3"/>
  <c r="AY270" i="3"/>
  <c r="BM6" i="3"/>
  <c r="AY539" i="3"/>
  <c r="AY212" i="3"/>
  <c r="AY451" i="3"/>
  <c r="AY338" i="3"/>
  <c r="AY419" i="3"/>
  <c r="AY196" i="3"/>
  <c r="AY466" i="3"/>
  <c r="AY482" i="3"/>
  <c r="AY508" i="3"/>
  <c r="AY83" i="3"/>
  <c r="AY286" i="3"/>
  <c r="AY256" i="3"/>
  <c r="AY194" i="3"/>
  <c r="AY253" i="3"/>
  <c r="AY21" i="3"/>
  <c r="AY187" i="3"/>
  <c r="AY224" i="3"/>
  <c r="AY314" i="3"/>
  <c r="AY154" i="3"/>
  <c r="AY365" i="3"/>
  <c r="AY367" i="3"/>
  <c r="AY323" i="3"/>
  <c r="AY415" i="3"/>
  <c r="AY78" i="3"/>
  <c r="AY185" i="3"/>
  <c r="AY71" i="3"/>
  <c r="AY60" i="3"/>
  <c r="AY401" i="3"/>
  <c r="AY363" i="3"/>
  <c r="BO6" i="3"/>
  <c r="AY455" i="3"/>
  <c r="AY514" i="3"/>
  <c r="AY48" i="3"/>
  <c r="AY173" i="3"/>
  <c r="AY551" i="3"/>
  <c r="AY477" i="3"/>
  <c r="AY377" i="3"/>
  <c r="AY524" i="3"/>
  <c r="AY347" i="3"/>
  <c r="AY89" i="3"/>
  <c r="AY511" i="3"/>
  <c r="AY523" i="3"/>
  <c r="AY530" i="3"/>
  <c r="AY88" i="3"/>
  <c r="AY529" i="3"/>
  <c r="AY73" i="3"/>
  <c r="AY106" i="3"/>
  <c r="AY383" i="3"/>
  <c r="AY397" i="3"/>
  <c r="AY146" i="3"/>
  <c r="AY476" i="3"/>
  <c r="AY135" i="3"/>
  <c r="AY315" i="3"/>
  <c r="AY486" i="3"/>
  <c r="AY179" i="3"/>
  <c r="AY31" i="3"/>
  <c r="AY402" i="3"/>
  <c r="AY560" i="3"/>
  <c r="AY350" i="3"/>
  <c r="AY435" i="3"/>
  <c r="AY340" i="3"/>
  <c r="AY382" i="3"/>
  <c r="AY188" i="3"/>
  <c r="AY572" i="3"/>
  <c r="AY236" i="3"/>
  <c r="AY36" i="3"/>
  <c r="AY432" i="3"/>
  <c r="AY374" i="3"/>
  <c r="AY337" i="3"/>
  <c r="AY394" i="3"/>
  <c r="AY321" i="3"/>
  <c r="AY86" i="3"/>
  <c r="AY494" i="3"/>
  <c r="AY34" i="3"/>
  <c r="AY392" i="3"/>
  <c r="AY569" i="3"/>
  <c r="AY318" i="3"/>
  <c r="AY162" i="3"/>
  <c r="AY396" i="3"/>
  <c r="AY127" i="3"/>
  <c r="AY552" i="3"/>
  <c r="AY152" i="3"/>
  <c r="AY66" i="3"/>
  <c r="BF6" i="3"/>
  <c r="AY492" i="3"/>
  <c r="AY82" i="3"/>
  <c r="AY264" i="3"/>
  <c r="AY70" i="3"/>
  <c r="AY389" i="3"/>
  <c r="AY457" i="3"/>
  <c r="AY330" i="3"/>
  <c r="AY274" i="3"/>
  <c r="AY38" i="3"/>
  <c r="AY266" i="3"/>
  <c r="AY27" i="3"/>
  <c r="AY248" i="3"/>
  <c r="AY131" i="3"/>
  <c r="AY225" i="3"/>
  <c r="AY137" i="3"/>
  <c r="AY399" i="3"/>
  <c r="AY90" i="3"/>
  <c r="AY220" i="3"/>
  <c r="AY68" i="3"/>
  <c r="AY327" i="3"/>
  <c r="AY534" i="3"/>
  <c r="AY387" i="3"/>
  <c r="AY289" i="3"/>
  <c r="AY334" i="3"/>
  <c r="AY205" i="3"/>
  <c r="AY509" i="3"/>
  <c r="AY532" i="3"/>
  <c r="AY488" i="3"/>
  <c r="AY296" i="3"/>
  <c r="AY284" i="3"/>
  <c r="AY261" i="3"/>
  <c r="AY373" i="3"/>
  <c r="AY496" i="3"/>
  <c r="BE6" i="3"/>
  <c r="D3" i="6"/>
  <c r="AY277" i="3"/>
  <c r="AY398" i="3"/>
  <c r="AY464" i="3"/>
  <c r="AY16" i="3"/>
  <c r="AY352" i="3"/>
  <c r="AY92" i="3"/>
  <c r="AY445" i="3"/>
  <c r="AY85" i="3"/>
  <c r="AY320" i="3"/>
  <c r="AY259" i="3"/>
  <c r="AY471" i="3"/>
  <c r="AY166" i="3"/>
  <c r="AY388" i="3"/>
  <c r="AY247" i="3"/>
  <c r="AY299" i="3"/>
  <c r="AY63" i="3"/>
  <c r="AY108" i="3"/>
  <c r="AY235" i="3"/>
  <c r="AY495" i="3"/>
  <c r="AY189" i="3"/>
  <c r="AY433" i="3"/>
  <c r="AY502" i="3"/>
  <c r="AY454" i="3"/>
  <c r="AY215" i="3"/>
  <c r="AY522" i="3"/>
  <c r="AY541" i="3"/>
  <c r="AY292" i="3"/>
  <c r="AY164" i="3"/>
  <c r="AY231" i="3"/>
  <c r="AY345" i="3"/>
  <c r="AY332" i="3"/>
  <c r="AY536" i="3"/>
  <c r="AY549" i="3"/>
  <c r="AY26" i="3"/>
  <c r="AY77" i="3"/>
  <c r="AY74" i="3"/>
  <c r="AY217" i="3"/>
  <c r="AY349" i="3"/>
  <c r="AY422" i="3"/>
  <c r="AY214" i="3"/>
  <c r="AY463" i="3"/>
  <c r="AY258" i="3"/>
  <c r="AY548" i="3"/>
  <c r="AY80" i="3"/>
  <c r="AY105" i="3"/>
  <c r="AY234" i="3"/>
  <c r="AY55" i="3"/>
  <c r="AY65" i="3"/>
  <c r="AY50" i="3"/>
  <c r="AY400" i="3"/>
  <c r="AY542" i="3"/>
  <c r="AY420" i="3"/>
  <c r="AY442" i="3"/>
  <c r="AY308" i="3"/>
  <c r="AY516" i="3"/>
  <c r="AY150" i="3"/>
  <c r="AY408" i="3"/>
  <c r="AY123" i="3"/>
  <c r="BS6" i="3"/>
  <c r="AY197" i="3"/>
  <c r="AY465" i="3"/>
  <c r="AY24" i="3"/>
  <c r="AY526" i="3"/>
  <c r="AY218" i="3"/>
  <c r="AY46" i="3"/>
  <c r="AY44" i="3"/>
  <c r="AY147" i="3"/>
  <c r="AY380" i="3"/>
  <c r="AY406" i="3"/>
  <c r="AY498" i="3"/>
  <c r="AY107" i="3"/>
  <c r="AY461" i="3"/>
  <c r="AY325" i="3"/>
  <c r="AY163" i="3"/>
  <c r="AY540" i="3"/>
  <c r="AY128" i="3"/>
  <c r="AY467" i="3"/>
  <c r="AY238" i="3"/>
  <c r="AY302" i="3"/>
  <c r="AY412" i="3"/>
  <c r="AY91" i="3"/>
  <c r="AY556" i="3"/>
  <c r="AY227" i="3"/>
  <c r="AY156" i="3"/>
  <c r="BD6" i="3"/>
  <c r="AY472" i="3"/>
  <c r="AY206" i="3"/>
  <c r="BQ6" i="3"/>
  <c r="AY485" i="3"/>
  <c r="AY553" i="3"/>
  <c r="AY358" i="3"/>
  <c r="AY17" i="3"/>
  <c r="AY285" i="3"/>
  <c r="AY567" i="3"/>
  <c r="AY113" i="3"/>
  <c r="AY418" i="3"/>
  <c r="AY93" i="3"/>
  <c r="AY421" i="3"/>
  <c r="AY487" i="3"/>
  <c r="AY554" i="3"/>
  <c r="AY18" i="3"/>
  <c r="BB6" i="3"/>
  <c r="AY353" i="3"/>
  <c r="AY444" i="3"/>
  <c r="AY243" i="3"/>
  <c r="AY301" i="3"/>
  <c r="AY521" i="3"/>
  <c r="AY441" i="3"/>
  <c r="AY203" i="3"/>
  <c r="AY384" i="3"/>
  <c r="AY169" i="3"/>
  <c r="AY295" i="3"/>
  <c r="AY438" i="3"/>
  <c r="AY35" i="3"/>
  <c r="AY386" i="3"/>
  <c r="AY200" i="3"/>
  <c r="AY369" i="3"/>
  <c r="AY207" i="3"/>
  <c r="AY368" i="3"/>
  <c r="AY138" i="3"/>
  <c r="AY319" i="3"/>
  <c r="AY456" i="3"/>
  <c r="AY503" i="3"/>
  <c r="AY447" i="3"/>
  <c r="AY483" i="3"/>
  <c r="AY190" i="3"/>
  <c r="AY195" i="3"/>
  <c r="AY322" i="3"/>
  <c r="AY545" i="3"/>
  <c r="AY547" i="3"/>
  <c r="AY110" i="3"/>
  <c r="AY499" i="3"/>
  <c r="AY23" i="3"/>
  <c r="AY306" i="3"/>
  <c r="AY167" i="3"/>
  <c r="AY297" i="3"/>
  <c r="AY469" i="3"/>
  <c r="AY300" i="3"/>
  <c r="AY119" i="3"/>
  <c r="AY462" i="3"/>
  <c r="BJ6" i="3"/>
  <c r="I19" i="6"/>
  <c r="M27" i="6"/>
  <c r="K46" i="36"/>
  <c r="D46" i="9"/>
  <c r="E6" i="6"/>
  <c r="C21" i="4"/>
  <c r="O5" i="54" s="1"/>
  <c r="B45" i="63" s="1"/>
  <c r="D16" i="12"/>
  <c r="L38" i="9"/>
  <c r="B14" i="66" s="1"/>
  <c r="B1" i="66" s="1"/>
  <c r="D44" i="9"/>
  <c r="D16" i="43"/>
  <c r="C16" i="43" s="1"/>
  <c r="D45" i="9"/>
  <c r="I42" i="35"/>
  <c r="J42" i="35" s="1"/>
  <c r="C17" i="12"/>
  <c r="C14" i="12"/>
  <c r="R39" i="35"/>
  <c r="E38" i="35"/>
  <c r="C13" i="59"/>
  <c r="D14" i="59"/>
  <c r="E6" i="3"/>
  <c r="C48" i="33"/>
  <c r="C49" i="33"/>
  <c r="B3" i="33" s="1"/>
  <c r="B2" i="33" s="1"/>
  <c r="G46" i="37"/>
  <c r="H46" i="37" s="1"/>
  <c r="G47" i="37"/>
  <c r="H47" i="37" s="1"/>
  <c r="T6" i="1"/>
  <c r="S16" i="1"/>
  <c r="I46" i="37"/>
  <c r="J46" i="37" s="1"/>
  <c r="I47" i="37"/>
  <c r="J47" i="37" s="1"/>
  <c r="E39" i="46"/>
  <c r="G39" i="46"/>
  <c r="I39" i="46" s="1"/>
  <c r="E36" i="46"/>
  <c r="G36" i="46"/>
  <c r="I36" i="46" s="1"/>
  <c r="E34" i="46"/>
  <c r="G34" i="46"/>
  <c r="I34" i="46" s="1"/>
  <c r="E29" i="46"/>
  <c r="C30" i="46"/>
  <c r="E30" i="46" s="1"/>
  <c r="E38" i="46"/>
  <c r="G38" i="46"/>
  <c r="I38" i="46" s="1"/>
  <c r="E37" i="46"/>
  <c r="G37" i="46"/>
  <c r="I37" i="46" s="1"/>
  <c r="E35" i="46"/>
  <c r="G35" i="46"/>
  <c r="I35" i="46" s="1"/>
  <c r="E33" i="46"/>
  <c r="G33" i="46"/>
  <c r="I33" i="46" s="1"/>
  <c r="H72" i="39" l="1"/>
  <c r="I70" i="39"/>
  <c r="L46" i="36"/>
  <c r="C22" i="4"/>
  <c r="D6" i="6"/>
  <c r="F45" i="9"/>
  <c r="D12" i="6"/>
  <c r="H26" i="6"/>
  <c r="D25" i="6"/>
  <c r="K38" i="9"/>
  <c r="C14" i="66" s="1"/>
  <c r="B2" i="66" s="1"/>
  <c r="D29" i="6"/>
  <c r="D23" i="6"/>
  <c r="E46" i="9"/>
  <c r="H21" i="6"/>
  <c r="E68" i="39"/>
  <c r="D5" i="6"/>
  <c r="E63" i="40"/>
  <c r="D19" i="6"/>
  <c r="D24" i="6"/>
  <c r="R24" i="6" s="1"/>
  <c r="D14" i="6"/>
  <c r="D26" i="6"/>
  <c r="R26" i="6" s="1"/>
  <c r="H22" i="6"/>
  <c r="H24" i="6"/>
  <c r="D13" i="6"/>
  <c r="D11" i="6"/>
  <c r="D21" i="6"/>
  <c r="R21" i="6" s="1"/>
  <c r="D20" i="6"/>
  <c r="D22" i="6"/>
  <c r="R22" i="6" s="1"/>
  <c r="F46" i="9"/>
  <c r="D28" i="6"/>
  <c r="D30" i="6" s="1"/>
  <c r="H20" i="6"/>
  <c r="D8" i="6"/>
  <c r="D16" i="6" s="1"/>
  <c r="D9" i="6"/>
  <c r="D10" i="6"/>
  <c r="H23" i="6"/>
  <c r="H25" i="6"/>
  <c r="H19" i="6"/>
  <c r="E45" i="9"/>
  <c r="E44" i="9"/>
  <c r="F44" i="9"/>
  <c r="D15" i="6"/>
  <c r="E43" i="35"/>
  <c r="F43" i="35" s="1"/>
  <c r="E42" i="35"/>
  <c r="F42" i="35" s="1"/>
  <c r="I43" i="35"/>
  <c r="J43" i="35" s="1"/>
  <c r="C38" i="35"/>
  <c r="C39" i="35"/>
  <c r="B3" i="35" s="1"/>
  <c r="B2" i="35" s="1"/>
  <c r="D13" i="11"/>
  <c r="C13" i="11" s="1"/>
  <c r="B29" i="1" s="1"/>
  <c r="C11" i="11" s="1"/>
  <c r="C10" i="11" s="1"/>
  <c r="D22" i="12"/>
  <c r="C22" i="12" s="1"/>
  <c r="C20" i="12" s="1"/>
  <c r="C8" i="66"/>
  <c r="C7" i="66"/>
  <c r="C6" i="66"/>
  <c r="J65" i="40"/>
  <c r="I67" i="40"/>
  <c r="C18" i="43"/>
  <c r="C42" i="37"/>
  <c r="C43" i="37"/>
  <c r="B3" i="37" s="1"/>
  <c r="B2" i="37" s="1"/>
  <c r="T12" i="1"/>
  <c r="T10" i="1"/>
  <c r="T7" i="1"/>
  <c r="T13" i="1"/>
  <c r="T9" i="1"/>
  <c r="T8" i="1"/>
  <c r="T11" i="1"/>
  <c r="C12" i="59"/>
  <c r="D13" i="59"/>
  <c r="T13" i="59"/>
  <c r="C16" i="12"/>
  <c r="C18" i="12" s="1"/>
  <c r="D19" i="12"/>
  <c r="C19" i="12" s="1"/>
  <c r="I27" i="6"/>
  <c r="S19" i="6"/>
  <c r="S27" i="6" s="1"/>
  <c r="E47" i="37"/>
  <c r="F47" i="37" s="1"/>
  <c r="E46" i="37"/>
  <c r="F46" i="37" s="1"/>
  <c r="C27" i="46"/>
  <c r="C26" i="46"/>
  <c r="B2" i="46" s="1"/>
  <c r="C16" i="44"/>
  <c r="C14" i="15"/>
  <c r="D19" i="9"/>
  <c r="I72" i="39" l="1"/>
  <c r="J70" i="39"/>
  <c r="C18" i="15"/>
  <c r="C15" i="15"/>
  <c r="C17" i="44"/>
  <c r="C20" i="44"/>
  <c r="C23" i="12"/>
  <c r="C35" i="12" s="1"/>
  <c r="C33" i="12" s="1"/>
  <c r="C19" i="43"/>
  <c r="C25" i="43" s="1"/>
  <c r="C24" i="43" s="1"/>
  <c r="R20" i="6"/>
  <c r="R23" i="6"/>
  <c r="A20" i="64"/>
  <c r="N5" i="54"/>
  <c r="B43" i="63" s="1"/>
  <c r="A6" i="51"/>
  <c r="B7" i="63" s="1"/>
  <c r="A20" i="51"/>
  <c r="B15" i="63" s="1"/>
  <c r="A6" i="64"/>
  <c r="C11" i="59"/>
  <c r="D12" i="59"/>
  <c r="H27" i="6"/>
  <c r="R19" i="6"/>
  <c r="D27" i="6"/>
  <c r="D31" i="6" s="1"/>
  <c r="D8" i="66"/>
  <c r="D7" i="66"/>
  <c r="D6" i="66"/>
  <c r="M46" i="36"/>
  <c r="K65" i="40"/>
  <c r="J67" i="40"/>
  <c r="T16" i="1"/>
  <c r="R25" i="6"/>
  <c r="L44" i="9"/>
  <c r="B3" i="46"/>
  <c r="B4" i="46"/>
  <c r="D4" i="46"/>
  <c r="D21" i="9"/>
  <c r="D20" i="9"/>
  <c r="K70" i="39" l="1"/>
  <c r="J72" i="39"/>
  <c r="C21" i="44"/>
  <c r="C22" i="44" s="1"/>
  <c r="C25" i="44" s="1"/>
  <c r="C22" i="43"/>
  <c r="C21" i="43" s="1"/>
  <c r="C28" i="43" s="1"/>
  <c r="C30" i="43" s="1"/>
  <c r="C32" i="43" s="1"/>
  <c r="B2" i="43" s="1"/>
  <c r="B4" i="43" s="1"/>
  <c r="C19" i="15"/>
  <c r="C20" i="15" s="1"/>
  <c r="C23" i="15" s="1"/>
  <c r="L65" i="40"/>
  <c r="K67" i="40"/>
  <c r="N46" i="36"/>
  <c r="O46" i="36" s="1"/>
  <c r="F7" i="36" s="1"/>
  <c r="J7" i="36"/>
  <c r="H7" i="36"/>
  <c r="I6" i="6"/>
  <c r="I5" i="6"/>
  <c r="C10" i="59"/>
  <c r="D11" i="59"/>
  <c r="R6" i="1"/>
  <c r="R16" i="1" s="1"/>
  <c r="R27" i="6"/>
  <c r="C28" i="12"/>
  <c r="C26" i="12" s="1"/>
  <c r="C31" i="12" s="1"/>
  <c r="C30" i="12" s="1"/>
  <c r="C36" i="12" s="1"/>
  <c r="B2" i="12" s="1"/>
  <c r="K72" i="39" l="1"/>
  <c r="L70" i="39"/>
  <c r="B5" i="43"/>
  <c r="B3" i="43"/>
  <c r="C28" i="44"/>
  <c r="C31" i="44" s="1"/>
  <c r="C15" i="44" s="1"/>
  <c r="C26" i="15"/>
  <c r="C29" i="15" s="1"/>
  <c r="B4" i="12"/>
  <c r="B3" i="12"/>
  <c r="B5" i="12"/>
  <c r="U7" i="36"/>
  <c r="AB7" i="36"/>
  <c r="T36" i="36" s="1"/>
  <c r="G36" i="36" s="1"/>
  <c r="C9" i="59"/>
  <c r="D10" i="59"/>
  <c r="AC7" i="36"/>
  <c r="V36" i="36" s="1"/>
  <c r="I36" i="36" s="1"/>
  <c r="W7" i="36"/>
  <c r="S7" i="36"/>
  <c r="AA7" i="36"/>
  <c r="R36" i="36" s="1"/>
  <c r="L67" i="40"/>
  <c r="M65" i="40"/>
  <c r="L72" i="39" l="1"/>
  <c r="M70" i="39"/>
  <c r="J21" i="44"/>
  <c r="J19" i="44" s="1"/>
  <c r="C38" i="44"/>
  <c r="C35" i="44"/>
  <c r="C33" i="44" s="1"/>
  <c r="J16" i="44"/>
  <c r="J15" i="44" s="1"/>
  <c r="J25" i="44" s="1"/>
  <c r="Q51" i="44"/>
  <c r="I40" i="36"/>
  <c r="J40" i="36" s="1"/>
  <c r="N65" i="40"/>
  <c r="M67" i="40"/>
  <c r="Q72" i="44"/>
  <c r="C39" i="44"/>
  <c r="C43" i="44"/>
  <c r="G41" i="36"/>
  <c r="H41" i="36" s="1"/>
  <c r="G40" i="36"/>
  <c r="H40" i="36" s="1"/>
  <c r="J19" i="15"/>
  <c r="J17" i="15" s="1"/>
  <c r="J59" i="15"/>
  <c r="J60" i="15" s="1"/>
  <c r="J14" i="15"/>
  <c r="C13" i="15"/>
  <c r="Q50" i="15"/>
  <c r="C36" i="15"/>
  <c r="C33" i="15"/>
  <c r="C31" i="15" s="1"/>
  <c r="C56" i="15"/>
  <c r="E36" i="36"/>
  <c r="R37" i="36"/>
  <c r="C8" i="59"/>
  <c r="T9" i="59"/>
  <c r="D9" i="59"/>
  <c r="J24" i="44" l="1"/>
  <c r="J18" i="44" s="1"/>
  <c r="J27" i="44" s="1"/>
  <c r="N70" i="39"/>
  <c r="N72" i="39" s="1"/>
  <c r="M72" i="39"/>
  <c r="C32" i="44"/>
  <c r="C42" i="44" s="1"/>
  <c r="C44" i="44" s="1"/>
  <c r="C45" i="44" s="1"/>
  <c r="E41" i="36"/>
  <c r="F41" i="36" s="1"/>
  <c r="E40" i="36"/>
  <c r="F40" i="36" s="1"/>
  <c r="D8" i="59"/>
  <c r="C7" i="59"/>
  <c r="C60" i="15"/>
  <c r="C58" i="15" s="1"/>
  <c r="C63" i="15"/>
  <c r="C37" i="15"/>
  <c r="C30" i="15" s="1"/>
  <c r="C39" i="15" s="1"/>
  <c r="C55" i="15"/>
  <c r="C64" i="15" s="1"/>
  <c r="J35" i="15"/>
  <c r="Q71" i="15"/>
  <c r="I41" i="36"/>
  <c r="J41" i="36" s="1"/>
  <c r="J22" i="15"/>
  <c r="J13" i="15"/>
  <c r="J23" i="15" s="1"/>
  <c r="C36" i="36"/>
  <c r="C37" i="36"/>
  <c r="B3" i="36" s="1"/>
  <c r="B2" i="36" s="1"/>
  <c r="Q49" i="15"/>
  <c r="L46" i="15"/>
  <c r="O65" i="40"/>
  <c r="O67" i="40" s="1"/>
  <c r="N67" i="40"/>
  <c r="F9" i="39" l="1"/>
  <c r="J9" i="39"/>
  <c r="H9" i="39"/>
  <c r="Q71" i="44"/>
  <c r="Q70" i="44" s="1"/>
  <c r="J39" i="15"/>
  <c r="J40" i="15" s="1"/>
  <c r="C57" i="15"/>
  <c r="C66" i="15" s="1"/>
  <c r="C67" i="15" s="1"/>
  <c r="C70" i="15" s="1"/>
  <c r="J16" i="15"/>
  <c r="J25" i="15" s="1"/>
  <c r="C6" i="59"/>
  <c r="D7" i="59"/>
  <c r="J9" i="40"/>
  <c r="F9" i="40"/>
  <c r="H9" i="40"/>
  <c r="C40" i="15"/>
  <c r="Q70" i="15"/>
  <c r="Q69" i="15" s="1"/>
  <c r="B2" i="44"/>
  <c r="L52" i="44"/>
  <c r="L51" i="15"/>
  <c r="AC9" i="39" l="1"/>
  <c r="V49" i="39" s="1"/>
  <c r="I49" i="39" s="1"/>
  <c r="W9" i="39"/>
  <c r="U9" i="39"/>
  <c r="AB9" i="39"/>
  <c r="T49" i="39" s="1"/>
  <c r="G49" i="39" s="1"/>
  <c r="S9" i="39"/>
  <c r="AA9" i="39"/>
  <c r="R49" i="39" s="1"/>
  <c r="C46" i="15"/>
  <c r="L57" i="15"/>
  <c r="L60" i="15" s="1"/>
  <c r="Q68" i="15"/>
  <c r="AA9" i="40"/>
  <c r="R44" i="40" s="1"/>
  <c r="S9" i="40"/>
  <c r="W9" i="40"/>
  <c r="AC9" i="40"/>
  <c r="V44" i="40" s="1"/>
  <c r="I44" i="40" s="1"/>
  <c r="Q69" i="44"/>
  <c r="L58" i="44"/>
  <c r="L61" i="44" s="1"/>
  <c r="F14" i="66"/>
  <c r="E14" i="66"/>
  <c r="B5" i="66"/>
  <c r="B3" i="44"/>
  <c r="B5" i="44"/>
  <c r="B4" i="44"/>
  <c r="B2" i="15"/>
  <c r="B3" i="15" s="1"/>
  <c r="Q66" i="15"/>
  <c r="C43" i="15"/>
  <c r="Q48" i="15"/>
  <c r="Q54" i="15" s="1"/>
  <c r="Q57" i="15"/>
  <c r="J42" i="15"/>
  <c r="J43" i="15" s="1"/>
  <c r="U9" i="40"/>
  <c r="AB9" i="40"/>
  <c r="T44" i="40" s="1"/>
  <c r="G44" i="40" s="1"/>
  <c r="C5" i="59"/>
  <c r="D6" i="59"/>
  <c r="E49" i="39" l="1"/>
  <c r="R50" i="39"/>
  <c r="G53" i="39"/>
  <c r="H53" i="39" s="1"/>
  <c r="G54" i="39"/>
  <c r="H54" i="39" s="1"/>
  <c r="I54" i="39"/>
  <c r="J54" i="39" s="1"/>
  <c r="I53" i="39"/>
  <c r="J53" i="39" s="1"/>
  <c r="Q59" i="44"/>
  <c r="Q64" i="44" s="1"/>
  <c r="Q68" i="44"/>
  <c r="Q77" i="44" s="1"/>
  <c r="I48" i="40"/>
  <c r="J48" i="40" s="1"/>
  <c r="D5" i="59"/>
  <c r="M20" i="46"/>
  <c r="C5" i="66"/>
  <c r="D5" i="66"/>
  <c r="E44" i="40"/>
  <c r="I49" i="40" s="1"/>
  <c r="J49" i="40" s="1"/>
  <c r="R45" i="40"/>
  <c r="G49" i="40"/>
  <c r="H49" i="40" s="1"/>
  <c r="G48" i="40"/>
  <c r="H48" i="40" s="1"/>
  <c r="Q67" i="15"/>
  <c r="Q76" i="15" s="1"/>
  <c r="Q58" i="15"/>
  <c r="Q63" i="15" s="1"/>
  <c r="C49" i="39" l="1"/>
  <c r="C50" i="39"/>
  <c r="E53" i="39"/>
  <c r="F53" i="39" s="1"/>
  <c r="E54" i="39"/>
  <c r="F54" i="39" s="1"/>
  <c r="C45" i="40"/>
  <c r="C44" i="40"/>
  <c r="E48" i="40"/>
  <c r="F48" i="40" s="1"/>
  <c r="E49" i="40"/>
  <c r="F49" i="40" s="1"/>
  <c r="B64" i="39" l="1"/>
  <c r="F64" i="39" s="1"/>
  <c r="B62" i="39"/>
  <c r="F62" i="39" s="1"/>
  <c r="B60" i="39"/>
  <c r="F60" i="39" s="1"/>
  <c r="B61" i="39"/>
  <c r="F61" i="39" s="1"/>
  <c r="B59" i="39"/>
  <c r="F59" i="39" s="1"/>
  <c r="B67" i="39"/>
  <c r="F67" i="39" s="1"/>
  <c r="B63" i="39"/>
  <c r="F63" i="39" s="1"/>
  <c r="B58" i="39"/>
  <c r="F58" i="39" s="1"/>
  <c r="B66" i="39"/>
  <c r="F66" i="39" s="1"/>
  <c r="F68" i="39"/>
  <c r="B2" i="39" s="1"/>
  <c r="B65" i="39"/>
  <c r="F65" i="39" s="1"/>
  <c r="B55" i="40"/>
  <c r="F55" i="40" s="1"/>
  <c r="B54" i="40"/>
  <c r="F54" i="40" s="1"/>
  <c r="F63" i="40"/>
  <c r="B2" i="40" s="1"/>
  <c r="B53" i="40"/>
  <c r="F53" i="40" s="1"/>
  <c r="B57" i="40"/>
  <c r="F57" i="40" s="1"/>
  <c r="B58" i="40"/>
  <c r="F58" i="40" s="1"/>
  <c r="B61" i="40"/>
  <c r="F61" i="40" s="1"/>
  <c r="B62" i="40"/>
  <c r="F62" i="40" s="1"/>
  <c r="B60" i="40"/>
  <c r="F60" i="40" s="1"/>
  <c r="B59" i="40"/>
  <c r="F59" i="40" s="1"/>
  <c r="B56" i="40"/>
  <c r="F56" i="40" s="1"/>
  <c r="B4" i="39" l="1"/>
  <c r="B5" i="39"/>
  <c r="B3" i="39"/>
  <c r="B4" i="40"/>
  <c r="B5" i="40"/>
  <c r="B3" i="40"/>
  <c r="E8" i="11" s="1"/>
  <c r="AE6" i="1"/>
  <c r="C8" i="11" l="1"/>
  <c r="C7" i="11" s="1"/>
  <c r="C17" i="11" l="1"/>
  <c r="C19" i="11" s="1"/>
  <c r="C20" i="11" s="1"/>
  <c r="C21" i="11" s="1"/>
  <c r="C22" i="11" s="1"/>
  <c r="C23" i="11" s="1"/>
  <c r="B2" i="11" s="1"/>
  <c r="C18" i="11"/>
  <c r="C19" i="9"/>
  <c r="G19" i="9" l="1"/>
  <c r="L43" i="9"/>
  <c r="D22" i="9"/>
  <c r="B4" i="11"/>
  <c r="B5" i="11"/>
  <c r="B3" i="11"/>
  <c r="C21" i="9"/>
  <c r="C20" i="9"/>
  <c r="G21" i="9" l="1"/>
  <c r="K21" i="9" s="1"/>
  <c r="G20" i="9"/>
  <c r="C3" i="69" s="1"/>
  <c r="C10" i="69" s="1"/>
  <c r="C11" i="69" s="1"/>
  <c r="C12" i="69" s="1"/>
  <c r="N43" i="9"/>
  <c r="C32" i="9"/>
  <c r="G22" i="9"/>
  <c r="O38" i="9" l="1"/>
  <c r="O43" i="9"/>
  <c r="C42" i="9"/>
  <c r="C33" i="9"/>
  <c r="C34" i="9"/>
  <c r="C35" i="9"/>
  <c r="F42" i="9" s="1"/>
  <c r="N38" i="9" l="1"/>
  <c r="K28" i="9" s="1"/>
  <c r="D42" i="9"/>
  <c r="Q5" i="54" s="1"/>
  <c r="B47" i="63" s="1"/>
  <c r="E42" i="9"/>
  <c r="P5" i="54" s="1"/>
  <c r="B46" i="63" s="1"/>
  <c r="M38" i="9"/>
  <c r="K27" i="9" s="1"/>
  <c r="D63" i="9"/>
  <c r="N68" i="9"/>
  <c r="R5" i="54"/>
  <c r="B48" i="63" s="1"/>
  <c r="K25" i="9"/>
  <c r="K26" i="9"/>
  <c r="C82" i="9" l="1"/>
  <c r="C81" i="9" s="1"/>
  <c r="C85" i="9" s="1"/>
  <c r="C86" i="9" s="1"/>
  <c r="D72" i="9" s="1"/>
  <c r="D70" i="9"/>
  <c r="D71" i="9"/>
  <c r="C111" i="9"/>
  <c r="C104" i="9" s="1"/>
  <c r="C103" i="9"/>
  <c r="C90" i="9"/>
  <c r="D73" i="9"/>
  <c r="N73" i="9" s="1"/>
  <c r="C96" i="9"/>
  <c r="C91" i="9" s="1"/>
  <c r="C113" i="9" l="1"/>
  <c r="C97" i="9"/>
  <c r="C114" i="9" l="1"/>
  <c r="E114" i="9" s="1"/>
  <c r="E115" i="9" s="1"/>
  <c r="C98" i="9"/>
  <c r="E98" i="9" s="1"/>
  <c r="E99" i="9" s="1"/>
  <c r="C115" i="9" l="1"/>
  <c r="D76" i="9" s="1"/>
  <c r="D74" i="9" s="1"/>
  <c r="N74" i="9" s="1"/>
  <c r="O77" i="9" s="1"/>
  <c r="Q77" i="9" s="1"/>
  <c r="C99" i="9"/>
  <c r="O79" i="9" l="1"/>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<sst xmlns="http://schemas.openxmlformats.org/spreadsheetml/2006/main" count="7043" uniqueCount="3145">
  <si>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</si>
  <si>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</si>
  <si>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</si>
  <si>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</si>
  <si>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</si>
  <si>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</si>
  <si>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</si>
  <si>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</si>
  <si>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</si>
  <si>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</si>
  <si>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</si>
  <si>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</si>
  <si>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</si>
  <si>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</si>
  <si>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</si>
  <si>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</si>
  <si>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</si>
  <si>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</si>
  <si>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</si>
  <si>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</si>
  <si>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</si>
  <si>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</si>
  <si>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</si>
  <si>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</si>
  <si>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</si>
  <si>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</si>
  <si>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</si>
  <si>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</si>
  <si>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</si>
  <si>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</si>
  <si>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</si>
  <si>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</si>
  <si>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</si>
  <si>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</si>
  <si>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</si>
  <si>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</si>
  <si>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</si>
  <si>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</si>
  <si>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</si>
  <si>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</si>
  <si>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</si>
  <si>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</si>
  <si>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</si>
  <si>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</si>
  <si>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</si>
  <si>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</si>
  <si>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</si>
  <si>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</si>
  <si>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</si>
  <si>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</si>
  <si>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</si>
  <si>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</si>
  <si>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</si>
  <si>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</si>
  <si>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</si>
  <si>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</si>
  <si>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</si>
  <si>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</si>
  <si>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</si>
  <si>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</si>
  <si>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</si>
  <si>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</si>
  <si>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</si>
  <si>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</si>
  <si>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</si>
  <si>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</si>
  <si>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</si>
  <si>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</si>
  <si>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</si>
  <si>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</si>
  <si>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</si>
  <si>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</si>
  <si>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</si>
  <si>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</si>
  <si>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</si>
  <si>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</si>
  <si>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</si>
  <si>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</si>
  <si>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</si>
  <si>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</si>
  <si>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</si>
  <si>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</si>
  <si>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</si>
  <si>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</si>
  <si>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</si>
  <si>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</si>
  <si>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</si>
  <si>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</si>
  <si>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</si>
  <si>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</si>
  <si>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</si>
  <si>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</si>
  <si>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</si>
  <si>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</si>
  <si>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</si>
  <si>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</si>
  <si>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</si>
  <si>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</si>
  <si>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</si>
  <si>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</si>
  <si>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</si>
  <si>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</si>
  <si>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</si>
  <si>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</si>
  <si>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</si>
  <si>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</si>
  <si>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</si>
  <si>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</si>
  <si>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</si>
  <si>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</si>
  <si>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</si>
  <si>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</si>
  <si>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</si>
  <si>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</si>
  <si>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</si>
  <si>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</si>
  <si>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</si>
  <si>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</si>
  <si>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</si>
  <si>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</si>
  <si>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</si>
  <si>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</si>
  <si>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</si>
  <si>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</si>
  <si>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</si>
  <si>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</si>
  <si>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</si>
  <si>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</si>
  <si>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</si>
  <si>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</si>
  <si>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</si>
  <si>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</si>
  <si>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</si>
  <si>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</si>
  <si>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</si>
  <si>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</si>
  <si>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</si>
  <si>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</si>
  <si>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</si>
  <si>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</si>
  <si>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</si>
  <si>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</si>
  <si>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</si>
  <si>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</si>
  <si>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</si>
  <si>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</si>
  <si>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</si>
  <si>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</si>
  <si>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</si>
  <si>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</si>
  <si>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</si>
  <si>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</si>
  <si>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</si>
  <si>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</si>
  <si>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</si>
  <si>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</si>
  <si>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</si>
  <si>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</si>
  <si>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</si>
  <si>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</si>
  <si>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</si>
  <si>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</si>
  <si>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</si>
  <si>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</si>
  <si>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</si>
  <si>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</si>
  <si>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</si>
  <si>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</si>
  <si>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</si>
  <si>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</si>
  <si>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</si>
  <si>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</si>
  <si>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</si>
  <si>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</si>
  <si>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</si>
  <si>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</si>
  <si>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</si>
  <si>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</si>
  <si>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</si>
  <si>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</si>
  <si>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</si>
  <si>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</si>
  <si>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</si>
  <si>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</si>
  <si>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</si>
  <si>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</si>
  <si>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</si>
  <si>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</si>
  <si>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</si>
  <si>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</si>
  <si>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</si>
  <si>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</si>
  <si>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</si>
  <si>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</si>
  <si>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</si>
  <si>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</si>
  <si>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</si>
  <si>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</si>
  <si>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</si>
  <si>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</si>
  <si>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</si>
  <si>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</si>
  <si>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</si>
  <si>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</si>
  <si>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</si>
  <si>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</si>
  <si>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</si>
  <si>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</si>
  <si>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</si>
  <si>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</si>
  <si>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</si>
  <si>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</si>
  <si>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</si>
  <si>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</si>
  <si>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</si>
  <si>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</si>
  <si>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</si>
  <si>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</si>
  <si>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</si>
  <si>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</si>
  <si>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</si>
  <si>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</si>
  <si>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</si>
  <si>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</si>
  <si>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</si>
  <si>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</si>
  <si>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</si>
  <si>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</si>
  <si>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</si>
  <si>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</si>
  <si>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</si>
  <si>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</si>
  <si>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</si>
  <si>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</si>
  <si>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</si>
  <si>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</si>
  <si>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</si>
  <si>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</si>
  <si>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</si>
  <si>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</si>
  <si>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</si>
  <si>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</si>
  <si>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</si>
  <si>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</si>
  <si>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</si>
  <si>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</si>
  <si>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</si>
  <si>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</si>
  <si>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</si>
  <si>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</si>
  <si>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</si>
  <si>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</si>
  <si>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</si>
  <si>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</si>
  <si>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</si>
  <si>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</si>
  <si>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</si>
  <si>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</si>
  <si>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</si>
  <si>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</si>
  <si>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</si>
  <si>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</si>
  <si>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</si>
  <si>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</si>
  <si>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</si>
  <si>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</si>
  <si>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</si>
  <si>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</si>
  <si>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</si>
  <si>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</si>
  <si>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</si>
  <si>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</si>
  <si>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</si>
  <si>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</si>
  <si>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</si>
  <si>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</si>
  <si>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</si>
  <si>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</si>
  <si>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</si>
  <si>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</si>
  <si>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</si>
  <si>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</si>
  <si>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</si>
  <si>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</si>
  <si>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</si>
  <si>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</si>
  <si>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</si>
  <si>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</si>
  <si>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</si>
  <si>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</si>
  <si>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</si>
  <si>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</si>
  <si>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</si>
  <si>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</si>
  <si>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</si>
  <si>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</si>
  <si>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</si>
  <si>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</si>
  <si>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</si>
  <si>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</si>
  <si>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</si>
  <si>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</si>
  <si>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</si>
  <si>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</si>
  <si>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</si>
  <si>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</si>
  <si>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</si>
  <si>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</si>
  <si>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</si>
  <si>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</si>
  <si>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</si>
  <si>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</si>
  <si>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</si>
  <si>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</si>
  <si>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</si>
  <si>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</si>
  <si>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</si>
  <si>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</si>
  <si>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</si>
  <si>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</si>
  <si>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</si>
  <si>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</si>
  <si>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</si>
  <si>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</si>
  <si>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</si>
  <si>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</si>
  <si>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</si>
  <si>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</si>
  <si>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</si>
  <si>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</si>
  <si>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</si>
  <si>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</si>
  <si>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</si>
  <si>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</si>
  <si>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</si>
  <si>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</si>
  <si>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</si>
  <si>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</si>
  <si>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</si>
  <si>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</si>
  <si>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</si>
  <si>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</si>
  <si>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</si>
  <si>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</si>
  <si>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</si>
  <si>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</si>
  <si>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</si>
  <si>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</si>
  <si>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</si>
  <si>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</si>
  <si>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</si>
  <si>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</si>
  <si>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</si>
  <si>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</si>
  <si>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</si>
  <si>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</si>
  <si>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</si>
  <si>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</si>
  <si>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</si>
  <si>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</si>
  <si>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</si>
  <si>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</si>
  <si>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</si>
  <si>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</si>
  <si>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</si>
  <si>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</si>
  <si>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</si>
  <si>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</si>
  <si>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</si>
  <si>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</si>
  <si>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</si>
  <si>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</si>
  <si>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</si>
  <si>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</si>
  <si>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</si>
  <si>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</si>
  <si>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</si>
  <si>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</si>
  <si>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</si>
  <si>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</si>
  <si>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</si>
  <si>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</si>
  <si>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</si>
  <si>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</si>
  <si>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</si>
  <si>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</si>
  <si>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</si>
  <si>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</si>
  <si>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</si>
  <si>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</si>
  <si>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</si>
  <si>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</si>
  <si>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</si>
  <si>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</si>
  <si>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</si>
  <si>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</si>
  <si>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</si>
  <si>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</si>
  <si>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</si>
  <si>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</si>
  <si>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</si>
  <si>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</si>
  <si>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</si>
  <si>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</si>
  <si>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</si>
  <si>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</si>
  <si>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</si>
  <si>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</si>
  <si>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</si>
  <si>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</si>
  <si>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</si>
  <si>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</si>
  <si>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</si>
  <si>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</si>
  <si>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</si>
  <si>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</si>
  <si>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</si>
  <si>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</si>
  <si>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</si>
  <si>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</si>
  <si>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</si>
  <si>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</si>
  <si>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</si>
  <si>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</si>
  <si>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</si>
  <si>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</si>
  <si>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</si>
  <si>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</si>
  <si>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</si>
  <si>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</si>
  <si>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</si>
  <si>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</si>
  <si>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</si>
  <si>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</si>
  <si>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</si>
  <si>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</si>
  <si>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</si>
  <si>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</si>
  <si>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</si>
  <si>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</si>
  <si>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</si>
  <si>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</si>
  <si>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</si>
  <si>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</si>
  <si>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</si>
  <si>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</si>
  <si>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</si>
  <si>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</si>
  <si>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</si>
  <si>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</si>
  <si>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</si>
  <si>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</si>
  <si>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</si>
  <si>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</si>
  <si>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</si>
  <si>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</si>
  <si>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</si>
  <si>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</si>
  <si>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</si>
  <si>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</si>
  <si>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</si>
  <si>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</si>
  <si>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</si>
  <si>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</si>
  <si>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</si>
  <si>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</si>
  <si>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</si>
  <si>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</si>
  <si>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</si>
  <si>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</si>
  <si>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</si>
  <si>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</si>
  <si>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</si>
  <si>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</si>
  <si>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</si>
  <si>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</si>
  <si>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</si>
  <si>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</si>
  <si>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</si>
  <si>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</si>
  <si>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</si>
  <si>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</si>
  <si>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</si>
  <si>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</si>
  <si>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</si>
  <si>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</si>
  <si>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</si>
  <si>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</si>
  <si>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</si>
  <si>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</si>
  <si>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</si>
  <si>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</si>
  <si>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</si>
  <si>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</si>
  <si>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</si>
  <si>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</si>
  <si>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</si>
  <si>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</si>
  <si>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</si>
  <si>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</si>
  <si>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</si>
  <si>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</si>
  <si>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</si>
  <si>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</si>
  <si>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</si>
  <si>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</si>
  <si>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</si>
  <si>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</si>
  <si>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</si>
  <si>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</si>
  <si>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</si>
  <si>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</si>
  <si>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</si>
  <si>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</si>
  <si>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</si>
  <si>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</si>
  <si>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</si>
  <si>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</si>
  <si>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</si>
  <si>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</si>
  <si>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</si>
  <si>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</si>
  <si>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</si>
  <si>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</si>
  <si>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</si>
  <si>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</si>
  <si>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</si>
  <si>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</si>
  <si>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</si>
  <si>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</si>
  <si>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</si>
  <si>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</si>
  <si>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</si>
  <si>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</si>
  <si>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</si>
  <si>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</si>
  <si>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</si>
  <si>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</si>
  <si>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</si>
  <si>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</si>
  <si>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</si>
  <si>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</si>
  <si>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</si>
  <si>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</si>
  <si>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</si>
  <si>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</si>
  <si>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</si>
  <si>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</si>
  <si>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</si>
  <si>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</si>
  <si>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</si>
  <si>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</si>
  <si>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</si>
  <si>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</si>
  <si>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</si>
  <si>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</si>
  <si>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</si>
  <si>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</si>
  <si>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</si>
  <si>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</si>
  <si>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</si>
  <si>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</si>
  <si>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</si>
  <si>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</si>
  <si>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</si>
  <si>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</si>
  <si>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</si>
  <si>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</si>
  <si>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</si>
  <si>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</si>
  <si>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</si>
  <si>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</si>
  <si>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</si>
  <si>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</si>
  <si>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</si>
  <si>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</si>
  <si>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</si>
  <si>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</si>
  <si>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</si>
  <si>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</si>
  <si>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</si>
  <si>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</si>
  <si>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</si>
  <si>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</si>
  <si>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</si>
  <si>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</si>
  <si>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</si>
  <si>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</si>
  <si>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</si>
  <si>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</si>
  <si>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</si>
  <si>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</si>
  <si>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</si>
  <si>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</si>
  <si>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</si>
  <si>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</si>
  <si>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</si>
  <si>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</si>
  <si>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</si>
  <si>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</si>
  <si>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</si>
  <si>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</si>
  <si>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</si>
  <si>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</si>
  <si>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</si>
  <si>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</si>
  <si>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</si>
  <si>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</si>
  <si>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</si>
  <si>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</si>
  <si>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</si>
  <si>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</si>
  <si>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</si>
  <si>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</si>
  <si>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</si>
  <si>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</si>
  <si>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</si>
  <si>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</si>
  <si>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</si>
  <si>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</si>
  <si>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</si>
  <si>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</si>
  <si>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</si>
  <si>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</si>
  <si>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</si>
  <si>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</si>
  <si>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</si>
  <si>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</si>
  <si>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</si>
  <si>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</si>
  <si>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</si>
  <si>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</si>
  <si>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</si>
  <si>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</si>
  <si>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</si>
  <si>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</si>
  <si>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</si>
  <si>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</si>
  <si>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</si>
  <si>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</si>
  <si>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</si>
  <si>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</si>
  <si>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</si>
  <si>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</si>
  <si>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</si>
  <si>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</si>
  <si>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</si>
  <si>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</si>
  <si>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</si>
  <si>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</si>
  <si>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</si>
  <si>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</si>
  <si>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</si>
  <si>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</si>
  <si>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</si>
  <si>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</si>
  <si>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</si>
  <si>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</si>
  <si>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</si>
  <si>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</si>
  <si>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</si>
  <si>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</si>
  <si>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</si>
  <si>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</si>
  <si>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</si>
  <si>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</si>
  <si>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</si>
  <si>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</si>
  <si>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</si>
  <si>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</si>
  <si>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</si>
  <si>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</si>
  <si>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</si>
  <si>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</si>
  <si>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</si>
  <si>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</si>
  <si>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</si>
  <si>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</si>
  <si>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</si>
  <si>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</si>
  <si>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</si>
  <si>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</si>
  <si>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</si>
  <si>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</si>
  <si>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</si>
  <si>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</si>
  <si>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</si>
  <si>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</si>
  <si>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</si>
  <si>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</si>
  <si>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</si>
  <si>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</si>
  <si>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</si>
  <si>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</si>
  <si>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</si>
  <si>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</si>
  <si>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</si>
  <si>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</si>
  <si>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</si>
  <si>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</si>
  <si>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</si>
  <si>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</si>
  <si>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</si>
  <si>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</si>
  <si>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</si>
  <si>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</si>
  <si>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</si>
  <si>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</si>
  <si>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</si>
  <si>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</si>
  <si>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</si>
  <si>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</si>
  <si>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</si>
  <si>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</si>
  <si>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</si>
  <si>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</si>
  <si>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</si>
  <si>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</si>
  <si>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</si>
  <si>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</si>
  <si>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</si>
  <si>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</si>
  <si>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</si>
  <si>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</si>
  <si>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</si>
  <si>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</si>
  <si>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</si>
  <si>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</si>
  <si>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</si>
  <si>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</si>
  <si>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</si>
  <si>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</si>
  <si>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</si>
  <si>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</si>
  <si>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</si>
  <si>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</si>
  <si>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</si>
  <si>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</si>
  <si>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</si>
  <si>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</si>
  <si>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</si>
  <si>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</si>
  <si>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</si>
  <si>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</si>
  <si>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</si>
  <si>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</si>
  <si>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</si>
  <si>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</si>
  <si>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</si>
  <si>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</si>
  <si>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</si>
  <si>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</si>
  <si>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</si>
  <si>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</si>
  <si>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</si>
  <si>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</si>
  <si>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</si>
  <si>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</si>
  <si>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</si>
  <si>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</si>
  <si>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</si>
  <si>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</si>
  <si>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</si>
  <si>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</si>
  <si>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</si>
  <si>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</si>
  <si>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</si>
  <si>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</si>
  <si>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</si>
  <si>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</si>
  <si>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</si>
  <si>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</si>
  <si>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</si>
  <si>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</si>
  <si>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</si>
  <si>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</si>
  <si>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</si>
  <si>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</si>
  <si>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</si>
  <si>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</si>
  <si>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</si>
  <si>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</si>
  <si>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</si>
  <si>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</si>
  <si>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</si>
  <si>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</si>
  <si>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</si>
  <si>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</si>
  <si>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</si>
  <si>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</si>
  <si>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</si>
  <si>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</si>
  <si>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</si>
  <si>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</si>
  <si>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</si>
  <si>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</si>
  <si>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</si>
  <si>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</si>
  <si>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</si>
  <si>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</si>
  <si>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</si>
  <si>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</si>
  <si>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</si>
  <si>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</si>
  <si>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</si>
  <si>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</si>
  <si>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</si>
  <si>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</si>
  <si>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</si>
  <si>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</si>
  <si>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</si>
  <si>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</si>
  <si>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</si>
  <si>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</si>
  <si>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</si>
  <si>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</si>
  <si>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</si>
  <si>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</si>
  <si>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</si>
  <si>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</si>
  <si>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</si>
  <si>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</si>
  <si>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</si>
  <si>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</si>
  <si>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</si>
  <si>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</si>
  <si>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</si>
  <si>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</si>
  <si>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</si>
  <si>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</si>
  <si>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</si>
  <si>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</si>
  <si>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</si>
  <si>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</si>
  <si>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</si>
  <si>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</si>
  <si>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</si>
  <si>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</si>
  <si>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</si>
  <si>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</si>
  <si>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</si>
  <si>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</si>
  <si>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</si>
  <si>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</si>
  <si>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</si>
  <si>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</si>
  <si>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</si>
  <si>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</si>
  <si>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</si>
  <si>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</si>
  <si>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</si>
  <si>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</si>
  <si>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</si>
  <si>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</si>
  <si>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</si>
  <si>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</si>
  <si>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</si>
  <si>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</si>
  <si>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</si>
  <si>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</si>
  <si>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</si>
  <si>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</si>
  <si>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</si>
  <si>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</si>
  <si>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</si>
  <si>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</si>
  <si>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</si>
  <si>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</si>
  <si>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</si>
  <si>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</si>
  <si>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</si>
  <si>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</si>
  <si>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</si>
  <si>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</si>
  <si>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</si>
  <si>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</si>
  <si>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</si>
  <si>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</si>
  <si>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</si>
  <si>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</si>
  <si>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</si>
  <si>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</si>
  <si>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</si>
  <si>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</si>
  <si>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</si>
  <si>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</si>
  <si>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</si>
  <si>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</si>
  <si>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</si>
  <si>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</si>
  <si>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</si>
  <si>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</si>
  <si>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</si>
  <si>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</si>
  <si>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</si>
  <si>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</si>
  <si>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</si>
  <si>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</si>
  <si>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</si>
  <si>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</si>
  <si>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</si>
  <si>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</si>
  <si>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</si>
  <si>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</si>
  <si>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</si>
  <si>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</si>
  <si>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</si>
  <si>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</si>
  <si>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</si>
  <si>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</si>
  <si>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</si>
  <si>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</si>
  <si>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</si>
  <si>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</si>
  <si>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</si>
  <si>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</si>
  <si>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</si>
  <si>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</si>
  <si>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</si>
  <si>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</si>
  <si>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</si>
  <si>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</si>
  <si>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</si>
  <si>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</si>
  <si>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</si>
  <si>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</si>
  <si>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</si>
  <si>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</si>
  <si>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</si>
  <si>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</si>
  <si>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</si>
  <si>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</si>
  <si>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</si>
  <si>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</si>
  <si>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</si>
  <si>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</si>
  <si>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</si>
  <si>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</si>
  <si>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</si>
  <si>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</si>
  <si>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</si>
  <si>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</si>
  <si>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</si>
  <si>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</si>
  <si>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</si>
  <si>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</si>
  <si>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</si>
  <si>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</si>
  <si>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</si>
  <si>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</si>
  <si>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</si>
  <si>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</si>
  <si>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</si>
  <si>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</si>
  <si>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</si>
  <si>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</si>
  <si>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</si>
  <si>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</si>
  <si>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</si>
  <si>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</si>
  <si>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</si>
  <si>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</si>
  <si>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</si>
  <si>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</si>
  <si>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</si>
  <si>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</si>
  <si>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</si>
  <si>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</si>
  <si>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</si>
  <si>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</si>
  <si>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</si>
  <si>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</si>
  <si>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</si>
  <si>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</si>
  <si>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</si>
  <si>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</si>
  <si>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</si>
  <si>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</si>
  <si>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</si>
  <si>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</si>
  <si>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</si>
  <si>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</si>
  <si>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</si>
  <si>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</si>
  <si>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</si>
  <si>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</si>
  <si>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</si>
  <si>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</si>
  <si>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</si>
  <si>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</si>
  <si>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</si>
  <si>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</si>
  <si>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</si>
  <si>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</si>
  <si>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</si>
  <si>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</si>
  <si>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</si>
  <si>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</si>
  <si>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</si>
  <si>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</si>
  <si>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</si>
  <si>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</si>
  <si>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</si>
  <si>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</si>
  <si>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</si>
  <si>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</si>
  <si>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</si>
  <si>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</si>
  <si>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</si>
  <si>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</si>
  <si>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</si>
  <si>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</si>
  <si>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</si>
  <si>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</si>
  <si>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</si>
  <si>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</si>
  <si>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</si>
  <si>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</si>
  <si>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</si>
  <si>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</si>
  <si>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</si>
  <si>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</si>
  <si>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</si>
  <si>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</si>
  <si>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</si>
  <si>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</si>
  <si>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</si>
  <si>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</si>
  <si>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</si>
  <si>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</si>
  <si>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</si>
  <si>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</si>
  <si>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</si>
  <si>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</si>
  <si>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</si>
  <si>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</si>
  <si>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</si>
  <si>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</si>
  <si>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</si>
  <si>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</si>
  <si>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</si>
  <si>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</si>
  <si>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</si>
  <si>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</si>
  <si>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</si>
  <si>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</si>
  <si>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</si>
  <si>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</si>
  <si>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</si>
  <si>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</si>
  <si>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</si>
  <si>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</si>
  <si>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</si>
  <si>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</si>
  <si>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</si>
  <si>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</si>
  <si>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</si>
  <si>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</si>
  <si>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</si>
  <si>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</si>
  <si>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</si>
  <si>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</si>
  <si>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</si>
  <si>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</si>
  <si>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</si>
  <si>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</si>
  <si>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</si>
  <si>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</si>
  <si>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</si>
  <si>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</si>
  <si>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</si>
  <si>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</si>
  <si>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</si>
  <si>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</si>
  <si>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</si>
  <si>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</si>
  <si>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</si>
  <si>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</si>
  <si>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</si>
  <si>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</si>
  <si>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</si>
  <si>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</si>
  <si>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</si>
  <si>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</si>
  <si>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</si>
  <si>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</si>
  <si>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</si>
  <si>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</si>
  <si>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</si>
  <si>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</si>
  <si>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</si>
  <si>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</si>
  <si>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</si>
  <si>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</si>
  <si>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</si>
  <si>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</si>
  <si>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</si>
  <si>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</si>
  <si>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</si>
  <si>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</si>
  <si>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</si>
  <si>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</si>
  <si>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</si>
  <si>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</si>
  <si>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</si>
  <si>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</si>
  <si>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</si>
  <si>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</si>
  <si>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</si>
  <si>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</si>
  <si>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</si>
  <si>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</si>
  <si>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</si>
  <si>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</si>
  <si>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</si>
  <si>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</si>
  <si>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</si>
  <si>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</si>
  <si>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</si>
  <si>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</si>
  <si>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</si>
  <si>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</si>
  <si>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</si>
  <si>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</si>
  <si>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</si>
  <si>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</si>
  <si>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</si>
  <si>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</si>
  <si>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</si>
  <si>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</si>
  <si>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</si>
  <si>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</si>
  <si>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</si>
  <si>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</si>
  <si>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</si>
  <si>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</si>
  <si>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</si>
  <si>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</si>
  <si>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</si>
  <si>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</si>
  <si>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</si>
  <si>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</si>
  <si>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</si>
  <si>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</si>
  <si>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</si>
  <si>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</si>
  <si>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</si>
  <si>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</si>
  <si>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</si>
  <si>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</si>
  <si>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</si>
  <si>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</si>
  <si>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</si>
  <si>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</si>
  <si>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</si>
  <si>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</si>
  <si>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</si>
  <si>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</si>
  <si>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</si>
  <si>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</si>
  <si>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</si>
  <si>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</si>
  <si>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</si>
  <si>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</si>
  <si>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</si>
  <si>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</si>
  <si>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</si>
  <si>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</si>
  <si>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</si>
  <si>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</si>
  <si>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</si>
  <si>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</si>
  <si>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</si>
  <si>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</si>
  <si>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</si>
  <si>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</si>
  <si>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</si>
  <si>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</si>
  <si>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</si>
  <si>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</si>
  <si>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</si>
  <si>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</si>
  <si>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</si>
  <si>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</si>
  <si>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</si>
  <si>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</si>
  <si>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</si>
  <si>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</si>
  <si>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</si>
  <si>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</si>
  <si>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</si>
  <si>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</si>
  <si>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</si>
  <si>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</si>
  <si>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</si>
  <si>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</si>
  <si>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</si>
  <si>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</si>
  <si>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</si>
  <si>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</si>
  <si>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</si>
  <si>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</si>
  <si>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</si>
  <si>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</si>
  <si>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</si>
  <si>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</si>
  <si>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</si>
  <si>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</si>
  <si>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</si>
  <si>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</si>
  <si>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</si>
  <si>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</si>
  <si>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</si>
  <si>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</si>
  <si>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</si>
  <si>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</si>
  <si>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</si>
  <si>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</si>
  <si>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</si>
  <si>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</si>
  <si>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</si>
  <si>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</si>
  <si>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</si>
  <si>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</si>
  <si>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</si>
  <si>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</si>
  <si>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</si>
  <si>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</si>
  <si>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</si>
  <si>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</si>
  <si>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</si>
  <si>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</si>
  <si>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</si>
  <si>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</si>
  <si>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</si>
  <si>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</si>
  <si>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</si>
  <si>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</si>
  <si>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</si>
  <si>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</si>
  <si>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</si>
  <si>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</si>
  <si>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</si>
  <si>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</si>
  <si>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</si>
  <si>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</si>
  <si>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</si>
  <si>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</si>
  <si>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</si>
  <si>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</si>
  <si>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</si>
  <si>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</si>
  <si>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</si>
  <si>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</si>
  <si>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</si>
  <si>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</si>
  <si>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</si>
  <si>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</si>
  <si>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</si>
  <si>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</si>
  <si>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</si>
  <si>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</si>
  <si>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</si>
  <si>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</si>
  <si>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</si>
  <si>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</si>
  <si>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</si>
  <si>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</si>
  <si>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</si>
  <si>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</si>
  <si>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</si>
  <si>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</si>
  <si>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</si>
  <si>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</si>
  <si>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</si>
  <si>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</si>
  <si>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</si>
  <si>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</si>
  <si>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</si>
  <si>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</si>
  <si>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</si>
  <si>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</si>
  <si>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</si>
  <si>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</si>
  <si>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</si>
  <si>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</si>
  <si>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</si>
  <si>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</si>
  <si>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</si>
  <si>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</si>
  <si>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</si>
  <si>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</si>
  <si>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</si>
  <si>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</si>
  <si>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</si>
  <si>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</si>
  <si>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</si>
  <si>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</si>
  <si>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</si>
  <si>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</si>
  <si>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</si>
  <si>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</si>
  <si>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</si>
  <si>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</si>
  <si>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</si>
  <si>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</si>
  <si>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</si>
  <si>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</si>
  <si>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</si>
  <si>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</si>
  <si>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</si>
  <si>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</si>
  <si>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</si>
  <si>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</si>
  <si>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</si>
  <si>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</si>
  <si>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</si>
  <si>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</si>
  <si>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</si>
  <si>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</si>
  <si>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</si>
  <si>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</si>
  <si>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</si>
  <si>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</si>
  <si>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</si>
  <si>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</si>
  <si>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</si>
  <si>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</si>
  <si>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</si>
  <si>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</si>
  <si>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</si>
  <si>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</si>
  <si>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</si>
  <si>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</si>
  <si>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</si>
  <si>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</si>
  <si>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</si>
  <si>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</si>
  <si>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</si>
  <si>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</si>
  <si>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</si>
  <si>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</si>
  <si>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</si>
  <si>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</si>
  <si>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</si>
  <si>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</si>
  <si>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</si>
  <si>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</si>
  <si>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</si>
  <si>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</si>
  <si>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</si>
  <si>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</si>
  <si>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</si>
  <si>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</si>
  <si>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</si>
  <si>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</si>
  <si>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</si>
  <si>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</si>
  <si>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</si>
  <si>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</si>
  <si>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</si>
  <si>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</si>
  <si>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</si>
  <si>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</si>
  <si>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</si>
  <si>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</si>
  <si>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</si>
  <si>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</si>
  <si>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</si>
  <si>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</si>
  <si>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</si>
  <si>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</si>
  <si>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</si>
  <si>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</si>
  <si>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</si>
  <si>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</si>
  <si>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</si>
  <si>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</si>
  <si>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</si>
  <si>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</si>
  <si>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</si>
  <si>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</si>
  <si>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</si>
  <si>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</si>
  <si>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</si>
  <si>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</si>
  <si>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</si>
  <si>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</si>
  <si>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</si>
  <si>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</si>
  <si>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</si>
  <si>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</si>
  <si>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</si>
  <si>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</si>
  <si>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</si>
  <si>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</si>
  <si>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</si>
  <si>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</si>
  <si>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</si>
  <si>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</si>
  <si>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</si>
  <si>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</si>
  <si>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</si>
  <si>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</si>
  <si>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</si>
  <si>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</si>
  <si>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</si>
  <si>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</si>
  <si>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</si>
  <si>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</si>
  <si>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</si>
  <si>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</si>
  <si>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</si>
  <si>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</si>
  <si>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</si>
  <si>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</si>
  <si>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</si>
  <si>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</si>
  <si>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</si>
  <si>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</si>
  <si>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</si>
  <si>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</si>
  <si>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</si>
  <si>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</si>
  <si>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</si>
  <si>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</si>
  <si>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</si>
  <si>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</si>
  <si>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</si>
  <si>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</si>
  <si>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</si>
  <si>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</si>
  <si>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</si>
  <si>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</si>
  <si>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</si>
  <si>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</si>
  <si>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</si>
  <si>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</si>
  <si>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</si>
  <si>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</si>
  <si>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</si>
  <si>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</si>
  <si>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</si>
  <si>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</si>
  <si>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</si>
  <si>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</si>
  <si>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</si>
  <si>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</si>
  <si>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</si>
  <si>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</si>
  <si>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</si>
  <si>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</si>
  <si>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</si>
  <si>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</si>
  <si>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</si>
  <si>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</si>
  <si>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</si>
  <si>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</si>
  <si>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</si>
  <si>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</si>
  <si>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</si>
  <si>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</si>
  <si>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</si>
  <si>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</si>
  <si>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</si>
  <si>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</si>
  <si>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</si>
  <si>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</si>
  <si>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</si>
  <si>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</si>
  <si>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</si>
  <si>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</si>
  <si>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</si>
  <si>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</si>
  <si>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</si>
  <si>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</si>
  <si>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</si>
  <si>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</si>
  <si>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</si>
  <si>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</si>
  <si>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</si>
  <si>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</si>
  <si>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</si>
  <si>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</si>
  <si>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</si>
  <si>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</si>
  <si>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</si>
  <si>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</si>
  <si>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</si>
  <si>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</si>
  <si>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</si>
  <si>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</si>
  <si>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</si>
  <si>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</si>
  <si>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</si>
  <si>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</si>
  <si>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</si>
  <si>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</si>
  <si>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</si>
  <si>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</si>
  <si>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</si>
  <si>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</si>
  <si>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</si>
  <si>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</si>
  <si>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</si>
  <si>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</si>
  <si>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</si>
  <si>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</si>
  <si>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</si>
  <si>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</si>
  <si>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</si>
  <si>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</si>
  <si>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</si>
  <si>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</si>
  <si>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</si>
  <si>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</si>
  <si>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</si>
  <si>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</si>
  <si>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</si>
  <si>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</si>
  <si>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</si>
  <si>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</si>
  <si>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</si>
  <si>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</si>
  <si>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</si>
  <si>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</si>
  <si>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</si>
  <si>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</si>
  <si>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</si>
  <si>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</si>
  <si>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</si>
  <si>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</si>
  <si>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</si>
  <si>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</si>
  <si>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</si>
  <si>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</si>
  <si>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</si>
  <si>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</si>
  <si>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</si>
  <si>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</si>
  <si>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</si>
  <si>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</si>
  <si>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</si>
  <si>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</si>
  <si>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</si>
  <si>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</si>
  <si>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</si>
  <si>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</si>
  <si>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</si>
  <si>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</si>
  <si>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</si>
  <si>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</si>
  <si>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</si>
  <si>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</si>
  <si>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</si>
  <si>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</si>
  <si>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</si>
  <si>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</si>
  <si>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</si>
  <si>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</si>
  <si>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</si>
  <si>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</si>
  <si>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</si>
  <si>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</si>
  <si>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</si>
  <si>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</si>
  <si>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</si>
  <si>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</si>
  <si>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</si>
  <si>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</si>
  <si>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</si>
  <si>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</si>
  <si>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</si>
  <si>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</si>
  <si>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</si>
  <si>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</si>
  <si>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</si>
  <si>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</si>
  <si>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</si>
  <si>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</si>
  <si>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</si>
  <si>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</si>
  <si>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</si>
  <si>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</si>
  <si>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</si>
  <si>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</si>
  <si>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</si>
  <si>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</si>
  <si>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</si>
  <si>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</si>
  <si>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</si>
  <si>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</si>
  <si>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</si>
  <si>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</si>
  <si>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</si>
  <si>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</si>
  <si>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</si>
  <si>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</si>
  <si>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</si>
  <si>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</si>
  <si>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</si>
  <si>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</si>
  <si>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</si>
  <si>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</si>
  <si>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</si>
  <si>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</si>
  <si>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</si>
  <si>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</si>
  <si>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</si>
  <si>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</si>
  <si>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</si>
  <si>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</si>
  <si>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</si>
  <si>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</si>
  <si>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</si>
  <si>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</si>
  <si>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</si>
  <si>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</si>
  <si>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</si>
  <si>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</si>
  <si>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</si>
  <si>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</si>
  <si>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</si>
  <si>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</si>
  <si>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</si>
  <si>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</si>
  <si>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</si>
  <si>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</si>
  <si>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</si>
  <si>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</si>
  <si>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</si>
  <si>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</si>
  <si>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</si>
  <si>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</si>
  <si>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</si>
  <si>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</si>
  <si>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</si>
  <si>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</si>
  <si>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</si>
  <si>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</si>
  <si>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</si>
  <si>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</si>
  <si>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</si>
  <si>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</si>
  <si>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</si>
  <si>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</si>
  <si>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</si>
  <si>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</si>
  <si>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</si>
  <si>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</si>
  <si>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</si>
  <si>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</si>
  <si>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</si>
  <si>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</si>
  <si>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</si>
  <si>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</si>
  <si>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</si>
  <si>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</si>
  <si>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</si>
  <si>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</si>
  <si>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</si>
  <si>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</si>
  <si>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</si>
  <si>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</si>
  <si>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</si>
  <si>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</si>
  <si>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</si>
  <si>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</si>
  <si>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</si>
  <si>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</si>
  <si>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</si>
  <si>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</si>
  <si>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</si>
  <si>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</si>
  <si>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</si>
  <si>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</si>
  <si>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</si>
  <si>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</si>
  <si>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</si>
  <si>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</si>
  <si>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</si>
  <si>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</si>
  <si>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</si>
  <si>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</si>
  <si>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</si>
  <si>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</si>
  <si>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</si>
  <si>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</si>
  <si>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</si>
  <si>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</si>
  <si>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</si>
  <si>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</si>
  <si>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</si>
  <si>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</si>
  <si>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</si>
  <si>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</si>
  <si>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</si>
  <si>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</si>
  <si>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</si>
  <si>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</si>
  <si>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</si>
  <si>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</si>
  <si>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</si>
  <si>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</si>
  <si>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</si>
  <si>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</si>
  <si>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</si>
  <si>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</si>
  <si>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</si>
  <si>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</si>
  <si>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</si>
  <si>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</si>
  <si>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</si>
  <si>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</si>
  <si>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</si>
  <si>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</si>
  <si>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</si>
  <si>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</si>
  <si>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</si>
  <si>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</si>
  <si>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</si>
  <si>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</si>
  <si>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</si>
  <si>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</si>
  <si>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</si>
  <si>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</si>
  <si>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</si>
  <si>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</si>
  <si>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</si>
  <si>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</si>
  <si>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</si>
  <si>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</si>
  <si>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</si>
  <si>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</si>
  <si>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</si>
  <si>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</si>
  <si>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</si>
  <si>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</si>
  <si>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</si>
  <si>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</si>
  <si>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</si>
  <si>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</si>
  <si>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</si>
  <si>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</si>
  <si>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</si>
  <si>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</si>
  <si>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</si>
  <si>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</si>
  <si>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</si>
  <si>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</si>
  <si>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</si>
  <si>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</si>
  <si>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</si>
  <si>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</si>
  <si>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</si>
  <si>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</si>
  <si>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</si>
  <si>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</si>
  <si>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</si>
  <si>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</si>
  <si>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</si>
  <si>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</si>
  <si>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</si>
  <si>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</si>
  <si>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</si>
  <si>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</si>
  <si>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</si>
  <si>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</si>
  <si>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</si>
  <si>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</si>
  <si>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</si>
  <si>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</si>
  <si>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</si>
  <si>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</si>
  <si>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</si>
  <si>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</si>
  <si>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</si>
  <si>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</si>
  <si>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</si>
  <si>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</si>
  <si>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</si>
  <si>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</si>
  <si>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</si>
  <si>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</si>
  <si>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</si>
  <si>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</si>
  <si>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</si>
  <si>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</si>
  <si>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</si>
  <si>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</si>
  <si>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</si>
  <si>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</si>
  <si>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</si>
  <si>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</si>
  <si>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</si>
  <si>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</si>
  <si>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</si>
  <si>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</si>
  <si>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</si>
  <si>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</si>
  <si>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</si>
  <si>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</si>
  <si>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</si>
  <si>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</si>
  <si>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</si>
  <si>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</si>
  <si>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</si>
  <si>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</si>
  <si>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</si>
  <si>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</si>
  <si>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</si>
  <si>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</si>
  <si>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</si>
  <si>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</si>
  <si>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</si>
  <si>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</si>
  <si>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</si>
  <si>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</si>
  <si>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</si>
  <si>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</si>
  <si>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</si>
  <si>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</si>
  <si>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</si>
  <si>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</si>
  <si>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</si>
  <si>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</si>
  <si>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</si>
  <si>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</si>
  <si>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</si>
  <si>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</si>
  <si>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</si>
  <si>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</si>
  <si>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</si>
  <si>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</si>
  <si>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</si>
  <si>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</si>
  <si>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</si>
  <si>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</si>
  <si>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</si>
  <si>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</si>
  <si>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</si>
  <si>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</si>
  <si>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</si>
  <si>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</si>
  <si>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</si>
  <si>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</si>
  <si>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</si>
  <si>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</si>
  <si>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</si>
  <si>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</si>
  <si>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</si>
  <si>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</si>
  <si>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</si>
  <si>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</si>
  <si>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</si>
  <si>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</si>
  <si>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</si>
  <si>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</si>
  <si>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</si>
  <si>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</si>
  <si>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</si>
  <si>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</si>
  <si>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</si>
  <si>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</si>
  <si>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</si>
  <si>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</si>
  <si>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</si>
  <si>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</si>
  <si>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</si>
  <si>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</si>
  <si>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</si>
  <si>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</si>
  <si>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</si>
  <si>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</si>
  <si>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</si>
  <si>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</si>
  <si>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</si>
  <si>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</si>
  <si>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</si>
  <si>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</si>
  <si>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</si>
  <si>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</si>
  <si>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</si>
  <si>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</si>
  <si>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</si>
  <si>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</si>
  <si>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</si>
  <si>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</si>
  <si>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</si>
  <si>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</si>
  <si>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</si>
  <si>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</si>
  <si>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</si>
  <si>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</si>
  <si>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</si>
  <si>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</si>
  <si>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</si>
  <si>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</si>
  <si>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</si>
  <si>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</si>
  <si>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</si>
  <si>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</si>
  <si>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</si>
  <si>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</si>
  <si>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</si>
  <si>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</si>
  <si>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</si>
  <si>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</si>
  <si>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</si>
  <si>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</si>
  <si>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</si>
  <si>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</si>
  <si>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</si>
  <si>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</si>
  <si>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</si>
  <si>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</si>
  <si>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</si>
  <si>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</si>
  <si>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</si>
  <si>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</si>
  <si>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</si>
  <si>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</si>
  <si>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</si>
  <si>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</si>
  <si>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</si>
  <si>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</si>
  <si>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</si>
  <si>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</si>
  <si>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</si>
  <si>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</si>
  <si>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</si>
  <si>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</si>
  <si>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</si>
  <si>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</si>
  <si>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</si>
  <si>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</si>
  <si>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</si>
  <si>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</si>
  <si>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</si>
  <si>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</si>
  <si>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</si>
  <si>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</si>
  <si>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</si>
  <si>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</si>
  <si>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</si>
  <si>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</si>
  <si>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</si>
  <si>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</si>
  <si>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</si>
  <si>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</si>
  <si>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</si>
  <si>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</si>
  <si>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</si>
  <si>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</si>
  <si>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</si>
  <si>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</si>
  <si>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</si>
  <si>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</si>
  <si>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</si>
  <si>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</si>
  <si>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</si>
  <si>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</si>
  <si>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</si>
  <si>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</si>
  <si>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</si>
  <si>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</si>
  <si>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</si>
  <si>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</si>
  <si>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</si>
  <si>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</si>
  <si>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</si>
  <si>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</si>
  <si>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</si>
  <si>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</si>
  <si>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</si>
  <si>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</si>
  <si>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</si>
  <si>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</si>
  <si>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</si>
  <si>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</si>
  <si>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</si>
  <si>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</si>
  <si>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</si>
  <si>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</si>
  <si>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</si>
  <si>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</si>
  <si>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</si>
  <si>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</si>
  <si>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</si>
  <si>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</si>
  <si>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</si>
  <si>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</si>
  <si>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</si>
  <si>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</si>
  <si>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</si>
  <si>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</si>
  <si>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</si>
  <si>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</si>
  <si>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</si>
  <si>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</si>
  <si>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</si>
  <si>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</si>
  <si>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</si>
  <si>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</si>
  <si>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</si>
  <si>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</si>
  <si>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</si>
  <si>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</si>
  <si>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</si>
  <si>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</si>
  <si>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</si>
  <si>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</si>
  <si>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</si>
  <si>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</si>
  <si>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</si>
  <si>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</si>
  <si>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</si>
  <si>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</si>
  <si>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</si>
  <si>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</si>
  <si>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</si>
  <si>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</si>
  <si>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</si>
  <si>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</si>
  <si>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</si>
  <si>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</si>
  <si>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</si>
  <si>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</si>
  <si>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</si>
  <si>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</si>
  <si>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</si>
  <si>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</si>
  <si>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</si>
  <si>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</si>
  <si>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</si>
  <si>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</si>
  <si>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</si>
  <si>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</si>
  <si>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</si>
  <si>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</si>
  <si>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</si>
  <si>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</si>
  <si>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</si>
  <si>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</si>
  <si>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</si>
  <si>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</si>
  <si>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</si>
  <si>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</si>
  <si>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</si>
  <si>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</si>
  <si>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</si>
  <si>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</si>
  <si>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</si>
  <si>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</si>
  <si>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</si>
  <si>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</si>
  <si>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</si>
  <si>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</si>
  <si>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</si>
  <si>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</si>
  <si>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</si>
  <si>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</si>
  <si>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</si>
  <si>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</si>
  <si>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</si>
  <si>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</si>
  <si>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</si>
  <si>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</si>
  <si>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</si>
  <si>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</si>
  <si>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</si>
  <si>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</si>
  <si>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</si>
  <si>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</si>
  <si>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</si>
  <si>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</si>
  <si>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</si>
  <si>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</si>
  <si>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</si>
  <si>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</si>
  <si>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</si>
  <si>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</si>
  <si>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</si>
  <si>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</si>
  <si>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</si>
  <si>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</si>
  <si>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</si>
  <si>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</si>
  <si>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</si>
  <si>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</si>
  <si>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</si>
  <si>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</si>
  <si>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</si>
  <si>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</si>
  <si>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</si>
  <si>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</si>
  <si>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</si>
  <si>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</si>
  <si>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</si>
  <si>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</si>
  <si>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</si>
  <si>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</si>
  <si>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</si>
  <si>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</si>
  <si>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</si>
  <si>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</si>
  <si>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</si>
  <si>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</si>
  <si>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</si>
  <si>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</si>
  <si>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</si>
  <si>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</si>
  <si>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</si>
  <si>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</si>
  <si>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</si>
  <si>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</si>
  <si>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</si>
  <si>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</si>
  <si>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</si>
  <si>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</si>
  <si>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</si>
  <si>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</si>
  <si>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</si>
  <si>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</si>
  <si>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</si>
  <si>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</si>
  <si>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</si>
  <si>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</si>
  <si>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</si>
  <si>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</si>
  <si>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</si>
  <si>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</si>
  <si>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</si>
  <si>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</si>
  <si>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</si>
  <si>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</si>
  <si>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</si>
  <si>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</si>
  <si>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</si>
  <si>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</si>
  <si>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</si>
  <si>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</si>
  <si>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</si>
  <si>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</si>
  <si>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</si>
  <si>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</si>
  <si>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</si>
  <si>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</si>
  <si>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</si>
  <si>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</si>
  <si>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</si>
  <si>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</si>
  <si>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</si>
  <si>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</si>
  <si>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</si>
  <si>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</si>
  <si>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</si>
  <si>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</si>
  <si>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</si>
  <si>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</si>
  <si>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</si>
  <si>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</si>
  <si>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</si>
  <si>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</si>
  <si>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</si>
  <si>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</si>
  <si>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</si>
  <si>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</si>
  <si>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</si>
  <si>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</si>
  <si>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</si>
  <si>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</si>
  <si>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</si>
  <si>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</si>
  <si>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</si>
  <si>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</si>
  <si>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</si>
  <si>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</si>
  <si>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</si>
  <si>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</si>
  <si>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</si>
  <si>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</si>
  <si>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</si>
  <si>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</si>
  <si>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</si>
  <si>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</si>
  <si>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</si>
  <si>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</si>
  <si>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</si>
  <si>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</si>
  <si>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</si>
  <si>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</si>
  <si>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</si>
  <si>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</si>
  <si>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</si>
  <si>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</si>
  <si>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</si>
  <si>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</si>
  <si>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</si>
  <si>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</si>
  <si>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</si>
  <si>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</si>
  <si>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</si>
  <si>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</si>
  <si>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</si>
  <si>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</si>
  <si>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</si>
  <si>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</si>
  <si>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</si>
  <si>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</si>
  <si>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</si>
  <si>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</si>
  <si>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</si>
  <si>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</si>
  <si>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</si>
  <si>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</si>
  <si>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</si>
  <si>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</si>
  <si>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</si>
  <si>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</si>
  <si>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</si>
  <si>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</si>
  <si>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</si>
  <si>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</si>
  <si>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</si>
  <si>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</si>
  <si>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</si>
  <si>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</si>
  <si>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</si>
  <si>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</si>
  <si>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</si>
  <si>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</si>
  <si>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</si>
  <si>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</si>
  <si>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</si>
  <si>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</si>
  <si>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</si>
  <si>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</si>
  <si>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</si>
  <si>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</si>
  <si>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</si>
  <si>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</si>
  <si>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</si>
  <si>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</si>
  <si>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</si>
  <si>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</si>
  <si>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</si>
  <si>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</si>
  <si>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</si>
  <si>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</si>
  <si>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</si>
  <si>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</si>
  <si>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</si>
  <si>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</si>
  <si>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</si>
  <si>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</si>
  <si>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</si>
  <si>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</si>
  <si>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</si>
  <si>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</si>
  <si>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</si>
  <si>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</si>
  <si>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</si>
  <si>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</si>
  <si>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</si>
  <si>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</si>
  <si>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</si>
  <si>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</si>
  <si>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</si>
  <si>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</si>
  <si>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</si>
  <si>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</si>
  <si>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</si>
  <si>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</si>
  <si>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</si>
  <si>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</si>
  <si>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</si>
  <si>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</si>
  <si>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</si>
  <si>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</si>
  <si>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</si>
  <si>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</si>
  <si>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</si>
  <si>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</si>
  <si>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</si>
  <si>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</si>
  <si>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</si>
  <si>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</si>
  <si>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</si>
  <si>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</si>
  <si>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</si>
  <si>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</si>
  <si>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</si>
  <si>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</si>
  <si>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</si>
  <si>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</si>
  <si>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</si>
  <si>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</si>
  <si>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</si>
  <si>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</si>
  <si>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</si>
  <si>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</si>
  <si>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</si>
  <si>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</si>
  <si>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</si>
  <si>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</si>
  <si>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</si>
  <si>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</si>
  <si>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</si>
  <si>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</si>
  <si>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</si>
  <si>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</si>
  <si>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</si>
  <si>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</si>
  <si>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</si>
  <si>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</si>
  <si>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</si>
  <si>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</si>
  <si>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</si>
  <si>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</si>
  <si>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</si>
  <si>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</si>
  <si>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</si>
  <si>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</si>
  <si>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</si>
  <si>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</si>
  <si>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</si>
  <si>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</si>
  <si>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</si>
  <si>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</si>
  <si>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</si>
  <si>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</si>
  <si>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</si>
  <si>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</si>
  <si>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</si>
  <si>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</si>
  <si>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</si>
  <si>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</si>
  <si>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</si>
  <si>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</si>
  <si>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</si>
  <si>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</si>
  <si>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</si>
  <si>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</si>
  <si>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</si>
  <si>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</si>
  <si>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</si>
  <si>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</si>
  <si>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</si>
  <si>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</si>
  <si>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</si>
  <si>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</si>
  <si>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</si>
  <si>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</si>
  <si>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</si>
  <si>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</si>
  <si>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</si>
  <si>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</si>
  <si>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</si>
  <si>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</si>
  <si>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</si>
  <si>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</si>
  <si>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</si>
  <si>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</si>
  <si>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</si>
  <si>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</si>
  <si>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</si>
  <si>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</si>
  <si>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</si>
  <si>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</si>
  <si>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</si>
  <si>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</si>
  <si>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</si>
  <si>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</si>
  <si>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</si>
  <si>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</si>
  <si>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</si>
  <si>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</si>
  <si>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</si>
  <si>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</si>
  <si>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</si>
  <si>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</si>
  <si>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</si>
  <si>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</si>
  <si>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</si>
  <si>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</si>
  <si>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</si>
  <si>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</si>
  <si>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</si>
  <si>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</si>
  <si>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</si>
  <si>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</si>
  <si>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</si>
  <si>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</si>
  <si>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</si>
  <si>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</si>
  <si>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</si>
  <si>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</si>
  <si>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</si>
  <si>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</si>
  <si>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</si>
  <si>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</si>
  <si>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</si>
  <si>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</si>
  <si>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</si>
  <si>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</si>
  <si>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</si>
  <si>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</si>
  <si>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</si>
  <si>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</si>
  <si>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</si>
  <si>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</si>
  <si>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</si>
  <si>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</si>
  <si>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</si>
  <si>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</si>
  <si>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</si>
  <si>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</si>
  <si>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</si>
  <si>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</si>
  <si>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</si>
  <si>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</si>
  <si>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</si>
  <si>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</si>
  <si>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</si>
  <si>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</si>
  <si>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</si>
  <si>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</si>
  <si>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</si>
  <si>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</si>
  <si>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</si>
  <si>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</si>
  <si>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</si>
  <si>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</si>
  <si>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</si>
  <si>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</si>
  <si>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</si>
  <si>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</si>
  <si>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</si>
  <si>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</si>
  <si>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</si>
  <si>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</si>
  <si>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</si>
  <si>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</si>
  <si>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</si>
  <si>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</si>
  <si>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</si>
  <si>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</si>
  <si>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</si>
  <si>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</si>
  <si>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</si>
  <si>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</si>
  <si>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</si>
  <si>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</si>
  <si>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</si>
  <si>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</si>
  <si>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</si>
  <si>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</si>
  <si>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</si>
  <si>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</si>
  <si>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</si>
  <si>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</si>
  <si>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</si>
  <si>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</si>
  <si>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</si>
  <si>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</si>
  <si>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</si>
  <si>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</si>
  <si>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</si>
  <si>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</si>
  <si>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</si>
  <si>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</si>
  <si>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</si>
  <si>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</si>
  <si>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</si>
  <si>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</si>
  <si>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</si>
  <si>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</si>
  <si>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</si>
  <si>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</si>
  <si>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</si>
  <si>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</si>
  <si>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</si>
  <si>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</si>
  <si>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</si>
  <si>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</si>
  <si>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</si>
  <si>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</si>
  <si>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</si>
  <si>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</si>
  <si>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</si>
  <si>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</si>
  <si>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</si>
  <si>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</si>
  <si>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</si>
  <si>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</si>
  <si>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</si>
  <si>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</si>
  <si>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</si>
  <si>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</si>
  <si>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</si>
  <si>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</si>
  <si>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</si>
  <si>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</si>
  <si>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</si>
  <si>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</si>
  <si>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</si>
  <si>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</si>
  <si>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</si>
  <si>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</si>
  <si>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</si>
  <si>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</si>
  <si>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</si>
  <si>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</si>
  <si>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</si>
  <si>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</si>
  <si>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</si>
  <si>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</si>
  <si>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</si>
  <si>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</si>
  <si>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</si>
  <si>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</si>
  <si>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</si>
  <si>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</si>
  <si>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</si>
  <si>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</si>
  <si>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</si>
  <si>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</si>
  <si>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</si>
  <si>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</si>
  <si>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</si>
  <si>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</si>
  <si>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</si>
  <si>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</si>
  <si>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</si>
  <si>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</si>
  <si>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</si>
  <si>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</si>
  <si>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</si>
  <si>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</si>
  <si>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</si>
  <si>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</si>
  <si>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</si>
  <si>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</si>
  <si>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</si>
  <si>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</si>
  <si>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</si>
  <si>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</si>
  <si>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</si>
  <si>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</si>
  <si>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</si>
  <si>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</si>
  <si>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</si>
  <si>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</si>
  <si>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</si>
  <si>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</si>
  <si>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</si>
  <si>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</si>
  <si>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</si>
  <si>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</si>
  <si>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</si>
  <si>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</si>
  <si>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</si>
  <si>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</si>
  <si>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</si>
  <si>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</si>
  <si>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</si>
  <si>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</si>
  <si>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</si>
  <si>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</si>
  <si>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</si>
  <si>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</si>
  <si>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</si>
  <si>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</si>
  <si>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</si>
  <si>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</si>
  <si>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</si>
  <si>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</si>
  <si>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</si>
  <si>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</si>
  <si>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</si>
  <si>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</si>
  <si>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</si>
  <si>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</si>
  <si>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</si>
  <si>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</si>
  <si>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</si>
  <si>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</si>
  <si>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</si>
  <si>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</si>
  <si>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</si>
  <si>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</si>
  <si>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</si>
  <si>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</si>
  <si>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</si>
  <si>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</si>
  <si>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</si>
  <si>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</si>
  <si>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</si>
  <si>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</si>
  <si>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</si>
  <si>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</si>
  <si>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</si>
  <si>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</si>
  <si>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</si>
  <si>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</si>
  <si>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</si>
  <si>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</si>
  <si>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</si>
  <si>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</si>
  <si>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</si>
  <si>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</si>
  <si>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</si>
  <si>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</si>
  <si>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</si>
  <si>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</si>
  <si>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</si>
  <si>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</si>
  <si>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</si>
  <si>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</si>
  <si>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</si>
  <si>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</si>
  <si>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</si>
  <si>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</si>
  <si>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</si>
  <si>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</si>
  <si>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</si>
  <si>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</si>
  <si>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</si>
  <si>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</si>
  <si>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</si>
  <si>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</si>
  <si>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</si>
  <si>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</si>
  <si>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</si>
  <si>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</si>
  <si>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</si>
  <si>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</si>
  <si>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</si>
  <si>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</si>
  <si>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</si>
  <si>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</si>
  <si>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</si>
  <si>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</si>
  <si>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</si>
  <si>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</si>
  <si>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</si>
  <si>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</si>
  <si>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</si>
  <si>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</si>
  <si>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</si>
  <si>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</si>
  <si>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</si>
  <si>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</si>
  <si>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</si>
  <si>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</si>
  <si>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</si>
  <si>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</si>
  <si>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</si>
  <si>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</si>
  <si>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</si>
  <si>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</si>
  <si>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</si>
  <si>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</si>
  <si>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</si>
  <si>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</si>
  <si>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</si>
  <si>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</si>
  <si>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</si>
  <si>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</si>
  <si>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</si>
  <si>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</si>
  <si>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</si>
  <si>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</si>
  <si>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</si>
  <si>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</si>
  <si>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</si>
  <si>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</si>
  <si>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</si>
  <si>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</si>
  <si>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</si>
  <si>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</si>
  <si>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</si>
  <si>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</si>
  <si>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</si>
  <si>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</si>
  <si>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</si>
  <si>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</si>
  <si>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</si>
  <si>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</si>
  <si>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</si>
  <si>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</si>
  <si>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</si>
  <si>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</si>
  <si>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</si>
  <si>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</si>
  <si>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</si>
  <si>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</si>
  <si>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</si>
  <si>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</si>
  <si>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</si>
  <si>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</si>
  <si>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</si>
  <si>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</si>
  <si>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</si>
  <si>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</si>
  <si>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</si>
  <si>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</si>
  <si>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</si>
  <si>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</si>
  <si>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</si>
  <si>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</si>
  <si>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</si>
  <si>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</si>
  <si>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</si>
  <si>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</si>
  <si>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</si>
  <si>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</si>
  <si>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</si>
  <si>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</si>
  <si>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</si>
  <si>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</si>
  <si>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</si>
  <si>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</si>
  <si>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</si>
  <si>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</si>
  <si>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</si>
  <si>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</si>
  <si>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</si>
  <si>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</si>
  <si>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</si>
  <si>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</si>
  <si>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</si>
  <si>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</si>
  <si>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</si>
  <si>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</si>
  <si>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</si>
  <si>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</si>
  <si>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</si>
  <si>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</si>
  <si>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</si>
  <si>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</si>
  <si>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</si>
  <si>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</si>
  <si>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</si>
  <si>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</si>
  <si>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</si>
  <si>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</si>
  <si>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</si>
  <si>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</si>
  <si>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</si>
  <si>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</si>
  <si>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</si>
  <si>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</si>
  <si>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</si>
  <si>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</si>
  <si>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</si>
  <si>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</si>
  <si>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</si>
  <si>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</si>
  <si>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</si>
  <si>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</si>
  <si>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</si>
  <si>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</si>
  <si>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</si>
  <si>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</si>
  <si>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</si>
  <si>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</si>
  <si>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</si>
  <si>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</si>
  <si>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</si>
  <si>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</si>
  <si>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</si>
  <si>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</si>
  <si>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</si>
  <si>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</si>
  <si>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</si>
  <si>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</si>
  <si>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</si>
  <si>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</si>
  <si>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</si>
  <si>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</si>
  <si>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</si>
  <si>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</si>
  <si>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</si>
  <si>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</si>
  <si>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</si>
  <si>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</si>
  <si>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</si>
  <si>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</si>
  <si>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</si>
  <si>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</si>
  <si>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</si>
  <si>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</si>
  <si>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</si>
  <si>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</si>
  <si>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</si>
  <si>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</si>
  <si>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</si>
  <si>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</si>
  <si>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</si>
  <si>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</si>
  <si>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</si>
  <si>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</si>
  <si>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</si>
  <si>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</si>
  <si>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</si>
  <si>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</si>
  <si>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</si>
  <si>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</si>
  <si>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</si>
  <si>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</si>
  <si>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</si>
  <si>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</si>
  <si>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</si>
  <si>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</si>
  <si>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</si>
  <si>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</si>
  <si>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</si>
  <si>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</si>
  <si>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</si>
  <si>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</si>
  <si>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</si>
  <si>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</si>
  <si>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</si>
  <si>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</si>
  <si>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</si>
  <si>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</si>
  <si>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</si>
  <si>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</si>
  <si>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</si>
  <si>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</si>
  <si>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</si>
  <si>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</si>
  <si>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</si>
  <si>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</si>
  <si>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</si>
  <si>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</si>
  <si>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</si>
  <si>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</si>
  <si>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</si>
  <si>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</si>
  <si>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</si>
  <si>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</si>
  <si>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</si>
  <si>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</si>
  <si>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</si>
  <si>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</si>
  <si>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</si>
  <si>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</si>
  <si>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</si>
  <si>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</si>
  <si>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</si>
  <si>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</si>
  <si>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</si>
  <si>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</si>
  <si>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</si>
  <si>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</si>
  <si>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</si>
  <si>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</si>
  <si>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</si>
  <si>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</si>
  <si>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</si>
  <si>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</si>
  <si>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</si>
  <si>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</si>
  <si>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</si>
  <si>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</si>
  <si>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</si>
  <si>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</si>
  <si>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</si>
  <si>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</si>
  <si>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</si>
  <si>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</si>
  <si>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</si>
  <si>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</si>
  <si>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</si>
  <si>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</si>
  <si>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</si>
  <si>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</si>
  <si>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</si>
  <si>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</si>
  <si>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</si>
  <si>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</si>
  <si>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</si>
  <si>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</si>
  <si>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</si>
  <si>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</si>
  <si>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</si>
  <si>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</si>
  <si>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</si>
  <si>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</si>
  <si>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</si>
  <si>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</si>
  <si>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</si>
  <si>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</si>
  <si>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</si>
  <si>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</si>
  <si>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</si>
  <si>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</si>
  <si>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</si>
  <si>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</si>
  <si>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</si>
  <si>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</si>
  <si>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</si>
  <si>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</si>
  <si>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</si>
  <si>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</si>
  <si>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</si>
  <si>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</si>
  <si>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</si>
  <si>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</si>
  <si>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</si>
  <si>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</si>
  <si>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</si>
  <si>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</si>
  <si>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</si>
  <si>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</si>
  <si>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</si>
  <si>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</si>
  <si>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</si>
  <si>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</si>
  <si>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</si>
  <si>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</si>
  <si>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</si>
  <si>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</si>
  <si>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</si>
  <si>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</si>
  <si>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</si>
  <si>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</si>
  <si>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</si>
  <si>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</si>
  <si>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</si>
  <si>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</si>
  <si>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</si>
  <si>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</si>
  <si>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</si>
  <si>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</si>
  <si>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</si>
  <si>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</si>
  <si>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</si>
  <si>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</si>
  <si>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</si>
  <si>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</si>
  <si>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</si>
  <si>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</si>
  <si>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</si>
  <si>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</si>
  <si>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</si>
  <si>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</si>
  <si>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</si>
  <si>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</si>
  <si>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</si>
  <si>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</si>
  <si>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</si>
  <si>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</si>
  <si>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</si>
  <si>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</si>
  <si>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</si>
  <si>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</si>
  <si>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</si>
  <si>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</si>
  <si>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</si>
  <si>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</si>
  <si>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</si>
  <si>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</si>
  <si>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</si>
  <si>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</si>
  <si>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</si>
  <si>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</si>
  <si>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</si>
  <si>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</si>
  <si>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</si>
  <si>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</si>
  <si>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</si>
  <si>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</si>
  <si>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</si>
  <si>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</si>
  <si>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</si>
  <si>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</si>
  <si>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</si>
  <si>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</si>
  <si>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</si>
  <si>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</si>
  <si>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</si>
  <si>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</si>
  <si>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</si>
  <si>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</si>
  <si>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</si>
  <si>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</si>
  <si>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</si>
  <si>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</si>
  <si>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</si>
  <si>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</si>
  <si>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</si>
  <si>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</si>
  <si>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</si>
  <si>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</si>
  <si>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</si>
  <si>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2021-1</t>
    <phoneticPr fontId="4" type="noConversion"/>
  </si>
  <si>
    <t>2020-4</t>
    <phoneticPr fontId="4"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</si>
  <si>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</si>
  <si>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</si>
  <si>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</si>
  <si>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</si>
  <si>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</si>
  <si>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</si>
  <si>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</si>
  <si>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</si>
  <si>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</si>
  <si>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</si>
  <si>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</si>
  <si>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</si>
  <si>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</si>
  <si>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</si>
  <si>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</si>
  <si>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</si>
  <si>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</si>
  <si>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</si>
  <si>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</si>
  <si>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</si>
  <si>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</si>
  <si>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</si>
  <si>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</si>
  <si>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</si>
  <si>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</si>
  <si>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</si>
  <si>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</si>
  <si>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</si>
  <si>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</si>
  <si>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</si>
  <si>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</si>
  <si>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</si>
  <si>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</si>
  <si>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</si>
  <si>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</si>
  <si>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</si>
  <si>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</si>
  <si>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</si>
  <si>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</si>
  <si>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</si>
  <si>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</si>
  <si>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</si>
  <si>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</si>
  <si>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</si>
  <si>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</si>
  <si>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</si>
  <si>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</si>
  <si>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</si>
  <si>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</si>
  <si>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</si>
  <si>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</si>
  <si>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</si>
  <si>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</si>
  <si>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</si>
  <si>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</si>
  <si>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</si>
  <si>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</si>
  <si>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</si>
  <si>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</si>
  <si>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R2二类居住用地</t>
  </si>
  <si>
    <t>市政建设程度为项目红线范围内城市支路的四通（通路、通上水（自来水、中水）、通下水（雨水、污水）、通电力(管沟)）和场地基本平整，以上工作由绿都公司负责于二级竣工验收前完成。</t>
  </si>
  <si>
    <t>本次审核地块已取得征地批复及征地结案，拆迁工作已完成。</t>
  </si>
  <si>
    <t>平谷区</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</si>
  <si>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</si>
  <si>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</si>
  <si>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本次审核地块已取得征地批复、征地结案，拆迁工作基本完成。</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</si>
  <si>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</si>
  <si>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</si>
  <si>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</si>
  <si>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</si>
  <si>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9" type="noConversion"/>
  </si>
  <si>
    <t>工业</t>
    <phoneticPr fontId="8" type="noConversion"/>
  </si>
  <si>
    <t>成本逼近法</t>
  </si>
  <si>
    <t>项目全部</t>
  </si>
  <si>
    <t>基准地价</t>
  </si>
  <si>
    <t>与级别开发程度不一致</t>
  </si>
  <si>
    <t>通电</t>
  </si>
  <si>
    <t>通路</t>
  </si>
  <si>
    <t>一般</t>
  </si>
  <si>
    <t>较好</t>
  </si>
  <si>
    <t>较差</t>
  </si>
  <si>
    <t>平整</t>
  </si>
  <si>
    <t>正常</t>
  </si>
  <si>
    <t>四通一平</t>
  </si>
  <si>
    <t>四通一平</t>
    <phoneticPr fontId="29" type="noConversion"/>
  </si>
  <si>
    <t>通上水</t>
  </si>
  <si>
    <t>评估结果一览表</t>
  </si>
  <si>
    <t>价格（万元）</t>
  </si>
  <si>
    <t>建筑物</t>
  </si>
  <si>
    <t>附属物</t>
  </si>
  <si>
    <t>无法恢复使用的设施设备补偿价</t>
  </si>
  <si>
    <t>停产停业补助费</t>
  </si>
  <si>
    <t>因土地收购造成的停产停业损失补偿费用</t>
  </si>
  <si>
    <t>搬迁补助费</t>
  </si>
  <si>
    <t>补偿费用参照《关于国有土地上房屋征收与补偿中有关事项的通
知》[京建法（2012）19号]确定。非住宅按50元/建筑平方米搬迁、临时安置补偿费确定，需要搬迁重新安装的空调、电话移机费。</t>
  </si>
  <si>
    <t>单价（元/平方米）</t>
  </si>
  <si>
    <t>亩</t>
  </si>
  <si>
    <t>土地使用权</t>
    <phoneticPr fontId="229" type="noConversion"/>
  </si>
  <si>
    <t>地块名称</t>
  </si>
  <si>
    <t>用地性质</t>
  </si>
  <si>
    <t>建设用地面积(㎡)</t>
  </si>
  <si>
    <t>规划建筑面积(㎡)</t>
  </si>
  <si>
    <t>出让方式</t>
  </si>
  <si>
    <t>详细规划</t>
  </si>
  <si>
    <t>截止日期</t>
  </si>
  <si>
    <t>成交日期</t>
  </si>
  <si>
    <t>起始价(万元)</t>
  </si>
  <si>
    <t>成交价(万元)</t>
  </si>
  <si>
    <t>成交楼面价(元/㎡)</t>
  </si>
  <si>
    <t>北京市平谷新城北部产业用地F05-05地块M2工业用地</t>
  </si>
  <si>
    <t>工业用地</t>
  </si>
  <si>
    <t>≤1</t>
  </si>
  <si>
    <t>挂牌</t>
  </si>
  <si>
    <t>M2工业用地</t>
  </si>
  <si>
    <t>2020-02-17</t>
  </si>
  <si>
    <t>平谷区新城北部产业用地F05-04地块工业用地</t>
  </si>
  <si>
    <t>2019-11-28</t>
  </si>
  <si>
    <t>平谷区新城北部产业用地F05-02地块工业用地</t>
  </si>
  <si>
    <t>2019-01-03</t>
  </si>
  <si>
    <t>平谷区新城北部产业用地F05-03地块工业用地</t>
  </si>
  <si>
    <t>土地开发补偿费（万元）</t>
    <phoneticPr fontId="229" type="noConversion"/>
  </si>
  <si>
    <t>差额</t>
    <phoneticPr fontId="229" type="noConversion"/>
  </si>
  <si>
    <t>收益率</t>
    <phoneticPr fontId="229" type="noConversion"/>
  </si>
  <si>
    <t>(平方米)</t>
  </si>
  <si>
    <t>建设用地面积(平方米)</t>
  </si>
  <si>
    <t>成交价</t>
  </si>
  <si>
    <t>（万元）</t>
  </si>
  <si>
    <t>其中土地开发补偿费（万元）</t>
  </si>
  <si>
    <t>其中政府土地出让收益（万元）</t>
  </si>
  <si>
    <t>楼面单价</t>
  </si>
  <si>
    <t>地面单价</t>
  </si>
  <si>
    <t>土地增值率（%）</t>
  </si>
  <si>
    <t>M2工业</t>
  </si>
  <si>
    <t>北京市平谷区新城北部产业用地F05-04地块</t>
  </si>
  <si>
    <t>平谷工业土地增值收益率小计</t>
  </si>
  <si>
    <t>平谷夏各庄新城土地一级开发项目7号地块PG11-0100-6103、6107地块</t>
    <phoneticPr fontId="2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</si>
  <si>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phoneticPr fontId="229" type="noConversion"/>
  </si>
  <si>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phoneticPr fontId="229" type="noConversion"/>
  </si>
  <si>
    <t>平谷区夏各庄新城土地一级开发项目7号地PG11-0100-6110、6115、6116、6121、6126地块</t>
    <phoneticPr fontId="229" type="noConversion"/>
  </si>
  <si>
    <t>五通一平</t>
    <phoneticPr fontId="29" type="noConversion"/>
  </si>
  <si>
    <t>三通一平</t>
  </si>
  <si>
    <t>三通一平</t>
    <phoneticPr fontId="29" type="noConversion"/>
  </si>
  <si>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phoneticPr fontId="229" type="noConversion"/>
  </si>
  <si>
    <t>平谷区2土地一级开发项目PG06-0100-6008等地块</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</si>
</sst>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0"/>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
      <sz val="12"/>
      <color theme="1"/>
      <name val="楷体_GB2312"/>
      <charset val="134"/>
    </font>
    <font>
      <sz val="10"/>
      <color rgb="FF404040"/>
      <name val="Arial"/>
      <family val="2"/>
    </font>
    <font>
      <sz val="10"/>
      <color rgb="FF404040"/>
      <name val="仿宋"/>
      <family val="3"/>
      <charset val="134"/>
    </font>
    <font>
      <b/>
      <sz val="10"/>
      <color rgb="FFFFFFFF"/>
      <name val="仿宋"/>
      <family val="3"/>
      <charset val="134"/>
    </font>
    <font>
      <b/>
      <sz val="10"/>
      <color rgb="FFFFFFFF"/>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2F2F2"/>
        <bgColor indexed="64"/>
      </patternFill>
    </fill>
    <fill>
      <patternFill patternType="solid">
        <fgColor rgb="FF848587"/>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FFFFFF"/>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style="thick">
        <color rgb="FF848587"/>
      </top>
      <bottom/>
      <diagonal/>
    </border>
    <border>
      <left style="dotted">
        <color rgb="FFFFFFFF"/>
      </left>
      <right style="dotted">
        <color rgb="FFFFFFFF"/>
      </right>
      <top/>
      <bottom style="thick">
        <color rgb="FF848587"/>
      </bottom>
      <diagonal/>
    </border>
    <border>
      <left style="dotted">
        <color rgb="FFFFFFFF"/>
      </left>
      <right style="thick">
        <color rgb="FF848587"/>
      </right>
      <top style="thick">
        <color rgb="FF848587"/>
      </top>
      <bottom/>
      <diagonal/>
    </border>
    <border>
      <left style="dotted">
        <color rgb="FFFFFFFF"/>
      </left>
      <right style="thick">
        <color rgb="FF848587"/>
      </right>
      <top/>
      <bottom style="thick">
        <color rgb="FF848587"/>
      </bottom>
      <diagonal/>
    </border>
    <border>
      <left style="thick">
        <color rgb="FF848587"/>
      </left>
      <right/>
      <top style="dotted">
        <color rgb="FF848587"/>
      </top>
      <bottom style="thick">
        <color rgb="FF848587"/>
      </bottom>
      <diagonal/>
    </border>
    <border>
      <left/>
      <right/>
      <top style="dotted">
        <color rgb="FF848587"/>
      </top>
      <bottom style="thick">
        <color rgb="FF848587"/>
      </bottom>
      <diagonal/>
    </border>
    <border>
      <left/>
      <right style="dotted">
        <color rgb="FF848587"/>
      </right>
      <top style="dotted">
        <color rgb="FF848587"/>
      </top>
      <bottom style="thick">
        <color rgb="FF848587"/>
      </bottom>
      <diagonal/>
    </border>
    <border>
      <left style="dotted">
        <color rgb="FF848587"/>
      </left>
      <right style="thick">
        <color rgb="FF848587"/>
      </right>
      <top style="dotted">
        <color rgb="FF848587"/>
      </top>
      <bottom style="thick">
        <color rgb="FF848587"/>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lignment vertical="center"/>
    </xf>
    <xf numFmtId="0" fontId="288" fillId="0" borderId="0">
      <alignment vertical="center"/>
    </xf>
    <xf numFmtId="0" fontId="288" fillId="0" borderId="0">
      <alignment vertical="center"/>
    </xf>
    <xf numFmtId="0" fontId="146" fillId="0" borderId="0"/>
    <xf numFmtId="0" fontId="82" fillId="0" borderId="0">
      <alignment vertical="center"/>
    </xf>
    <xf numFmtId="0" fontId="1" fillId="0" borderId="0">
      <alignment vertical="center"/>
    </xf>
    <xf numFmtId="0" fontId="82" fillId="0" borderId="0">
      <alignment vertical="center"/>
    </xf>
  </cellStyleXfs>
  <cellXfs count="367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180" fontId="12" fillId="0" borderId="2" xfId="0" applyNumberFormat="1" applyFont="1" applyBorder="1" applyAlignment="1" applyProtection="1">
      <alignment vertical="center" wrapText="1"/>
      <protection locked="0"/>
    </xf>
    <xf numFmtId="0" fontId="285" fillId="0" borderId="2" xfId="0" applyNumberFormat="1" applyFont="1" applyFill="1" applyBorder="1" applyAlignment="1">
      <alignment horizontal="center" vertical="center" wrapText="1"/>
    </xf>
    <xf numFmtId="0" fontId="171" fillId="6" borderId="2" xfId="0" applyNumberFormat="1" applyFont="1" applyFill="1" applyBorder="1" applyAlignment="1">
      <alignment horizontal="center" vertical="center" wrapText="1"/>
    </xf>
    <xf numFmtId="0" fontId="281" fillId="0" borderId="2" xfId="2" applyNumberFormat="1" applyFont="1" applyFill="1" applyBorder="1" applyAlignment="1">
      <alignment horizontal="center" vertical="center" wrapText="1"/>
    </xf>
    <xf numFmtId="0" fontId="282" fillId="0" borderId="2" xfId="3" applyNumberFormat="1" applyFont="1" applyFill="1" applyBorder="1" applyAlignment="1">
      <alignment horizontal="center" vertical="center" wrapText="1"/>
    </xf>
    <xf numFmtId="0" fontId="283" fillId="0" borderId="2" xfId="0" applyNumberFormat="1" applyFont="1" applyFill="1" applyBorder="1" applyAlignment="1">
      <alignment horizontal="center" vertical="center" wrapText="1"/>
    </xf>
    <xf numFmtId="0" fontId="284" fillId="0" borderId="2" xfId="3" applyNumberFormat="1" applyFont="1" applyFill="1" applyBorder="1" applyAlignment="1">
      <alignment horizontal="center" vertical="center" wrapText="1"/>
    </xf>
    <xf numFmtId="0" fontId="286" fillId="0" borderId="2" xfId="0" applyNumberFormat="1" applyFont="1" applyFill="1" applyBorder="1" applyAlignment="1">
      <alignment horizontal="center" vertical="center" wrapText="1"/>
    </xf>
    <xf numFmtId="0" fontId="286" fillId="0" borderId="2" xfId="0" applyNumberFormat="1" applyFont="1" applyFill="1" applyBorder="1" applyAlignment="1">
      <alignment horizontal="left" vertical="center" wrapText="1"/>
    </xf>
    <xf numFmtId="0" fontId="128" fillId="0" borderId="2" xfId="0" applyNumberFormat="1" applyFont="1" applyFill="1" applyBorder="1" applyAlignment="1">
      <alignment horizontal="center" vertical="center" wrapText="1"/>
    </xf>
    <xf numFmtId="0" fontId="128" fillId="6" borderId="2" xfId="0" applyNumberFormat="1" applyFont="1" applyFill="1" applyBorder="1" applyAlignment="1">
      <alignment horizontal="center" vertical="center" wrapText="1"/>
    </xf>
    <xf numFmtId="0" fontId="286" fillId="0" borderId="2" xfId="0" applyNumberFormat="1" applyFont="1" applyFill="1" applyBorder="1" applyAlignment="1">
      <alignment vertical="center" wrapText="1"/>
    </xf>
    <xf numFmtId="0" fontId="145" fillId="0" borderId="2" xfId="0" applyNumberFormat="1" applyFont="1" applyFill="1" applyBorder="1" applyAlignment="1">
      <alignment horizontal="center" vertical="center" wrapText="1"/>
    </xf>
    <xf numFmtId="0" fontId="83" fillId="0" borderId="2" xfId="0" applyNumberFormat="1" applyFont="1" applyFill="1" applyBorder="1" applyAlignment="1">
      <alignment horizontal="center" vertical="center" wrapText="1"/>
    </xf>
    <xf numFmtId="0" fontId="165" fillId="0" borderId="2" xfId="0" applyNumberFormat="1" applyFont="1" applyFill="1" applyBorder="1" applyAlignment="1">
      <alignment horizontal="center" vertical="center" wrapText="1"/>
    </xf>
    <xf numFmtId="0" fontId="287" fillId="0" borderId="2" xfId="0" applyNumberFormat="1" applyFont="1" applyFill="1" applyBorder="1" applyAlignment="1">
      <alignment horizontal="center" vertical="center" wrapText="1"/>
    </xf>
    <xf numFmtId="0" fontId="229" fillId="0" borderId="2" xfId="0" applyNumberFormat="1" applyFont="1" applyFill="1" applyBorder="1" applyAlignment="1">
      <alignment horizontal="center" vertical="center" wrapText="1"/>
    </xf>
    <xf numFmtId="0" fontId="229" fillId="0" borderId="2" xfId="0" applyNumberFormat="1" applyFont="1" applyFill="1" applyBorder="1" applyAlignment="1">
      <alignment vertical="center" wrapText="1"/>
    </xf>
    <xf numFmtId="0" fontId="229" fillId="0" borderId="0" xfId="0" applyNumberFormat="1" applyFont="1" applyFill="1" applyBorder="1" applyAlignment="1">
      <alignment vertical="center" wrapText="1"/>
    </xf>
    <xf numFmtId="0" fontId="229"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7" fillId="6" borderId="2" xfId="0" applyNumberFormat="1" applyFont="1" applyFill="1" applyBorder="1" applyAlignment="1">
      <alignment horizontal="center" vertical="center" wrapText="1"/>
    </xf>
    <xf numFmtId="0" fontId="165" fillId="6" borderId="2" xfId="0" applyNumberFormat="1" applyFont="1" applyFill="1" applyBorder="1" applyAlignment="1">
      <alignment horizontal="center" vertical="center" wrapText="1"/>
    </xf>
    <xf numFmtId="0" fontId="171"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7" fillId="6" borderId="128" xfId="10" applyFont="1" applyFill="1" applyBorder="1" applyAlignment="1" applyProtection="1">
      <alignment horizontal="left" vertical="center" wrapText="1"/>
    </xf>
    <xf numFmtId="180"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protection locked="0"/>
    </xf>
    <xf numFmtId="178" fontId="159" fillId="9" borderId="2" xfId="2" applyNumberFormat="1" applyFont="1" applyFill="1" applyBorder="1" applyAlignment="1" applyProtection="1">
      <alignment horizontal="center" vertical="center"/>
      <protection locked="0"/>
    </xf>
    <xf numFmtId="195" fontId="146" fillId="0" borderId="2" xfId="1" applyNumberFormat="1" applyBorder="1" applyAlignment="1">
      <alignment horizontal="center" vertical="center" wrapText="1"/>
    </xf>
    <xf numFmtId="196" fontId="146" fillId="0" borderId="2" xfId="1" applyNumberFormat="1" applyBorder="1" applyAlignment="1">
      <alignment horizontal="center" vertical="center" wrapText="1"/>
    </xf>
    <xf numFmtId="0" fontId="146" fillId="0" borderId="2" xfId="1" applyBorder="1" applyAlignment="1">
      <alignment horizontal="center" vertical="center" wrapText="1"/>
    </xf>
    <xf numFmtId="0" fontId="146" fillId="0" borderId="2" xfId="1" applyFont="1" applyBorder="1" applyAlignment="1">
      <alignment horizontal="center" vertical="center" wrapText="1"/>
    </xf>
    <xf numFmtId="0" fontId="146" fillId="0" borderId="0" xfId="1" applyAlignment="1">
      <alignment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146" fillId="0" borderId="2" xfId="0" applyFont="1" applyBorder="1" applyAlignment="1">
      <alignment horizontal="center" vertical="center" wrapText="1"/>
    </xf>
    <xf numFmtId="182" fontId="96" fillId="0" borderId="5" xfId="2" applyNumberFormat="1" applyFont="1" applyFill="1" applyBorder="1" applyAlignment="1" applyProtection="1">
      <alignment horizontal="center" vertical="center"/>
      <protection locked="0"/>
    </xf>
    <xf numFmtId="0" fontId="291" fillId="21" borderId="165" xfId="0" applyFont="1" applyFill="1" applyBorder="1" applyAlignment="1">
      <alignment horizontal="center" vertical="center" wrapText="1" readingOrder="1"/>
    </xf>
    <xf numFmtId="0" fontId="292" fillId="21" borderId="166"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0" fontId="289" fillId="20" borderId="157" xfId="0" applyFont="1" applyFill="1" applyBorder="1" applyAlignment="1">
      <alignment horizontal="center" vertical="center" wrapText="1" readingOrder="1"/>
    </xf>
    <xf numFmtId="0" fontId="290" fillId="20" borderId="158" xfId="0" applyFont="1" applyFill="1" applyBorder="1" applyAlignment="1">
      <alignment horizontal="center" vertical="center" wrapText="1" readingOrder="1"/>
    </xf>
    <xf numFmtId="0" fontId="289" fillId="20" borderId="158" xfId="0" applyFont="1" applyFill="1" applyBorder="1" applyAlignment="1">
      <alignment horizontal="center" vertical="center" wrapText="1" readingOrder="1"/>
    </xf>
    <xf numFmtId="31" fontId="289" fillId="20" borderId="158" xfId="0" applyNumberFormat="1" applyFont="1" applyFill="1" applyBorder="1" applyAlignment="1">
      <alignment horizontal="center" vertical="center" wrapText="1" readingOrder="1"/>
    </xf>
    <xf numFmtId="9" fontId="289" fillId="20" borderId="159" xfId="0" applyNumberFormat="1" applyFont="1" applyFill="1" applyBorder="1" applyAlignment="1">
      <alignment horizontal="center" vertical="center" wrapText="1" readingOrder="1"/>
    </xf>
    <xf numFmtId="0" fontId="289" fillId="0" borderId="160" xfId="0" applyFont="1" applyBorder="1" applyAlignment="1">
      <alignment horizontal="center" vertical="center" wrapText="1" readingOrder="1"/>
    </xf>
    <xf numFmtId="0" fontId="290" fillId="0" borderId="161" xfId="0" applyFont="1" applyBorder="1" applyAlignment="1">
      <alignment horizontal="center" vertical="center" wrapText="1" readingOrder="1"/>
    </xf>
    <xf numFmtId="0" fontId="289" fillId="0" borderId="161" xfId="0" applyFont="1" applyBorder="1" applyAlignment="1">
      <alignment horizontal="center" vertical="center" wrapText="1" readingOrder="1"/>
    </xf>
    <xf numFmtId="31" fontId="289" fillId="0" borderId="161" xfId="0" applyNumberFormat="1" applyFont="1" applyBorder="1" applyAlignment="1">
      <alignment horizontal="center" vertical="center" wrapText="1" readingOrder="1"/>
    </xf>
    <xf numFmtId="9" fontId="289" fillId="0" borderId="162" xfId="0" applyNumberFormat="1" applyFont="1" applyBorder="1" applyAlignment="1">
      <alignment horizontal="center" vertical="center" wrapText="1" readingOrder="1"/>
    </xf>
    <xf numFmtId="0" fontId="289" fillId="20" borderId="160" xfId="0" applyFont="1" applyFill="1" applyBorder="1" applyAlignment="1">
      <alignment horizontal="center" vertical="center" wrapText="1" readingOrder="1"/>
    </xf>
    <xf numFmtId="0" fontId="290" fillId="20" borderId="161" xfId="0" applyFont="1" applyFill="1" applyBorder="1" applyAlignment="1">
      <alignment horizontal="center" vertical="center" wrapText="1" readingOrder="1"/>
    </xf>
    <xf numFmtId="0" fontId="289" fillId="20" borderId="161" xfId="0" applyFont="1" applyFill="1" applyBorder="1" applyAlignment="1">
      <alignment horizontal="center" vertical="center" wrapText="1" readingOrder="1"/>
    </xf>
    <xf numFmtId="31" fontId="289" fillId="20" borderId="161" xfId="0" applyNumberFormat="1" applyFont="1" applyFill="1" applyBorder="1" applyAlignment="1">
      <alignment horizontal="center" vertical="center" wrapText="1" readingOrder="1"/>
    </xf>
    <xf numFmtId="9" fontId="289" fillId="20" borderId="162" xfId="0" applyNumberFormat="1" applyFont="1" applyFill="1" applyBorder="1" applyAlignment="1">
      <alignment horizontal="center" vertical="center" wrapText="1" readingOrder="1"/>
    </xf>
    <xf numFmtId="10" fontId="280" fillId="20" borderId="172" xfId="0" applyNumberFormat="1" applyFont="1" applyFill="1" applyBorder="1" applyAlignment="1">
      <alignment horizontal="center" vertical="center" wrapText="1" readingOrder="1"/>
    </xf>
    <xf numFmtId="0" fontId="28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center" vertical="center" wrapText="1"/>
    </xf>
    <xf numFmtId="0" fontId="145" fillId="6" borderId="2" xfId="0" applyNumberFormat="1" applyFont="1" applyFill="1" applyBorder="1" applyAlignment="1">
      <alignment horizontal="left" vertical="center" wrapText="1"/>
    </xf>
    <xf numFmtId="0" fontId="83" fillId="6" borderId="2" xfId="0" applyNumberFormat="1" applyFont="1" applyFill="1" applyBorder="1" applyAlignment="1">
      <alignment horizontal="center" vertical="center" wrapText="1"/>
    </xf>
    <xf numFmtId="0" fontId="0" fillId="6" borderId="0" xfId="0" applyNumberFormat="1" applyFill="1" applyBorder="1" applyAlignment="1">
      <alignment wrapText="1"/>
    </xf>
    <xf numFmtId="0" fontId="0" fillId="6" borderId="0" xfId="0" applyNumberFormat="1" applyFill="1" applyAlignment="1">
      <alignment wrapText="1"/>
    </xf>
    <xf numFmtId="0" fontId="0" fillId="6" borderId="2" xfId="0" applyNumberFormat="1" applyFill="1" applyBorder="1" applyAlignment="1">
      <alignment wrapText="1"/>
    </xf>
    <xf numFmtId="180" fontId="87" fillId="0" borderId="2" xfId="2" applyNumberFormat="1" applyFont="1" applyFill="1" applyBorder="1" applyAlignment="1" applyProtection="1">
      <alignment horizontal="center" vertical="center"/>
      <protection locked="0"/>
    </xf>
    <xf numFmtId="178" fontId="77" fillId="5" borderId="0" xfId="0" applyNumberFormat="1" applyFont="1" applyFill="1" applyProtection="1">
      <alignment vertical="center"/>
      <protection locked="0"/>
    </xf>
    <xf numFmtId="178" fontId="258" fillId="0" borderId="10" xfId="14" applyNumberFormat="1" applyFont="1" applyFill="1" applyBorder="1" applyAlignment="1" applyProtection="1">
      <alignment horizontal="left" vertical="center" wrapText="1"/>
      <protection locked="0"/>
    </xf>
    <xf numFmtId="178" fontId="258" fillId="5" borderId="2" xfId="14" applyNumberFormat="1" applyFont="1" applyFill="1" applyBorder="1" applyAlignment="1" applyProtection="1">
      <alignment horizontal="left"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1" fillId="0" borderId="2" xfId="2" applyNumberFormat="1" applyFont="1" applyFill="1" applyBorder="1" applyAlignment="1">
      <alignment horizontal="center" vertical="center" wrapText="1"/>
    </xf>
    <xf numFmtId="0" fontId="147" fillId="22" borderId="2" xfId="1" applyFont="1" applyFill="1" applyBorder="1" applyAlignment="1">
      <alignment horizontal="center" vertical="center" wrapText="1"/>
    </xf>
    <xf numFmtId="0" fontId="146" fillId="0" borderId="2" xfId="1" applyFont="1" applyBorder="1" applyAlignment="1">
      <alignment horizontal="center" vertical="center" wrapText="1"/>
    </xf>
    <xf numFmtId="0" fontId="291" fillId="21" borderId="167" xfId="0" applyFont="1" applyFill="1" applyBorder="1" applyAlignment="1">
      <alignment horizontal="center" vertical="center" wrapText="1" readingOrder="1"/>
    </xf>
    <xf numFmtId="0" fontId="291" fillId="21" borderId="168" xfId="0" applyFont="1" applyFill="1" applyBorder="1" applyAlignment="1">
      <alignment horizontal="center" vertical="center" wrapText="1" readingOrder="1"/>
    </xf>
    <xf numFmtId="0" fontId="290" fillId="20" borderId="169" xfId="0" applyFont="1" applyFill="1" applyBorder="1" applyAlignment="1">
      <alignment horizontal="center" vertical="center" wrapText="1" readingOrder="1"/>
    </xf>
    <xf numFmtId="0" fontId="290" fillId="20" borderId="170" xfId="0" applyFont="1" applyFill="1" applyBorder="1" applyAlignment="1">
      <alignment horizontal="center" vertical="center" wrapText="1" readingOrder="1"/>
    </xf>
    <xf numFmtId="0" fontId="290" fillId="20" borderId="171" xfId="0" applyFont="1" applyFill="1" applyBorder="1" applyAlignment="1">
      <alignment horizontal="center" vertical="center" wrapText="1" readingOrder="1"/>
    </xf>
    <xf numFmtId="0" fontId="291" fillId="21" borderId="163" xfId="0" applyFont="1" applyFill="1" applyBorder="1" applyAlignment="1">
      <alignment horizontal="center" vertical="center" wrapText="1" readingOrder="1"/>
    </xf>
    <xf numFmtId="0" fontId="291" fillId="21" borderId="164" xfId="0" applyFont="1" applyFill="1" applyBorder="1" applyAlignment="1">
      <alignment horizontal="center" vertical="center" wrapText="1" readingOrder="1"/>
    </xf>
    <xf numFmtId="0" fontId="291" fillId="21" borderId="165" xfId="0" applyFont="1" applyFill="1" applyBorder="1" applyAlignment="1">
      <alignment horizontal="center" vertical="center" wrapText="1" readingOrder="1"/>
    </xf>
    <xf numFmtId="0" fontId="291" fillId="21" borderId="166" xfId="0" applyFont="1" applyFill="1" applyBorder="1" applyAlignment="1">
      <alignment horizontal="center" vertical="center" wrapText="1" readingOrder="1"/>
    </xf>
    <xf numFmtId="186" fontId="146" fillId="0" borderId="2" xfId="1" applyNumberFormat="1" applyBorder="1" applyAlignment="1">
      <alignment horizontal="center" vertical="center" wrapText="1"/>
    </xf>
  </cellXfs>
  <cellStyles count="23">
    <cellStyle name="百分比 2" xfId="11"/>
    <cellStyle name="常规" xfId="0" builtinId="0"/>
    <cellStyle name="常规 10" xfId="21"/>
    <cellStyle name="常规 16" xfId="1"/>
    <cellStyle name="常规 2" xfId="2"/>
    <cellStyle name="常规 2 2" xfId="3"/>
    <cellStyle name="常规 2 2 2" xfId="22"/>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6 2 2 2" xfId="17"/>
    <cellStyle name="常规 6 2 3" xfId="16"/>
    <cellStyle name="常规 7" xfId="9"/>
    <cellStyle name="常规 8" xfId="15"/>
    <cellStyle name="常规 8 2" xfId="18"/>
    <cellStyle name="常规 9" xfId="14"/>
    <cellStyle name="常规 9 2" xfId="19"/>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15</xdr:col>
      <xdr:colOff>158</xdr:colOff>
      <xdr:row>54</xdr:row>
      <xdr:rowOff>161415</xdr:rowOff>
    </xdr:to>
    <xdr:pic>
      <xdr:nvPicPr>
        <xdr:cNvPr id="3" name="图片 2">
          <a:extLst>
            <a:ext uri="{FF2B5EF4-FFF2-40B4-BE49-F238E27FC236}">
              <a16:creationId xmlns=""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7</xdr:col>
      <xdr:colOff>371475</xdr:colOff>
      <xdr:row>14</xdr:row>
      <xdr:rowOff>0</xdr:rowOff>
    </xdr:from>
    <xdr:to>
      <xdr:col>13</xdr:col>
      <xdr:colOff>517070</xdr:colOff>
      <xdr:row>30</xdr:row>
      <xdr:rowOff>152400</xdr:rowOff>
    </xdr:to>
    <xdr:pic>
      <xdr:nvPicPr>
        <xdr:cNvPr id="4" name="图片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5229225" y="15411450"/>
          <a:ext cx="5165270" cy="2781300"/>
        </a:xfrm>
        <a:prstGeom prst="rect">
          <a:avLst/>
        </a:prstGeom>
      </xdr:spPr>
    </xdr:pic>
    <xdr:clientData/>
  </xdr:twoCellAnchor>
  <xdr:twoCellAnchor editAs="oneCell">
    <xdr:from>
      <xdr:col>0</xdr:col>
      <xdr:colOff>0</xdr:colOff>
      <xdr:row>42</xdr:row>
      <xdr:rowOff>0</xdr:rowOff>
    </xdr:from>
    <xdr:to>
      <xdr:col>9</xdr:col>
      <xdr:colOff>694460</xdr:colOff>
      <xdr:row>69</xdr:row>
      <xdr:rowOff>47041</xdr:rowOff>
    </xdr:to>
    <xdr:pic>
      <xdr:nvPicPr>
        <xdr:cNvPr id="5" name="图片 4">
          <a:extLst>
            <a:ext uri="{FF2B5EF4-FFF2-40B4-BE49-F238E27FC236}">
              <a16:creationId xmlns=""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0" y="20097750"/>
          <a:ext cx="6923810" cy="4676191"/>
        </a:xfrm>
        <a:prstGeom prst="rect">
          <a:avLst/>
        </a:prstGeom>
      </xdr:spPr>
    </xdr:pic>
    <xdr:clientData/>
  </xdr:twoCellAnchor>
  <xdr:twoCellAnchor editAs="oneCell">
    <xdr:from>
      <xdr:col>1</xdr:col>
      <xdr:colOff>0</xdr:colOff>
      <xdr:row>73</xdr:row>
      <xdr:rowOff>0</xdr:rowOff>
    </xdr:from>
    <xdr:to>
      <xdr:col>7</xdr:col>
      <xdr:colOff>142338</xdr:colOff>
      <xdr:row>96</xdr:row>
      <xdr:rowOff>56650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 y="25412700"/>
          <a:ext cx="4295238"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15</xdr:col>
      <xdr:colOff>370039</xdr:colOff>
      <xdr:row>17</xdr:row>
      <xdr:rowOff>142622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2667000" y="1885950"/>
          <a:ext cx="11495239" cy="2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沥青厂"/>
      <sheetName val="系统读取表"/>
      <sheetName val="分值"/>
      <sheetName val="附属物"/>
      <sheetName val="无证房屋汇总表"/>
      <sheetName val="Sheet1"/>
    </sheetNames>
    <sheetDataSet>
      <sheetData sheetId="0"/>
      <sheetData sheetId="1"/>
      <sheetData sheetId="2"/>
      <sheetData sheetId="3"/>
      <sheetData sheetId="4"/>
      <sheetData sheetId="5"/>
      <sheetData sheetId="6">
        <row r="5">
          <cell r="D5">
            <v>1059.6999999999998</v>
          </cell>
          <cell r="F5">
            <v>1478076.1788000001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2021年1月5日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估价期日：2021年1月5日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1486</v>
      </c>
    </row>
    <row r="47" spans="1:2">
      <c r="A47" s="2594" t="s">
        <v>2705</v>
      </c>
      <c r="B47" s="2595">
        <f ca="1">'预评函-2'!Q5</f>
        <v>1486</v>
      </c>
    </row>
    <row r="48" spans="1:2">
      <c r="A48" s="2594" t="s">
        <v>2706</v>
      </c>
      <c r="B48" s="2595">
        <f ca="1">'预评函-2'!R5</f>
        <v>6666</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G6" sqref="G6"/>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98" t="str">
        <f>IF(B10="北京市","北京市",C10)&amp;F10&amp;B16&amp;"国有建设用地使用权"&amp;B9&amp;"预评估"</f>
        <v>北京市出让国有建设用地使用权市场价格预评估</v>
      </c>
      <c r="C1" s="3399"/>
      <c r="D1" s="3399"/>
      <c r="E1" s="3399"/>
      <c r="F1" s="3399"/>
      <c r="G1" s="3399"/>
      <c r="H1" s="3399"/>
      <c r="I1" s="3400"/>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40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40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01"/>
      <c r="C12" s="3402"/>
      <c r="D12" s="3403"/>
      <c r="E12" s="1620" t="s">
        <v>2050</v>
      </c>
      <c r="F12" s="3419" t="s">
        <v>2869</v>
      </c>
      <c r="G12" s="3420"/>
      <c r="H12" s="3420"/>
      <c r="I12" s="3421"/>
      <c r="J12" s="3073"/>
      <c r="K12" s="3056"/>
      <c r="L12" s="3052"/>
      <c r="M12" s="3052"/>
      <c r="N12" s="3053"/>
      <c r="O12" s="3054"/>
      <c r="P12" s="3053"/>
      <c r="Q12" s="3053"/>
      <c r="R12" s="3053"/>
      <c r="S12" s="3053"/>
      <c r="T12" s="3053"/>
      <c r="U12" s="3053"/>
    </row>
    <row r="13" spans="1:21">
      <c r="A13" s="1611" t="s">
        <v>2048</v>
      </c>
      <c r="B13" s="3401"/>
      <c r="C13" s="3402"/>
      <c r="D13" s="3403"/>
      <c r="E13" s="1620" t="s">
        <v>2050</v>
      </c>
      <c r="F13" s="3419" t="s">
        <v>2870</v>
      </c>
      <c r="G13" s="3420"/>
      <c r="H13" s="3420"/>
      <c r="I13" s="3421"/>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416"/>
      <c r="E20" s="3417"/>
      <c r="F20" s="3417"/>
      <c r="G20" s="3417"/>
      <c r="H20" s="3417"/>
      <c r="I20" s="3418"/>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406" t="s">
        <v>1987</v>
      </c>
      <c r="F21" s="3407"/>
      <c r="G21" s="3407"/>
      <c r="H21" s="3407"/>
      <c r="I21" s="3408"/>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406" t="s">
        <v>2871</v>
      </c>
      <c r="F22" s="3407"/>
      <c r="G22" s="3407"/>
      <c r="H22" s="3407"/>
      <c r="I22" s="340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09" t="s">
        <v>1955</v>
      </c>
      <c r="C24" s="3410"/>
      <c r="D24" s="3411" t="s">
        <v>1956</v>
      </c>
      <c r="E24" s="3412"/>
      <c r="F24" s="1628" t="s">
        <v>1957</v>
      </c>
      <c r="G24" s="3073"/>
      <c r="H24" s="3073"/>
      <c r="I24" s="3077"/>
      <c r="J24" s="3073"/>
      <c r="K24" s="339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9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9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83" t="s">
        <v>1990</v>
      </c>
      <c r="B31" s="1680" t="s">
        <v>1991</v>
      </c>
      <c r="C31" s="3422"/>
      <c r="D31" s="3423"/>
      <c r="E31" s="3073"/>
      <c r="F31" s="3073"/>
      <c r="G31" s="3073"/>
      <c r="H31" s="3073"/>
      <c r="I31" s="3077"/>
      <c r="J31" s="3073"/>
      <c r="K31" s="3059"/>
      <c r="L31" s="3053"/>
      <c r="M31" s="3053"/>
      <c r="N31" s="3053"/>
      <c r="O31" s="3053"/>
      <c r="P31" s="3053"/>
      <c r="Q31" s="3053"/>
      <c r="R31" s="3053"/>
      <c r="S31" s="3053"/>
      <c r="T31" s="3053"/>
      <c r="U31" s="3053"/>
    </row>
    <row r="32" spans="1:21">
      <c r="A32" s="3383"/>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3"/>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4"/>
      <c r="B34" s="1588" t="s">
        <v>1994</v>
      </c>
      <c r="C34" s="3385"/>
      <c r="D34" s="3386"/>
      <c r="E34" s="3073"/>
      <c r="F34" s="3073"/>
      <c r="G34" s="3073"/>
      <c r="H34" s="3073"/>
      <c r="I34" s="3077"/>
      <c r="J34" s="3073"/>
      <c r="K34" s="3059"/>
      <c r="L34" s="3053"/>
      <c r="M34" s="3053"/>
      <c r="N34" s="3053"/>
      <c r="O34" s="3053"/>
      <c r="P34" s="3053"/>
      <c r="Q34" s="3053"/>
      <c r="R34" s="3053"/>
      <c r="S34" s="3053"/>
      <c r="T34" s="3053"/>
      <c r="U34" s="3053"/>
    </row>
    <row r="35" spans="1:28">
      <c r="A35" s="3387" t="s">
        <v>839</v>
      </c>
      <c r="B35" s="1642"/>
      <c r="C35" s="1689" t="str">
        <f>IF(B35="场地平整","——","具体情况：")</f>
        <v>具体情况：</v>
      </c>
      <c r="D35" s="3389"/>
      <c r="E35" s="3390"/>
      <c r="F35" s="3390"/>
      <c r="G35" s="3390"/>
      <c r="H35" s="3390"/>
      <c r="I35" s="3391"/>
      <c r="J35" s="3073"/>
      <c r="K35" s="3060"/>
      <c r="L35" s="3052"/>
      <c r="M35" s="3052"/>
      <c r="N35" s="3053"/>
      <c r="O35" s="3054"/>
      <c r="P35" s="3053"/>
      <c r="Q35" s="3053"/>
      <c r="R35" s="3053"/>
      <c r="S35" s="3053"/>
      <c r="T35" s="3053"/>
      <c r="U35" s="3053"/>
    </row>
    <row r="36" spans="1:28">
      <c r="A36" s="3383"/>
      <c r="B36" s="3392" t="s">
        <v>2043</v>
      </c>
      <c r="C36" s="3393"/>
      <c r="D36" s="1705"/>
      <c r="E36" s="3394"/>
      <c r="F36" s="3394"/>
      <c r="G36" s="1611" t="str">
        <f>IF(B35="场地未平整","估价结果处理","")</f>
        <v/>
      </c>
      <c r="H36" s="3395"/>
      <c r="I36" s="3395"/>
      <c r="J36" s="3073"/>
      <c r="K36" s="3060"/>
      <c r="L36" s="3052"/>
      <c r="M36" s="3052"/>
      <c r="N36" s="3053"/>
      <c r="O36" s="3054"/>
      <c r="P36" s="3053"/>
      <c r="Q36" s="3053"/>
      <c r="R36" s="3053"/>
      <c r="S36" s="3053"/>
      <c r="T36" s="3053"/>
      <c r="U36" s="3053"/>
    </row>
    <row r="37" spans="1:28" ht="28.5">
      <c r="A37" s="3383"/>
      <c r="B37" s="341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83"/>
      <c r="B38" s="3414"/>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84"/>
      <c r="B39" s="341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96" t="s">
        <v>1974</v>
      </c>
      <c r="T40" s="1651" t="str">
        <f>NUMBERSTRING(7-K40,1)&amp;"通"</f>
        <v>七通</v>
      </c>
      <c r="U40" s="3053"/>
    </row>
    <row r="41" spans="1:28">
      <c r="A41" s="1590"/>
      <c r="B41" s="3388" t="s">
        <v>1712</v>
      </c>
      <c r="C41" s="3388"/>
      <c r="D41" s="3388"/>
      <c r="E41" s="3388"/>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28" sqref="A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4" t="s">
        <v>0</v>
      </c>
      <c r="B1" s="3424" t="s">
        <v>4</v>
      </c>
      <c r="C1" s="3424" t="s">
        <v>5</v>
      </c>
      <c r="D1" s="3425" t="s">
        <v>40</v>
      </c>
      <c r="E1" s="3425" t="s">
        <v>41</v>
      </c>
      <c r="F1" s="3425"/>
      <c r="G1" s="3425"/>
      <c r="H1" s="3425"/>
      <c r="I1" s="3425"/>
      <c r="J1" s="3425"/>
      <c r="K1" s="3425"/>
      <c r="L1" s="3425"/>
      <c r="M1" s="3425"/>
    </row>
    <row r="2" spans="1:13" ht="27" customHeight="1">
      <c r="A2" s="3424"/>
      <c r="B2" s="3424"/>
      <c r="C2" s="3424"/>
      <c r="D2" s="3425"/>
      <c r="E2" s="3425" t="s">
        <v>24</v>
      </c>
      <c r="F2" s="3425" t="s">
        <v>25</v>
      </c>
      <c r="G2" s="3425"/>
      <c r="H2" s="3425"/>
      <c r="I2" s="3425"/>
      <c r="J2" s="3425" t="s">
        <v>26</v>
      </c>
      <c r="K2" s="3425"/>
      <c r="L2" s="3425"/>
      <c r="M2" s="3425"/>
    </row>
    <row r="3" spans="1:13" ht="28.5">
      <c r="A3" s="3424"/>
      <c r="B3" s="3424"/>
      <c r="C3" s="3424"/>
      <c r="D3" s="3425"/>
      <c r="E3" s="34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5" t="s">
        <v>42</v>
      </c>
      <c r="B9" s="3425"/>
      <c r="C9" s="34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5" t="s">
        <v>203</v>
      </c>
      <c r="B2" s="3435"/>
      <c r="C2" s="3435"/>
      <c r="D2" s="1888" t="s">
        <v>204</v>
      </c>
      <c r="E2" s="106" t="s">
        <v>205</v>
      </c>
      <c r="F2" s="3082"/>
      <c r="G2" s="1181"/>
      <c r="H2" s="1182"/>
      <c r="I2" s="1183" t="s">
        <v>849</v>
      </c>
      <c r="J2" s="3082"/>
      <c r="K2" s="3082"/>
      <c r="L2" s="3082"/>
      <c r="M2" s="3082"/>
      <c r="N2" s="3082"/>
      <c r="O2" s="3082"/>
      <c r="P2" s="3082"/>
    </row>
    <row r="3" spans="1:16" ht="15.75" thickBot="1">
      <c r="A3" s="3436" t="s">
        <v>206</v>
      </c>
      <c r="B3" s="3436"/>
      <c r="C3" s="3436"/>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437"/>
      <c r="B4" s="3438"/>
      <c r="C4" s="3439"/>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40" t="s">
        <v>230</v>
      </c>
      <c r="C5" s="3440"/>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40" t="s">
        <v>208</v>
      </c>
      <c r="C6" s="3440"/>
      <c r="D6" s="111">
        <f>ROUND($D$3*E6/$E$3,2)</f>
        <v>44852.26</v>
      </c>
      <c r="E6" s="112">
        <f>E3-E5</f>
        <v>44852.26</v>
      </c>
      <c r="F6" s="3082"/>
      <c r="G6" s="1184"/>
      <c r="H6" s="273" t="s">
        <v>852</v>
      </c>
      <c r="I6" s="1889">
        <f>ROUND(F31/D31,2)</f>
        <v>1</v>
      </c>
      <c r="J6" s="3082"/>
      <c r="K6" s="3082"/>
      <c r="L6" s="3082"/>
      <c r="M6" s="3082"/>
      <c r="N6" s="3082"/>
      <c r="O6" s="3082"/>
      <c r="P6" s="3082"/>
    </row>
    <row r="7" spans="1:16" ht="15">
      <c r="A7" s="3432"/>
      <c r="B7" s="3433"/>
      <c r="C7" s="3434"/>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426" t="s">
        <v>2548</v>
      </c>
      <c r="L16" s="3427"/>
      <c r="M16" s="3427"/>
      <c r="N16" s="3427"/>
      <c r="O16" s="3427"/>
      <c r="P16" s="3428"/>
    </row>
    <row r="17" spans="1:19" ht="15">
      <c r="A17" s="121" t="s">
        <v>216</v>
      </c>
      <c r="B17" s="122" t="s">
        <v>217</v>
      </c>
      <c r="C17" s="2177" t="s">
        <v>2301</v>
      </c>
      <c r="D17" s="108" t="s">
        <v>204</v>
      </c>
      <c r="E17" s="124" t="s">
        <v>205</v>
      </c>
      <c r="F17" s="125"/>
      <c r="G17" s="1319"/>
      <c r="H17" s="958" t="s">
        <v>218</v>
      </c>
      <c r="I17" s="959" t="s">
        <v>2300</v>
      </c>
      <c r="J17" s="1897"/>
      <c r="K17" s="3429" t="s">
        <v>2549</v>
      </c>
      <c r="L17" s="3430"/>
      <c r="M17" s="3431"/>
      <c r="N17" s="3429" t="s">
        <v>2550</v>
      </c>
      <c r="O17" s="3430"/>
      <c r="P17" s="3431"/>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3072</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3073</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538</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41" t="s">
        <v>1654</v>
      </c>
      <c r="B1" s="3442"/>
      <c r="C1" s="3442"/>
      <c r="D1" s="3442"/>
      <c r="E1" s="3442"/>
      <c r="F1" s="3442"/>
      <c r="G1" s="3442"/>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9" sqref="B9"/>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351">
        <f>SUM(D14:D23)</f>
        <v>6647</v>
      </c>
      <c r="C5" s="3185">
        <f>ROUND(B5*10000/$B$1,0)</f>
        <v>1482</v>
      </c>
      <c r="D5" s="3185">
        <f>ROUND(B5*10000/$B$2,0)</f>
        <v>1482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350">
        <v>6647</v>
      </c>
      <c r="E14" s="3191">
        <f>ROUND(D14*10000/B14,0)</f>
        <v>1482</v>
      </c>
      <c r="F14" s="3191">
        <f>ROUND(D14*10000/C14,0)</f>
        <v>1482</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3074</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87" t="str">
        <f>项目基本情况!K2</f>
        <v>北京市出让国有建设用地使用权</v>
      </c>
      <c r="B2" s="3488"/>
      <c r="C2" s="3489"/>
      <c r="D2" s="3489"/>
      <c r="E2" s="3489"/>
      <c r="F2" s="3489"/>
      <c r="G2" s="3488"/>
      <c r="H2" s="3488"/>
      <c r="I2" s="3490"/>
      <c r="J2" s="1912"/>
      <c r="K2" s="1911"/>
      <c r="L2" s="1911"/>
      <c r="M2" s="1911"/>
      <c r="N2" s="1911"/>
      <c r="O2" s="1911"/>
      <c r="P2" s="1911"/>
      <c r="Q2" s="1911"/>
      <c r="R2" s="1911"/>
      <c r="S2" s="1911"/>
      <c r="T2" s="1911"/>
      <c r="U2" s="1911"/>
      <c r="V2" s="1911"/>
    </row>
    <row r="3" spans="1:22" ht="14.25">
      <c r="A3" s="3480" t="s">
        <v>298</v>
      </c>
      <c r="B3" s="3481"/>
      <c r="C3" s="3481"/>
      <c r="D3" s="3481"/>
      <c r="E3" s="3481"/>
      <c r="F3" s="3481"/>
      <c r="G3" s="3481"/>
      <c r="H3" s="3481"/>
      <c r="I3" s="3481"/>
      <c r="J3" s="1912"/>
      <c r="K3" s="1911"/>
      <c r="L3" s="1911"/>
      <c r="M3" s="1911"/>
      <c r="N3" s="1911"/>
      <c r="O3" s="1911"/>
      <c r="P3" s="1911"/>
      <c r="Q3" s="1911"/>
      <c r="R3" s="1911"/>
      <c r="S3" s="1911"/>
      <c r="T3" s="1911"/>
      <c r="U3" s="1911"/>
      <c r="V3" s="1911"/>
    </row>
    <row r="4" spans="1:22" ht="14.25">
      <c r="A4" s="256" t="s">
        <v>299</v>
      </c>
      <c r="B4" s="257" t="s">
        <v>300</v>
      </c>
      <c r="C4" s="258" t="s">
        <v>3073</v>
      </c>
      <c r="D4" s="258" t="s">
        <v>3075</v>
      </c>
      <c r="E4" s="3446" t="s">
        <v>301</v>
      </c>
      <c r="F4" s="3447"/>
      <c r="G4" s="3447"/>
      <c r="H4" s="3447"/>
      <c r="I4" s="3482"/>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5" t="s">
        <v>302</v>
      </c>
      <c r="B5" s="3474">
        <v>25</v>
      </c>
      <c r="C5" s="3472">
        <v>7</v>
      </c>
      <c r="D5" s="3476">
        <f>10-C5</f>
        <v>3</v>
      </c>
      <c r="E5" s="259" t="s">
        <v>303</v>
      </c>
      <c r="F5" s="260"/>
      <c r="G5" s="260"/>
      <c r="H5" s="260"/>
      <c r="I5" s="261"/>
      <c r="J5" s="1912"/>
      <c r="K5" s="1911"/>
      <c r="L5" s="1911"/>
      <c r="M5" s="1911"/>
      <c r="N5" s="1911"/>
      <c r="O5" s="1911"/>
      <c r="P5" s="1911"/>
      <c r="Q5" s="1911"/>
      <c r="R5" s="1911"/>
      <c r="S5" s="1911"/>
      <c r="T5" s="1911"/>
      <c r="U5" s="1911"/>
      <c r="V5" s="1911"/>
    </row>
    <row r="6" spans="1:22" ht="14.25">
      <c r="A6" s="3445"/>
      <c r="B6" s="3474"/>
      <c r="C6" s="3475"/>
      <c r="D6" s="3476"/>
      <c r="E6" s="259" t="s">
        <v>304</v>
      </c>
      <c r="F6" s="260"/>
      <c r="G6" s="260"/>
      <c r="H6" s="260"/>
      <c r="I6" s="261"/>
      <c r="J6" s="1912"/>
      <c r="K6" s="1911"/>
      <c r="L6" s="1911"/>
      <c r="M6" s="1911"/>
      <c r="N6" s="1911"/>
      <c r="O6" s="1911"/>
      <c r="P6" s="1911"/>
      <c r="Q6" s="1911"/>
      <c r="R6" s="1911"/>
      <c r="S6" s="1911"/>
      <c r="T6" s="1911"/>
      <c r="U6" s="1911"/>
      <c r="V6" s="1911"/>
    </row>
    <row r="7" spans="1:22" ht="14.25">
      <c r="A7" s="3445"/>
      <c r="B7" s="3474"/>
      <c r="C7" s="3473"/>
      <c r="D7" s="3476"/>
      <c r="E7" s="259" t="s">
        <v>305</v>
      </c>
      <c r="F7" s="260"/>
      <c r="G7" s="260"/>
      <c r="H7" s="260"/>
      <c r="I7" s="261"/>
      <c r="J7" s="1912"/>
      <c r="K7" s="1911"/>
      <c r="L7" s="1911"/>
      <c r="M7" s="1911"/>
      <c r="N7" s="1911"/>
      <c r="O7" s="1911"/>
      <c r="P7" s="1911"/>
      <c r="Q7" s="1911"/>
      <c r="R7" s="1911"/>
      <c r="S7" s="1911"/>
      <c r="T7" s="1911"/>
      <c r="U7" s="1911"/>
      <c r="V7" s="1911"/>
    </row>
    <row r="8" spans="1:22" ht="14.25">
      <c r="A8" s="3445" t="s">
        <v>306</v>
      </c>
      <c r="B8" s="3474">
        <v>15</v>
      </c>
      <c r="C8" s="3472"/>
      <c r="D8" s="3476"/>
      <c r="E8" s="259" t="s">
        <v>307</v>
      </c>
      <c r="F8" s="260"/>
      <c r="G8" s="260"/>
      <c r="H8" s="260"/>
      <c r="I8" s="261"/>
      <c r="J8" s="1912"/>
      <c r="K8" s="1911"/>
      <c r="L8" s="1911"/>
      <c r="M8" s="1911"/>
      <c r="N8" s="1911"/>
      <c r="O8" s="1911"/>
      <c r="P8" s="1911"/>
      <c r="Q8" s="1911"/>
      <c r="R8" s="1911"/>
      <c r="S8" s="1911"/>
      <c r="T8" s="1911"/>
      <c r="U8" s="1911"/>
      <c r="V8" s="1911"/>
    </row>
    <row r="9" spans="1:22" ht="14.25">
      <c r="A9" s="3445"/>
      <c r="B9" s="3474"/>
      <c r="C9" s="3473"/>
      <c r="D9" s="3476"/>
      <c r="E9" s="259" t="s">
        <v>308</v>
      </c>
      <c r="F9" s="260"/>
      <c r="G9" s="260"/>
      <c r="H9" s="260"/>
      <c r="I9" s="261"/>
      <c r="J9" s="1912"/>
      <c r="K9" s="1911"/>
      <c r="L9" s="1911"/>
      <c r="M9" s="1911"/>
      <c r="N9" s="1911"/>
      <c r="O9" s="1911"/>
      <c r="P9" s="1911"/>
      <c r="Q9" s="1911"/>
      <c r="R9" s="1911"/>
      <c r="S9" s="1911"/>
      <c r="T9" s="1911"/>
      <c r="U9" s="1911"/>
      <c r="V9" s="1911"/>
    </row>
    <row r="10" spans="1:22" ht="14.25">
      <c r="A10" s="3445" t="s">
        <v>309</v>
      </c>
      <c r="B10" s="3474">
        <v>15</v>
      </c>
      <c r="C10" s="3472"/>
      <c r="D10" s="347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5"/>
      <c r="B11" s="3474"/>
      <c r="C11" s="3473"/>
      <c r="D11" s="347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5" t="s">
        <v>312</v>
      </c>
      <c r="B12" s="3474">
        <v>15</v>
      </c>
      <c r="C12" s="3472"/>
      <c r="D12" s="347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5"/>
      <c r="B13" s="3474"/>
      <c r="C13" s="3473"/>
      <c r="D13" s="347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5" t="s">
        <v>315</v>
      </c>
      <c r="B14" s="3474">
        <v>30</v>
      </c>
      <c r="C14" s="3472"/>
      <c r="D14" s="3476"/>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5"/>
      <c r="B15" s="3474"/>
      <c r="C15" s="3475"/>
      <c r="D15" s="347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5"/>
      <c r="B16" s="3474"/>
      <c r="C16" s="3473"/>
      <c r="D16" s="347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77" t="s">
        <v>2962</v>
      </c>
      <c r="F18" s="3478"/>
      <c r="G18" s="3478"/>
      <c r="H18" s="3478"/>
      <c r="I18" s="347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8444</v>
      </c>
      <c r="D19" s="269">
        <f ca="1">SUMIF(INDIRECT("'"&amp;D4&amp;"'"&amp;"!A:A"),结果表!B19,INDIRECT("'"&amp;D4&amp;"'"&amp;"!B:B"))</f>
        <v>2516</v>
      </c>
      <c r="E19" s="266" t="s">
        <v>323</v>
      </c>
      <c r="F19" s="267" t="s">
        <v>322</v>
      </c>
      <c r="G19" s="270">
        <f ca="1">ROUND(C19*$C$18+D19*$D$18,0)</f>
        <v>6666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1883</v>
      </c>
      <c r="D20" s="275">
        <f ca="1">SUMIF(INDIRECT("'"&amp;D4&amp;"'"&amp;"!A:A"),结果表!B20,INDIRECT("'"&amp;D4&amp;"'"&amp;"!B:B"))</f>
        <v>561</v>
      </c>
      <c r="E20" s="272"/>
      <c r="F20" s="273" t="s">
        <v>325</v>
      </c>
      <c r="G20" s="276">
        <f ca="1">ROUND(C20*$C$18+D20*$D$18,0)</f>
        <v>1486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1883</v>
      </c>
      <c r="D21" s="149">
        <f ca="1">SUMIF(INDIRECT("'"&amp;D4&amp;"'"&amp;"!A:A"),结果表!B21,INDIRECT("'"&amp;D4&amp;"'"&amp;"!B:B"))</f>
        <v>561</v>
      </c>
      <c r="E21" s="272"/>
      <c r="F21" s="278" t="s">
        <v>327</v>
      </c>
      <c r="G21" s="280">
        <f ca="1">ROUND(C21*$C$18+D21*$D$18,0)</f>
        <v>1486</v>
      </c>
      <c r="H21" s="1205" t="s">
        <v>326</v>
      </c>
      <c r="I21" s="309"/>
      <c r="J21" s="1911"/>
      <c r="K21" s="3349">
        <f ca="1">G21*项目基本情况!C21/10000</f>
        <v>6665.0458360000002</v>
      </c>
      <c r="L21" s="1911"/>
      <c r="M21" s="1911"/>
      <c r="N21" s="1911"/>
      <c r="O21" s="1911"/>
      <c r="P21" s="1911"/>
      <c r="Q21" s="1911"/>
      <c r="R21" s="1911"/>
      <c r="S21" s="1911"/>
      <c r="T21" s="1911"/>
      <c r="U21" s="1911"/>
      <c r="V21" s="1911"/>
    </row>
    <row r="22" spans="1:26" ht="15.75" thickBot="1">
      <c r="A22" s="126" t="s">
        <v>328</v>
      </c>
      <c r="B22" s="1206"/>
      <c r="C22" s="1207"/>
      <c r="D22" s="281">
        <f ca="1">IF(C19&lt;D19,D19/C19-1,C19/D19-1)</f>
        <v>2.3561208267090619</v>
      </c>
      <c r="E22" s="282"/>
      <c r="F22" s="283"/>
      <c r="G22" s="284">
        <f ca="1">ROUND(G19/('数据-汇总表'!D3/666.67),0)</f>
        <v>99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1"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5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出让国有建设用地使用权价格：6666万元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大写金额：人民币陆仟陆佰陆拾陆万元整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单位面积地价：1486元/平方米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楼面地价：1486元/平方米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79" t="s">
        <v>2964</v>
      </c>
      <c r="B31" s="3479"/>
      <c r="C31" s="3479"/>
      <c r="D31" s="3479"/>
      <c r="E31" s="3479"/>
      <c r="F31" s="3479"/>
      <c r="G31" s="3479"/>
      <c r="H31" s="3479"/>
      <c r="I31" s="3479"/>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6666</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1486</v>
      </c>
      <c r="D33" s="1334" t="s">
        <v>1682</v>
      </c>
      <c r="E33" s="3451"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1486</v>
      </c>
      <c r="D34" s="1336" t="s">
        <v>1682</v>
      </c>
      <c r="E34" s="3495"/>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99</v>
      </c>
      <c r="D35" s="1339" t="s">
        <v>1684</v>
      </c>
      <c r="E35" s="3496"/>
      <c r="F35" s="299" t="s">
        <v>342</v>
      </c>
      <c r="G35" s="970"/>
      <c r="H35" s="969" t="s">
        <v>343</v>
      </c>
      <c r="I35" s="309"/>
      <c r="J35" s="1911"/>
      <c r="K35" s="3469" t="s">
        <v>350</v>
      </c>
      <c r="L35" s="3469" t="s">
        <v>351</v>
      </c>
      <c r="M35" s="1218" t="s">
        <v>352</v>
      </c>
      <c r="N35" s="3469" t="s">
        <v>353</v>
      </c>
      <c r="O35" s="3469" t="s">
        <v>354</v>
      </c>
      <c r="P35" s="1911"/>
      <c r="V35" s="1911"/>
    </row>
    <row r="36" spans="1:26" ht="16.5" customHeight="1">
      <c r="A36" s="301" t="s">
        <v>344</v>
      </c>
      <c r="B36" s="302" t="s">
        <v>333</v>
      </c>
      <c r="C36" s="303" t="s">
        <v>345</v>
      </c>
      <c r="D36" s="303" t="s">
        <v>346</v>
      </c>
      <c r="E36" s="304" t="s">
        <v>347</v>
      </c>
      <c r="F36" s="309"/>
      <c r="G36" s="309"/>
      <c r="H36" s="309"/>
      <c r="I36" s="309"/>
      <c r="J36" s="1913"/>
      <c r="K36" s="3470"/>
      <c r="L36" s="3470"/>
      <c r="M36" s="1220" t="s">
        <v>355</v>
      </c>
      <c r="N36" s="3470"/>
      <c r="O36" s="3470"/>
      <c r="P36" s="1911"/>
      <c r="V36" s="1911"/>
    </row>
    <row r="37" spans="1:26" ht="16.5" customHeight="1" thickBot="1">
      <c r="A37" s="1214" t="s">
        <v>348</v>
      </c>
      <c r="B37" s="305"/>
      <c r="C37" s="292"/>
      <c r="D37" s="292"/>
      <c r="E37" s="293"/>
      <c r="F37" s="309"/>
      <c r="G37" s="309"/>
      <c r="H37" s="309"/>
      <c r="I37" s="309"/>
      <c r="J37" s="1913"/>
      <c r="K37" s="3471"/>
      <c r="L37" s="3471"/>
      <c r="M37" s="1221"/>
      <c r="N37" s="3471"/>
      <c r="O37" s="3471"/>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1486</v>
      </c>
      <c r="N38" s="1223">
        <f ca="1">C33</f>
        <v>1486</v>
      </c>
      <c r="O38" s="1224">
        <f ca="1">C32</f>
        <v>6666</v>
      </c>
      <c r="P38" s="1911"/>
      <c r="V38" s="1911"/>
    </row>
    <row r="39" spans="1:26" ht="16.5" customHeight="1" thickBot="1">
      <c r="A39" s="1219"/>
      <c r="B39" s="306"/>
      <c r="C39" s="307"/>
      <c r="D39" s="307"/>
      <c r="E39" s="308"/>
      <c r="F39" s="309"/>
      <c r="G39" s="309"/>
      <c r="H39" s="309"/>
      <c r="I39" s="309"/>
      <c r="J39" s="1913"/>
      <c r="K39" s="3509" t="str">
        <f>MID(A44,3,LEN(A44)-2)</f>
        <v/>
      </c>
      <c r="L39" s="3510"/>
      <c r="M39" s="3510"/>
      <c r="N39" s="3511"/>
      <c r="O39" s="1341" t="str">
        <f>C44</f>
        <v>——</v>
      </c>
      <c r="P39" s="1911"/>
      <c r="V39" s="1911"/>
    </row>
    <row r="40" spans="1:26" ht="19.5" thickBot="1">
      <c r="A40" s="104" t="s">
        <v>864</v>
      </c>
      <c r="B40" s="309"/>
      <c r="C40" s="309"/>
      <c r="D40" s="309"/>
      <c r="E40" s="309"/>
      <c r="F40" s="309"/>
      <c r="G40" s="309"/>
      <c r="H40" s="309"/>
      <c r="I40" s="309"/>
      <c r="J40" s="1913"/>
      <c r="K40" s="3509" t="str">
        <f t="shared" ref="K40:K41" si="0">MID(A45,3,LEN(A45)-2)</f>
        <v/>
      </c>
      <c r="L40" s="3510"/>
      <c r="M40" s="3510"/>
      <c r="N40" s="3511"/>
      <c r="O40" s="1341" t="str">
        <f>C45</f>
        <v>——</v>
      </c>
      <c r="P40" s="1911"/>
      <c r="V40" s="1911"/>
    </row>
    <row r="41" spans="1:26" ht="16.5" thickBot="1">
      <c r="A41" s="310" t="s">
        <v>356</v>
      </c>
      <c r="B41" s="311"/>
      <c r="C41" s="312" t="s">
        <v>357</v>
      </c>
      <c r="D41" s="313" t="s">
        <v>358</v>
      </c>
      <c r="E41" s="313" t="s">
        <v>359</v>
      </c>
      <c r="F41" s="314" t="s">
        <v>360</v>
      </c>
      <c r="G41" s="309"/>
      <c r="H41" s="309"/>
      <c r="I41" s="309"/>
      <c r="J41" s="1913"/>
      <c r="K41" s="3509" t="str">
        <f t="shared" si="0"/>
        <v/>
      </c>
      <c r="L41" s="3510"/>
      <c r="M41" s="3510"/>
      <c r="N41" s="3511"/>
      <c r="O41" s="1341" t="str">
        <f>C46</f>
        <v>——</v>
      </c>
      <c r="P41" s="1911"/>
      <c r="V41" s="1911"/>
    </row>
    <row r="42" spans="1:26" ht="29.25">
      <c r="A42" s="3453" t="s">
        <v>2056</v>
      </c>
      <c r="B42" s="3454"/>
      <c r="C42" s="262">
        <f ca="1">C32</f>
        <v>6666</v>
      </c>
      <c r="D42" s="315">
        <f ca="1">C33</f>
        <v>1486</v>
      </c>
      <c r="E42" s="315">
        <f ca="1">C34</f>
        <v>1486</v>
      </c>
      <c r="F42" s="316">
        <f ca="1">C35</f>
        <v>99</v>
      </c>
      <c r="G42" s="309"/>
      <c r="H42" s="309"/>
      <c r="I42" s="317"/>
      <c r="J42" s="1913"/>
      <c r="K42" s="1225" t="s">
        <v>361</v>
      </c>
      <c r="L42" s="1930" t="s">
        <v>362</v>
      </c>
      <c r="M42" s="1226" t="s">
        <v>363</v>
      </c>
      <c r="N42" s="1931" t="s">
        <v>364</v>
      </c>
      <c r="O42" s="1932" t="s">
        <v>365</v>
      </c>
      <c r="P42" s="1911"/>
      <c r="V42" s="1911"/>
    </row>
    <row r="43" spans="1:26" ht="18">
      <c r="A43" s="3464" t="s">
        <v>2711</v>
      </c>
      <c r="B43" s="3465"/>
      <c r="C43" s="262">
        <f>IF(H33="正常操作",G33+G34+G35,G34+G35)</f>
        <v>0</v>
      </c>
      <c r="D43" s="315" t="s">
        <v>43</v>
      </c>
      <c r="E43" s="315" t="s">
        <v>44</v>
      </c>
      <c r="F43" s="316" t="s">
        <v>44</v>
      </c>
      <c r="G43" s="2583" t="s">
        <v>943</v>
      </c>
      <c r="H43" s="309"/>
      <c r="I43" s="317"/>
      <c r="J43" s="1913"/>
      <c r="K43" s="1227" t="str">
        <f>C4</f>
        <v>成本逼近法</v>
      </c>
      <c r="L43" s="1228">
        <f ca="1">IF(L42="估价结果/万元",C19,C20)</f>
        <v>8444</v>
      </c>
      <c r="M43" s="1229">
        <f>C18</f>
        <v>0.7</v>
      </c>
      <c r="N43" s="1230">
        <f ca="1">IF(N42="测算结果/万元",G19,G20)</f>
        <v>6666</v>
      </c>
      <c r="O43" s="1231">
        <f ca="1">IF(O42="最终结果/万元",C32,C33)</f>
        <v>6666</v>
      </c>
      <c r="P43" s="1911"/>
      <c r="V43" s="1911"/>
    </row>
    <row r="44" spans="1:26" ht="18.75" thickBot="1">
      <c r="A44" s="3453" t="str">
        <f>IF(OR(项目基本情况!E8="抵押价格",项目基本情况!E8="已注销及未注销"),"3.抵押价格","——")</f>
        <v>——</v>
      </c>
      <c r="B44" s="345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2516</v>
      </c>
      <c r="M44" s="1234">
        <f>D18</f>
        <v>0.30000000000000004</v>
      </c>
      <c r="N44" s="1235"/>
      <c r="O44" s="1236"/>
      <c r="P44" s="1911"/>
      <c r="V44" s="1911"/>
    </row>
    <row r="45" spans="1:26" ht="15">
      <c r="A45" s="3459" t="str">
        <f>IF(项目基本情况!E8="已注销及未注销","4.抵押担保权已注销时的抵押价格",IF(项目基本情况!E8="已注销","3.抵押担保权已注销时的抵押价格","——"))</f>
        <v>——</v>
      </c>
      <c r="B45" s="346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5" t="str">
        <f>IF(项目基本情况!E9="抵押净值",IF(A45="——","4.抵押净值","5.抵押净值"),"——")</f>
        <v>——</v>
      </c>
      <c r="B46" s="345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03" t="s">
        <v>374</v>
      </c>
      <c r="B63" s="3504"/>
      <c r="C63" s="3505"/>
      <c r="D63" s="339">
        <f ca="1">ROUND(C42*F63,0)</f>
        <v>6666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61" t="s">
        <v>378</v>
      </c>
      <c r="B64" s="3462"/>
      <c r="C64" s="3462"/>
      <c r="D64" s="3462"/>
      <c r="E64" s="3462"/>
      <c r="F64" s="3462"/>
      <c r="G64" s="3463"/>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57" t="s">
        <v>386</v>
      </c>
      <c r="B66" s="3458"/>
      <c r="C66" s="345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18" t="s">
        <v>385</v>
      </c>
      <c r="M66" s="3519"/>
      <c r="N66" s="2312"/>
      <c r="O66" s="2313"/>
      <c r="P66" s="2314"/>
      <c r="Q66" s="1911"/>
      <c r="R66" s="1911"/>
      <c r="S66" s="1911"/>
      <c r="T66" s="1911"/>
      <c r="U66" s="1911"/>
      <c r="V66" s="1911"/>
    </row>
    <row r="67" spans="1:22" ht="25.5" customHeight="1">
      <c r="A67" s="350" t="s">
        <v>389</v>
      </c>
      <c r="B67" s="3448" t="s">
        <v>390</v>
      </c>
      <c r="C67" s="3448"/>
      <c r="D67" s="351">
        <v>0</v>
      </c>
      <c r="E67" s="41" t="s">
        <v>391</v>
      </c>
      <c r="F67" s="62" t="s">
        <v>21</v>
      </c>
      <c r="G67" s="3506"/>
      <c r="H67" s="3006" t="s">
        <v>2965</v>
      </c>
      <c r="I67" s="3008"/>
      <c r="J67" s="1918"/>
      <c r="K67" s="1890">
        <v>2</v>
      </c>
      <c r="L67" s="3512" t="s">
        <v>388</v>
      </c>
      <c r="M67" s="3512"/>
      <c r="N67" s="1279">
        <f>'数据-取费表'!B2</f>
        <v>44201</v>
      </c>
      <c r="O67" s="1279"/>
      <c r="P67" s="1279"/>
      <c r="Q67" s="1911"/>
      <c r="R67" s="1911"/>
      <c r="S67" s="1911"/>
      <c r="T67" s="1911"/>
      <c r="U67" s="1911"/>
      <c r="V67" s="1911"/>
    </row>
    <row r="68" spans="1:22" ht="25.5" customHeight="1">
      <c r="A68" s="352"/>
      <c r="B68" s="3448" t="s">
        <v>393</v>
      </c>
      <c r="C68" s="3448"/>
      <c r="D68" s="353"/>
      <c r="E68" s="77"/>
      <c r="F68" s="354"/>
      <c r="G68" s="3507"/>
      <c r="H68" s="3007" t="s">
        <v>2966</v>
      </c>
      <c r="I68" s="3008"/>
      <c r="J68" s="1918"/>
      <c r="K68" s="1890">
        <v>3</v>
      </c>
      <c r="L68" s="3512" t="s">
        <v>392</v>
      </c>
      <c r="M68" s="3512"/>
      <c r="N68" s="1247">
        <f ca="1">C42</f>
        <v>6666</v>
      </c>
      <c r="O68" s="1247"/>
      <c r="P68" s="1247"/>
      <c r="Q68" s="1911"/>
      <c r="R68" s="1911"/>
      <c r="S68" s="1911"/>
      <c r="T68" s="1911"/>
      <c r="U68" s="1911"/>
      <c r="V68" s="1911"/>
    </row>
    <row r="69" spans="1:22" ht="23.45" customHeight="1">
      <c r="A69" s="355"/>
      <c r="B69" s="3448" t="s">
        <v>394</v>
      </c>
      <c r="C69" s="3448"/>
      <c r="D69" s="356"/>
      <c r="E69" s="73"/>
      <c r="F69" s="354"/>
      <c r="G69" s="3508"/>
      <c r="H69" s="3007" t="s">
        <v>2967</v>
      </c>
      <c r="I69" s="3008"/>
      <c r="J69" s="1918"/>
      <c r="K69" s="1248">
        <v>4</v>
      </c>
      <c r="L69" s="3522" t="s">
        <v>2863</v>
      </c>
      <c r="M69" s="3523"/>
      <c r="N69" s="1249" t="str">
        <f>C44</f>
        <v>——</v>
      </c>
      <c r="O69" s="1249"/>
      <c r="P69" s="1249"/>
      <c r="Q69" s="1911"/>
      <c r="R69" s="1911"/>
      <c r="S69" s="1911"/>
      <c r="T69" s="1911"/>
      <c r="U69" s="1911"/>
      <c r="V69" s="1911"/>
    </row>
    <row r="70" spans="1:22" ht="24" customHeight="1">
      <c r="A70" s="357" t="s">
        <v>395</v>
      </c>
      <c r="B70" s="3448" t="s">
        <v>396</v>
      </c>
      <c r="C70" s="3448"/>
      <c r="D70" s="356">
        <f ca="1">ROUND(D63*'数据-取费表'!B41/(1+'数据-取费表'!C42),0)</f>
        <v>349</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49" t="s">
        <v>2996</v>
      </c>
      <c r="C71" s="3450"/>
      <c r="D71" s="356">
        <f ca="1">ROUND(D63*'数据-取费表'!B41/(1+'数据-取费表'!C42),0)</f>
        <v>349</v>
      </c>
      <c r="E71" s="17" t="s">
        <v>397</v>
      </c>
      <c r="F71" s="358">
        <f>'数据-取费表'!B41</f>
        <v>5.5000000000000007E-2</v>
      </c>
      <c r="G71" s="359"/>
      <c r="H71" s="309"/>
      <c r="I71" s="1246"/>
      <c r="J71" s="1918"/>
      <c r="K71" s="2764" t="s">
        <v>398</v>
      </c>
      <c r="L71" s="3524" t="s">
        <v>399</v>
      </c>
      <c r="M71" s="3524"/>
      <c r="N71" s="2764" t="s">
        <v>400</v>
      </c>
      <c r="O71" s="2764" t="s">
        <v>401</v>
      </c>
      <c r="P71" s="2764" t="s">
        <v>402</v>
      </c>
      <c r="Q71" s="1911"/>
      <c r="R71" s="1911"/>
      <c r="S71" s="1911"/>
      <c r="T71" s="1911"/>
      <c r="U71" s="1911"/>
      <c r="V71" s="1911"/>
    </row>
    <row r="72" spans="1:22" ht="12" customHeight="1">
      <c r="A72" s="357" t="s">
        <v>405</v>
      </c>
      <c r="B72" s="3449" t="s">
        <v>2997</v>
      </c>
      <c r="C72" s="3450"/>
      <c r="D72" s="356">
        <f ca="1">C86</f>
        <v>349</v>
      </c>
      <c r="E72" s="73" t="s">
        <v>406</v>
      </c>
      <c r="F72" s="358">
        <f>'数据-取费表'!B41</f>
        <v>5.5000000000000007E-2</v>
      </c>
      <c r="G72" s="359"/>
      <c r="H72" s="1252"/>
      <c r="I72" s="1246"/>
      <c r="J72" s="1918"/>
      <c r="K72" s="1890">
        <v>1</v>
      </c>
      <c r="L72" s="3499" t="s">
        <v>404</v>
      </c>
      <c r="M72" s="3499"/>
      <c r="N72" s="1250" t="b">
        <f>D66</f>
        <v>0</v>
      </c>
      <c r="O72" s="1773" t="str">
        <f>E66</f>
        <v>销售额×税（费）率</v>
      </c>
      <c r="P72" s="1251">
        <f>F66</f>
        <v>5.5000000000000007E-2</v>
      </c>
      <c r="Q72" s="1911"/>
      <c r="R72" s="1911"/>
      <c r="S72" s="1911"/>
      <c r="T72" s="1911"/>
      <c r="U72" s="1911"/>
      <c r="V72" s="1911"/>
    </row>
    <row r="73" spans="1:22" ht="24" customHeight="1">
      <c r="A73" s="3494" t="s">
        <v>408</v>
      </c>
      <c r="B73" s="3458"/>
      <c r="C73" s="3458"/>
      <c r="D73" s="360">
        <f ca="1">IF(H73="个人住宅",0,ROUND(D63*I73,0))</f>
        <v>3</v>
      </c>
      <c r="E73" s="17" t="s">
        <v>409</v>
      </c>
      <c r="F73" s="358" t="str">
        <f>IF(H73="正常",I73,"免征")</f>
        <v>免征</v>
      </c>
      <c r="G73" s="359"/>
      <c r="H73" s="189"/>
      <c r="I73" s="358">
        <f>'数据-取费表'!B49</f>
        <v>5.0000000000000001E-4</v>
      </c>
      <c r="J73" s="1918"/>
      <c r="K73" s="1890">
        <v>2</v>
      </c>
      <c r="L73" s="3499" t="s">
        <v>407</v>
      </c>
      <c r="M73" s="3499"/>
      <c r="N73" s="1250">
        <f t="shared" ref="N73:P74" ca="1" si="1">D73</f>
        <v>3</v>
      </c>
      <c r="O73" s="1773" t="str">
        <f t="shared" si="1"/>
        <v>销售额×税（费）率</v>
      </c>
      <c r="P73" s="1251" t="str">
        <f t="shared" si="1"/>
        <v>免征</v>
      </c>
      <c r="Q73" s="1911"/>
      <c r="R73" s="1911"/>
      <c r="S73" s="1911"/>
      <c r="T73" s="1911"/>
      <c r="U73" s="1911"/>
      <c r="V73" s="1911"/>
    </row>
    <row r="74" spans="1:22" ht="24.75">
      <c r="A74" s="3494" t="s">
        <v>411</v>
      </c>
      <c r="B74" s="3458"/>
      <c r="C74" s="3458"/>
      <c r="D74" s="360">
        <f ca="1">IF(H74="个人住宅",D75,D76)</f>
        <v>3779</v>
      </c>
      <c r="E74" s="17" t="s">
        <v>412</v>
      </c>
      <c r="F74" s="358" t="str">
        <f>IF(H74="正常",F76,"免征")</f>
        <v>免征</v>
      </c>
      <c r="G74" s="971" t="s">
        <v>413</v>
      </c>
      <c r="H74" s="361"/>
      <c r="I74" s="42"/>
      <c r="J74" s="1918"/>
      <c r="K74" s="1890">
        <v>3</v>
      </c>
      <c r="L74" s="3499" t="s">
        <v>410</v>
      </c>
      <c r="M74" s="3499"/>
      <c r="N74" s="1250">
        <f t="shared" ca="1" si="1"/>
        <v>3779</v>
      </c>
      <c r="O74" s="1773" t="str">
        <f t="shared" si="1"/>
        <v>增值额×税（费）率</v>
      </c>
      <c r="P74" s="1253" t="str">
        <f t="shared" si="1"/>
        <v>免征</v>
      </c>
      <c r="Q74" s="1911"/>
      <c r="R74" s="1911"/>
      <c r="S74" s="1911"/>
      <c r="T74" s="1911"/>
      <c r="U74" s="1911"/>
      <c r="V74" s="1911"/>
    </row>
    <row r="75" spans="1:22" ht="12.75">
      <c r="A75" s="357" t="s">
        <v>414</v>
      </c>
      <c r="B75" s="3446" t="s">
        <v>415</v>
      </c>
      <c r="C75" s="3482"/>
      <c r="D75" s="362">
        <v>0</v>
      </c>
      <c r="E75" s="41" t="s">
        <v>416</v>
      </c>
      <c r="F75" s="363"/>
      <c r="G75" s="359"/>
      <c r="H75" s="42"/>
      <c r="I75" s="42"/>
      <c r="J75" s="1918"/>
      <c r="K75" s="2758">
        <f>IF(H77="非个人房产","",4)</f>
        <v>4</v>
      </c>
      <c r="L75" s="3499" t="str">
        <f>IF(H77="非个人房产","——","个人所得税")</f>
        <v>个人所得税</v>
      </c>
      <c r="M75" s="3499"/>
      <c r="N75" s="1254">
        <f>D77</f>
        <v>0</v>
      </c>
      <c r="O75" s="1786" t="str">
        <f>E77</f>
        <v>差额计税</v>
      </c>
      <c r="P75" s="1255">
        <f>F77</f>
        <v>0.01</v>
      </c>
      <c r="Q75" s="1911"/>
      <c r="R75" s="1911"/>
      <c r="S75" s="1911"/>
      <c r="T75" s="1911"/>
      <c r="U75" s="1911"/>
      <c r="V75" s="1911"/>
    </row>
    <row r="76" spans="1:22" ht="24.75">
      <c r="A76" s="357" t="s">
        <v>395</v>
      </c>
      <c r="B76" s="3446" t="s">
        <v>418</v>
      </c>
      <c r="C76" s="3447"/>
      <c r="D76" s="360">
        <f ca="1">IF(H76="转让取得",C99,C115)</f>
        <v>3779</v>
      </c>
      <c r="E76" s="17" t="s">
        <v>419</v>
      </c>
      <c r="F76" s="53" t="s">
        <v>21</v>
      </c>
      <c r="G76" s="359"/>
      <c r="H76" s="361"/>
      <c r="I76" s="42"/>
      <c r="J76" s="1918"/>
      <c r="K76" s="2758" t="str">
        <f>IF(项目基本情况!K6="上海银行",IF(K75="",4,K75+1),"")</f>
        <v/>
      </c>
      <c r="L76" s="3514" t="str">
        <f>IF(项目基本情况!K6="上海银行","其他处置费用","")</f>
        <v/>
      </c>
      <c r="M76" s="3515"/>
      <c r="N76" s="1250" t="str">
        <f>IF(项目基本情况!K6="上海银行",N89,"")</f>
        <v/>
      </c>
      <c r="O76" s="3516" t="str">
        <f>IF(项目基本情况!K6="上海银行","包含处置中涉及的律师、诉讼、拍卖、评估等费用","")</f>
        <v/>
      </c>
      <c r="P76" s="3517"/>
      <c r="Q76" s="1911"/>
      <c r="R76" s="1911"/>
      <c r="S76" s="1911"/>
      <c r="T76" s="1911"/>
      <c r="U76" s="1911"/>
      <c r="V76" s="1911"/>
    </row>
    <row r="77" spans="1:22" ht="24.75" thickBot="1">
      <c r="A77" s="3501" t="s">
        <v>421</v>
      </c>
      <c r="B77" s="3502"/>
      <c r="C77" s="3502"/>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00">
        <f>IF(AND(K75="",K76=""),4,IF(项目基本情况!K6="上海银行",K76+1,K75+1))</f>
        <v>5</v>
      </c>
      <c r="L77" s="3499" t="s">
        <v>2864</v>
      </c>
      <c r="M77" s="2763" t="s">
        <v>417</v>
      </c>
      <c r="N77" s="1256"/>
      <c r="O77" s="1257">
        <f ca="1">SUMIF(N72:N76,"&lt;9e307")</f>
        <v>3782</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00"/>
      <c r="L78" s="3499"/>
      <c r="M78" s="2763" t="s">
        <v>420</v>
      </c>
      <c r="N78" s="1256"/>
      <c r="O78" s="1257" t="str">
        <f ca="1">NUMBERSTRING(INT(O77*10000),2)&amp;"元整"</f>
        <v>叁仟柒佰捌拾贰万元整</v>
      </c>
      <c r="P78" s="1258"/>
      <c r="Q78" s="1911"/>
      <c r="R78" s="1911"/>
      <c r="S78" s="1911"/>
      <c r="T78" s="1911"/>
      <c r="U78" s="1911"/>
      <c r="V78" s="1911"/>
    </row>
    <row r="79" spans="1:22" ht="13.5" thickBot="1">
      <c r="A79" s="3466" t="s">
        <v>422</v>
      </c>
      <c r="B79" s="3466"/>
      <c r="C79" s="3466"/>
      <c r="D79" s="3466"/>
      <c r="E79" s="3466"/>
      <c r="F79" s="42"/>
      <c r="G79" s="42"/>
      <c r="H79" s="991"/>
      <c r="I79" s="309"/>
      <c r="J79" s="1918"/>
      <c r="K79" s="3520">
        <f>K77+1</f>
        <v>6</v>
      </c>
      <c r="L79" s="3499" t="s">
        <v>2865</v>
      </c>
      <c r="M79" s="2763" t="s">
        <v>417</v>
      </c>
      <c r="N79" s="1256"/>
      <c r="O79" s="1257" t="e">
        <f ca="1">N69-O77</f>
        <v>#VALUE!</v>
      </c>
      <c r="P79" s="1258"/>
      <c r="Q79" s="1911"/>
      <c r="R79" s="1911"/>
      <c r="S79" s="1911"/>
      <c r="T79" s="1911"/>
      <c r="U79" s="1911"/>
      <c r="V79" s="1911"/>
    </row>
    <row r="80" spans="1:22" ht="12.75">
      <c r="A80" s="3467" t="s">
        <v>423</v>
      </c>
      <c r="B80" s="3468"/>
      <c r="C80" s="982"/>
      <c r="D80" s="982" t="s">
        <v>424</v>
      </c>
      <c r="E80" s="364" t="s">
        <v>425</v>
      </c>
      <c r="F80" s="42"/>
      <c r="G80" s="42"/>
      <c r="H80" s="991"/>
      <c r="I80" s="309"/>
      <c r="J80" s="1911"/>
      <c r="K80" s="3521"/>
      <c r="L80" s="3499"/>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6349</v>
      </c>
      <c r="D81" s="367"/>
      <c r="E81" s="368"/>
      <c r="F81" s="42"/>
      <c r="G81" s="42"/>
      <c r="H81" s="991"/>
      <c r="I81" s="309"/>
      <c r="J81" s="1911"/>
      <c r="K81" s="2758">
        <f>K79+1</f>
        <v>7</v>
      </c>
      <c r="L81" s="3497" t="s">
        <v>2866</v>
      </c>
      <c r="M81" s="3498"/>
      <c r="N81" s="1260"/>
      <c r="O81" s="1261" t="e">
        <f ca="1">ROUND(O79*10000/'数据-汇总表'!E3,0)</f>
        <v>#VALUE!</v>
      </c>
      <c r="P81" s="1262"/>
      <c r="Q81" s="1911"/>
      <c r="R81" s="1911"/>
      <c r="S81" s="1911"/>
      <c r="T81" s="1911"/>
      <c r="U81" s="1911"/>
      <c r="V81" s="1911"/>
    </row>
    <row r="82" spans="1:26" ht="13.5" thickTop="1">
      <c r="A82" s="369" t="s">
        <v>1815</v>
      </c>
      <c r="B82" s="370" t="s">
        <v>427</v>
      </c>
      <c r="C82" s="371">
        <f ca="1">D63</f>
        <v>6666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13"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13"/>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6349</v>
      </c>
      <c r="D85" s="372" t="s">
        <v>19</v>
      </c>
      <c r="E85" s="373"/>
      <c r="F85" s="42"/>
      <c r="G85" s="42"/>
      <c r="H85" s="991"/>
      <c r="I85" s="309"/>
      <c r="J85" s="1911"/>
      <c r="K85" s="3513"/>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349</v>
      </c>
      <c r="D86" s="383">
        <f>'数据-取费表'!B41</f>
        <v>5.5000000000000007E-2</v>
      </c>
      <c r="E86" s="384"/>
      <c r="F86" s="42"/>
      <c r="G86" s="42"/>
      <c r="H86" s="991"/>
      <c r="I86" s="309"/>
      <c r="J86" s="1911"/>
      <c r="K86" s="3513"/>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13"/>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92" t="s">
        <v>432</v>
      </c>
      <c r="B88" s="3493"/>
      <c r="C88" s="3493"/>
      <c r="D88" s="3493"/>
      <c r="E88" s="3493"/>
      <c r="F88" s="3493"/>
      <c r="G88" s="3493"/>
      <c r="H88" s="3493"/>
      <c r="I88" s="1269"/>
      <c r="J88" s="1919"/>
      <c r="K88" s="3513"/>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67" t="s">
        <v>423</v>
      </c>
      <c r="B89" s="3468"/>
      <c r="C89" s="982"/>
      <c r="D89" s="982" t="s">
        <v>424</v>
      </c>
      <c r="E89" s="385" t="s">
        <v>433</v>
      </c>
      <c r="F89" s="386"/>
      <c r="G89" s="386"/>
      <c r="H89" s="387"/>
      <c r="I89" s="1270"/>
      <c r="J89" s="1921"/>
      <c r="K89" s="3513"/>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6349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49" t="s">
        <v>441</v>
      </c>
      <c r="F94" s="3448"/>
      <c r="G94" s="3448"/>
      <c r="H94" s="3491"/>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83" t="s">
        <v>2413</v>
      </c>
      <c r="F96" s="3484"/>
      <c r="G96" s="3484"/>
      <c r="H96" s="348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6317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197.40625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3779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92" t="s">
        <v>448</v>
      </c>
      <c r="B101" s="3493"/>
      <c r="C101" s="3493"/>
      <c r="D101" s="3493"/>
      <c r="E101" s="3493"/>
      <c r="F101" s="3493"/>
      <c r="G101" s="3493"/>
      <c r="H101" s="3493"/>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67" t="s">
        <v>423</v>
      </c>
      <c r="B102" s="3468"/>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6349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3" t="s">
        <v>2960</v>
      </c>
      <c r="H108" s="3444"/>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86" t="s">
        <v>456</v>
      </c>
      <c r="F109" s="3484"/>
      <c r="G109" s="348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86" t="s">
        <v>458</v>
      </c>
      <c r="F110" s="3484"/>
      <c r="G110" s="3484"/>
      <c r="H110" s="348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83" t="s">
        <v>2413</v>
      </c>
      <c r="F111" s="3484"/>
      <c r="G111" s="3484"/>
      <c r="H111" s="348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86" t="s">
        <v>2436</v>
      </c>
      <c r="F112" s="3484"/>
      <c r="G112" s="3484"/>
      <c r="H112" s="348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6317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197.40625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3779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-366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-366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52" t="str">
        <f>项目基本情况!B1</f>
        <v>北京市出让国有建设用地使用权市场价格预评估</v>
      </c>
      <c r="C37" s="3352"/>
      <c r="D37" s="3352"/>
      <c r="E37" s="3352"/>
      <c r="F37" s="3352"/>
      <c r="G37" s="3352"/>
      <c r="H37" s="3352"/>
      <c r="I37" s="335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4" t="s">
        <v>516</v>
      </c>
      <c r="D6" s="3535"/>
      <c r="E6" s="3534" t="s">
        <v>517</v>
      </c>
      <c r="F6" s="3535"/>
      <c r="G6" s="3534" t="s">
        <v>518</v>
      </c>
      <c r="H6" s="3535"/>
      <c r="I6" s="3534" t="s">
        <v>519</v>
      </c>
      <c r="J6" s="3535"/>
      <c r="K6" s="508" t="s">
        <v>520</v>
      </c>
      <c r="L6" s="2015"/>
      <c r="M6" s="2014"/>
      <c r="N6" s="2014"/>
      <c r="O6" s="2016"/>
      <c r="P6" s="3536" t="s">
        <v>521</v>
      </c>
      <c r="Q6" s="3537"/>
      <c r="R6" s="3542" t="s">
        <v>517</v>
      </c>
      <c r="S6" s="3543"/>
      <c r="T6" s="3542" t="s">
        <v>518</v>
      </c>
      <c r="U6" s="3543"/>
      <c r="V6" s="3529" t="s">
        <v>519</v>
      </c>
      <c r="W6" s="3529"/>
      <c r="X6" s="1502"/>
      <c r="Y6" s="3542" t="s">
        <v>521</v>
      </c>
      <c r="Z6" s="3543"/>
      <c r="AA6" s="3531" t="s">
        <v>517</v>
      </c>
      <c r="AB6" s="3532" t="s">
        <v>518</v>
      </c>
      <c r="AC6" s="3531" t="s">
        <v>519</v>
      </c>
    </row>
    <row r="7" spans="1:30" ht="20.25">
      <c r="A7" s="509"/>
      <c r="B7" s="510"/>
      <c r="C7" s="3550" t="s">
        <v>2898</v>
      </c>
      <c r="D7" s="3551"/>
      <c r="E7" s="3550" t="s">
        <v>2899</v>
      </c>
      <c r="F7" s="3551"/>
      <c r="G7" s="3550" t="s">
        <v>2900</v>
      </c>
      <c r="H7" s="3551"/>
      <c r="I7" s="3550" t="s">
        <v>2901</v>
      </c>
      <c r="J7" s="3551"/>
      <c r="K7" s="508"/>
      <c r="L7" s="2015"/>
      <c r="M7" s="2014"/>
      <c r="N7" s="2014"/>
      <c r="O7" s="2016"/>
      <c r="P7" s="3538"/>
      <c r="Q7" s="3539"/>
      <c r="R7" s="3544"/>
      <c r="S7" s="3545"/>
      <c r="T7" s="3544"/>
      <c r="U7" s="3545"/>
      <c r="V7" s="3529"/>
      <c r="W7" s="3529"/>
      <c r="X7" s="1502"/>
      <c r="Y7" s="3544"/>
      <c r="Z7" s="3545"/>
      <c r="AA7" s="3532"/>
      <c r="AB7" s="3532"/>
      <c r="AC7" s="3532"/>
    </row>
    <row r="8" spans="1:30" ht="21" thickBot="1">
      <c r="A8" s="509"/>
      <c r="B8" s="510"/>
      <c r="C8" s="3552" t="s">
        <v>2902</v>
      </c>
      <c r="D8" s="3553"/>
      <c r="E8" s="3552" t="s">
        <v>2902</v>
      </c>
      <c r="F8" s="3553"/>
      <c r="G8" s="3548" t="s">
        <v>2902</v>
      </c>
      <c r="H8" s="3549"/>
      <c r="I8" s="3548" t="s">
        <v>2902</v>
      </c>
      <c r="J8" s="3549"/>
      <c r="K8" s="508" t="s">
        <v>522</v>
      </c>
      <c r="L8" s="2015"/>
      <c r="M8" s="2014"/>
      <c r="N8" s="2014"/>
      <c r="O8" s="2016"/>
      <c r="P8" s="3540"/>
      <c r="Q8" s="3541"/>
      <c r="R8" s="3544"/>
      <c r="S8" s="3545"/>
      <c r="T8" s="3546"/>
      <c r="U8" s="3547"/>
      <c r="V8" s="3529"/>
      <c r="W8" s="3529"/>
      <c r="X8" s="1502"/>
      <c r="Y8" s="3546"/>
      <c r="Z8" s="3547"/>
      <c r="AA8" s="3533"/>
      <c r="AB8" s="3533"/>
      <c r="AC8" s="3533"/>
    </row>
    <row r="9" spans="1:30" s="1203" customFormat="1" ht="21" thickBot="1">
      <c r="A9" s="2629"/>
      <c r="B9" s="2636" t="s">
        <v>523</v>
      </c>
      <c r="C9" s="2628">
        <f>'数据-取费表'!B2</f>
        <v>44201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59" t="s">
        <v>524</v>
      </c>
      <c r="Q9" s="3561"/>
      <c r="R9" s="1503" t="s">
        <v>8</v>
      </c>
      <c r="S9" s="1504">
        <f t="shared" ref="S9:S17" si="0">F9</f>
        <v>0</v>
      </c>
      <c r="T9" s="1503" t="s">
        <v>8</v>
      </c>
      <c r="U9" s="1504">
        <f t="shared" ref="U9:U17" si="1">H9</f>
        <v>0</v>
      </c>
      <c r="V9" s="1503" t="s">
        <v>8</v>
      </c>
      <c r="W9" s="1504">
        <f t="shared" ref="W9:W17" si="2">J9</f>
        <v>0</v>
      </c>
      <c r="X9" s="1505"/>
      <c r="Y9" s="3559" t="s">
        <v>524</v>
      </c>
      <c r="Z9" s="3560"/>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59" t="s">
        <v>527</v>
      </c>
      <c r="Q10" s="3560"/>
      <c r="R10" s="1503" t="s">
        <v>8</v>
      </c>
      <c r="S10" s="1504">
        <f t="shared" si="0"/>
        <v>0</v>
      </c>
      <c r="T10" s="1503" t="s">
        <v>8</v>
      </c>
      <c r="U10" s="1504">
        <f t="shared" si="1"/>
        <v>0</v>
      </c>
      <c r="V10" s="1503" t="s">
        <v>8</v>
      </c>
      <c r="W10" s="1504">
        <f t="shared" si="2"/>
        <v>0</v>
      </c>
      <c r="X10" s="1505"/>
      <c r="Y10" s="3559" t="s">
        <v>527</v>
      </c>
      <c r="Z10" s="3560"/>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8" t="s">
        <v>529</v>
      </c>
      <c r="Q11" s="1134" t="str">
        <f t="shared" ref="Q11:Q17" si="6">B11</f>
        <v>用途</v>
      </c>
      <c r="R11" s="1503" t="s">
        <v>8</v>
      </c>
      <c r="S11" s="1504">
        <f t="shared" si="0"/>
        <v>100</v>
      </c>
      <c r="T11" s="1503" t="s">
        <v>8</v>
      </c>
      <c r="U11" s="1504">
        <f t="shared" si="1"/>
        <v>100</v>
      </c>
      <c r="V11" s="1503" t="s">
        <v>8</v>
      </c>
      <c r="W11" s="1504">
        <f t="shared" si="2"/>
        <v>100</v>
      </c>
      <c r="X11" s="1505"/>
      <c r="Y11" s="3474"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28"/>
      <c r="Q12" s="1134" t="str">
        <f t="shared" si="6"/>
        <v>土地使用年限（年）</v>
      </c>
      <c r="R12" s="1503" t="s">
        <v>8</v>
      </c>
      <c r="S12" s="1504">
        <f t="shared" si="0"/>
        <v>106</v>
      </c>
      <c r="T12" s="1503" t="s">
        <v>8</v>
      </c>
      <c r="U12" s="1504">
        <f t="shared" si="1"/>
        <v>106</v>
      </c>
      <c r="V12" s="1503" t="s">
        <v>8</v>
      </c>
      <c r="W12" s="1504">
        <f t="shared" si="2"/>
        <v>106</v>
      </c>
      <c r="X12" s="1505"/>
      <c r="Y12" s="3474"/>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28"/>
      <c r="Q13" s="1134" t="str">
        <f t="shared" si="6"/>
        <v>容积率</v>
      </c>
      <c r="R13" s="1503" t="s">
        <v>8</v>
      </c>
      <c r="S13" s="1504" t="e">
        <f t="shared" si="0"/>
        <v>#N/A</v>
      </c>
      <c r="T13" s="1503" t="s">
        <v>8</v>
      </c>
      <c r="U13" s="1504" t="e">
        <f t="shared" si="1"/>
        <v>#N/A</v>
      </c>
      <c r="V13" s="1503" t="s">
        <v>8</v>
      </c>
      <c r="W13" s="1504" t="e">
        <f t="shared" si="2"/>
        <v>#N/A</v>
      </c>
      <c r="X13" s="1505"/>
      <c r="Y13" s="3474"/>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28"/>
      <c r="Q14" s="1134" t="str">
        <f t="shared" si="6"/>
        <v>配建</v>
      </c>
      <c r="R14" s="1503" t="s">
        <v>8</v>
      </c>
      <c r="S14" s="1504">
        <f t="shared" si="0"/>
        <v>100</v>
      </c>
      <c r="T14" s="1503" t="s">
        <v>8</v>
      </c>
      <c r="U14" s="1504">
        <f t="shared" si="1"/>
        <v>100</v>
      </c>
      <c r="V14" s="1503" t="s">
        <v>8</v>
      </c>
      <c r="W14" s="1504">
        <f t="shared" si="2"/>
        <v>100</v>
      </c>
      <c r="X14" s="1505"/>
      <c r="Y14" s="3474"/>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8"/>
      <c r="Q15" s="1134">
        <f t="shared" si="6"/>
        <v>111</v>
      </c>
      <c r="R15" s="1503" t="s">
        <v>8</v>
      </c>
      <c r="S15" s="1504">
        <f t="shared" si="0"/>
        <v>100</v>
      </c>
      <c r="T15" s="1503" t="s">
        <v>8</v>
      </c>
      <c r="U15" s="1504">
        <f t="shared" si="1"/>
        <v>100</v>
      </c>
      <c r="V15" s="1503" t="s">
        <v>8</v>
      </c>
      <c r="W15" s="1504">
        <f t="shared" si="2"/>
        <v>100</v>
      </c>
      <c r="X15" s="1505"/>
      <c r="Y15" s="3474"/>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8"/>
      <c r="Q16" s="1134">
        <f t="shared" si="6"/>
        <v>111</v>
      </c>
      <c r="R16" s="1503" t="s">
        <v>8</v>
      </c>
      <c r="S16" s="1504">
        <f t="shared" si="0"/>
        <v>100</v>
      </c>
      <c r="T16" s="1503" t="s">
        <v>8</v>
      </c>
      <c r="U16" s="1504">
        <f t="shared" si="1"/>
        <v>100</v>
      </c>
      <c r="V16" s="1503" t="s">
        <v>8</v>
      </c>
      <c r="W16" s="1504">
        <f t="shared" si="2"/>
        <v>100</v>
      </c>
      <c r="X16" s="1505"/>
      <c r="Y16" s="3474"/>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62" t="s">
        <v>534</v>
      </c>
      <c r="Q17" s="1507" t="str">
        <f t="shared" si="6"/>
        <v>居住社区成熟度</v>
      </c>
      <c r="R17" s="1508" t="s">
        <v>8</v>
      </c>
      <c r="S17" s="1509">
        <f t="shared" si="0"/>
        <v>100</v>
      </c>
      <c r="T17" s="1508" t="s">
        <v>8</v>
      </c>
      <c r="U17" s="1509">
        <f t="shared" si="1"/>
        <v>100</v>
      </c>
      <c r="V17" s="1508" t="s">
        <v>8</v>
      </c>
      <c r="W17" s="1509">
        <f t="shared" si="2"/>
        <v>100</v>
      </c>
      <c r="X17" s="1502"/>
      <c r="Y17" s="3562"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63"/>
      <c r="Q18" s="1507"/>
      <c r="R18" s="1508"/>
      <c r="S18" s="1509"/>
      <c r="T18" s="1508"/>
      <c r="U18" s="1509"/>
      <c r="V18" s="1508"/>
      <c r="W18" s="1509"/>
      <c r="X18" s="1502"/>
      <c r="Y18" s="3563"/>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3"/>
      <c r="Q19" s="1507" t="str">
        <f>B19</f>
        <v>商业繁华度</v>
      </c>
      <c r="R19" s="1508" t="s">
        <v>8</v>
      </c>
      <c r="S19" s="1509">
        <f>F19</f>
        <v>100</v>
      </c>
      <c r="T19" s="1508" t="s">
        <v>8</v>
      </c>
      <c r="U19" s="1509">
        <f>H19</f>
        <v>100</v>
      </c>
      <c r="V19" s="1508" t="s">
        <v>8</v>
      </c>
      <c r="W19" s="1509">
        <f>J19</f>
        <v>100</v>
      </c>
      <c r="X19" s="1502"/>
      <c r="Y19" s="3563"/>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63"/>
      <c r="Q20" s="1507"/>
      <c r="R20" s="1508"/>
      <c r="S20" s="1509"/>
      <c r="T20" s="1508"/>
      <c r="U20" s="1509"/>
      <c r="V20" s="1508"/>
      <c r="W20" s="1509"/>
      <c r="X20" s="1502"/>
      <c r="Y20" s="3563"/>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3"/>
      <c r="Q21" s="1507" t="str">
        <f>B21</f>
        <v>办公集聚程度</v>
      </c>
      <c r="R21" s="1508" t="s">
        <v>8</v>
      </c>
      <c r="S21" s="1509">
        <f>F21</f>
        <v>100</v>
      </c>
      <c r="T21" s="1508" t="s">
        <v>8</v>
      </c>
      <c r="U21" s="1509">
        <f>H21</f>
        <v>100</v>
      </c>
      <c r="V21" s="1508" t="s">
        <v>8</v>
      </c>
      <c r="W21" s="1509">
        <f>J21</f>
        <v>100</v>
      </c>
      <c r="X21" s="1502"/>
      <c r="Y21" s="3563"/>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63"/>
      <c r="Q22" s="1507"/>
      <c r="R22" s="1508"/>
      <c r="S22" s="1509"/>
      <c r="T22" s="1508"/>
      <c r="U22" s="1509"/>
      <c r="V22" s="1508"/>
      <c r="W22" s="1509"/>
      <c r="X22" s="1502"/>
      <c r="Y22" s="3563"/>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3"/>
      <c r="Q23" s="1507" t="str">
        <f>B23</f>
        <v>交通便捷度</v>
      </c>
      <c r="R23" s="1508" t="s">
        <v>8</v>
      </c>
      <c r="S23" s="1509">
        <f>F23</f>
        <v>100</v>
      </c>
      <c r="T23" s="1508" t="s">
        <v>8</v>
      </c>
      <c r="U23" s="1509">
        <f>H23</f>
        <v>100</v>
      </c>
      <c r="V23" s="1508" t="s">
        <v>8</v>
      </c>
      <c r="W23" s="1509">
        <f>J23</f>
        <v>100</v>
      </c>
      <c r="X23" s="1502"/>
      <c r="Y23" s="3563"/>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63"/>
      <c r="Q24" s="1507"/>
      <c r="R24" s="1508"/>
      <c r="S24" s="1509"/>
      <c r="T24" s="1508"/>
      <c r="U24" s="1509"/>
      <c r="V24" s="1508"/>
      <c r="W24" s="1509"/>
      <c r="X24" s="1502"/>
      <c r="Y24" s="3563"/>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3"/>
      <c r="Q25" s="1507" t="str">
        <f t="shared" ref="Q25:Q39" si="8">B25</f>
        <v>区域土地利用方向</v>
      </c>
      <c r="R25" s="1508" t="s">
        <v>8</v>
      </c>
      <c r="S25" s="1509">
        <f>F25</f>
        <v>100</v>
      </c>
      <c r="T25" s="1508" t="s">
        <v>8</v>
      </c>
      <c r="U25" s="1509">
        <f>H25</f>
        <v>100</v>
      </c>
      <c r="V25" s="1508" t="s">
        <v>8</v>
      </c>
      <c r="W25" s="1509">
        <f>J25</f>
        <v>100</v>
      </c>
      <c r="X25" s="1502"/>
      <c r="Y25" s="3563"/>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63"/>
      <c r="Q26" s="1507"/>
      <c r="R26" s="1508"/>
      <c r="S26" s="1509"/>
      <c r="T26" s="1508"/>
      <c r="U26" s="1509"/>
      <c r="V26" s="1508"/>
      <c r="W26" s="1509"/>
      <c r="X26" s="1502"/>
      <c r="Y26" s="3563"/>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3"/>
      <c r="Q27" s="1507" t="str">
        <f t="shared" si="8"/>
        <v>自然及人文环境状况</v>
      </c>
      <c r="R27" s="1508" t="s">
        <v>8</v>
      </c>
      <c r="S27" s="1509">
        <f>F27</f>
        <v>100</v>
      </c>
      <c r="T27" s="1508" t="s">
        <v>8</v>
      </c>
      <c r="U27" s="1509">
        <f>H27</f>
        <v>100</v>
      </c>
      <c r="V27" s="1508" t="s">
        <v>8</v>
      </c>
      <c r="W27" s="1509">
        <f>J27</f>
        <v>100</v>
      </c>
      <c r="X27" s="1502"/>
      <c r="Y27" s="3563"/>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63"/>
      <c r="Q28" s="1507"/>
      <c r="R28" s="1508"/>
      <c r="S28" s="1509"/>
      <c r="T28" s="1508"/>
      <c r="U28" s="1509"/>
      <c r="V28" s="1508"/>
      <c r="W28" s="1509"/>
      <c r="X28" s="1502"/>
      <c r="Y28" s="3563"/>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3"/>
      <c r="Q29" s="1134" t="str">
        <f t="shared" si="8"/>
        <v>公共配套设施</v>
      </c>
      <c r="R29" s="1503" t="s">
        <v>8</v>
      </c>
      <c r="S29" s="1504">
        <f>F29</f>
        <v>100</v>
      </c>
      <c r="T29" s="1503" t="s">
        <v>8</v>
      </c>
      <c r="U29" s="1504">
        <f>H29</f>
        <v>100</v>
      </c>
      <c r="V29" s="1503" t="s">
        <v>8</v>
      </c>
      <c r="W29" s="1504">
        <f>J29</f>
        <v>100</v>
      </c>
      <c r="X29" s="1505"/>
      <c r="Y29" s="3563"/>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63"/>
      <c r="Q30" s="1134"/>
      <c r="R30" s="1503"/>
      <c r="S30" s="1504"/>
      <c r="T30" s="1503"/>
      <c r="U30" s="1504"/>
      <c r="V30" s="1503"/>
      <c r="W30" s="1504"/>
      <c r="X30" s="1505"/>
      <c r="Y30" s="3563"/>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3"/>
      <c r="Q31" s="2428" t="str">
        <f t="shared" ref="Q31" si="9">B31</f>
        <v>基础设施水平</v>
      </c>
      <c r="R31" s="1503" t="s">
        <v>8</v>
      </c>
      <c r="S31" s="1504">
        <f>F31</f>
        <v>100</v>
      </c>
      <c r="T31" s="1503" t="s">
        <v>8</v>
      </c>
      <c r="U31" s="1504">
        <f>H31</f>
        <v>100</v>
      </c>
      <c r="V31" s="1503" t="s">
        <v>8</v>
      </c>
      <c r="W31" s="1504">
        <f>J31</f>
        <v>100</v>
      </c>
      <c r="X31" s="1505"/>
      <c r="Y31" s="3563"/>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63"/>
      <c r="Q32" s="2428"/>
      <c r="R32" s="1503"/>
      <c r="S32" s="1504"/>
      <c r="T32" s="1503"/>
      <c r="U32" s="1504"/>
      <c r="V32" s="1503"/>
      <c r="W32" s="1504"/>
      <c r="X32" s="1505"/>
      <c r="Y32" s="3563"/>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63"/>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3"/>
      <c r="Q34" s="1507" t="str">
        <f t="shared" si="8"/>
        <v>毗邻道路的类型与等级</v>
      </c>
      <c r="R34" s="1508" t="s">
        <v>8</v>
      </c>
      <c r="S34" s="1509">
        <f t="shared" si="10"/>
        <v>100</v>
      </c>
      <c r="T34" s="1508" t="s">
        <v>8</v>
      </c>
      <c r="U34" s="1509">
        <f t="shared" si="11"/>
        <v>100</v>
      </c>
      <c r="V34" s="1508" t="s">
        <v>8</v>
      </c>
      <c r="W34" s="1509">
        <f t="shared" si="12"/>
        <v>100</v>
      </c>
      <c r="X34" s="1502"/>
      <c r="Y34" s="3563"/>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63"/>
      <c r="Q35" s="1507"/>
      <c r="R35" s="1508"/>
      <c r="S35" s="1509"/>
      <c r="T35" s="1508"/>
      <c r="U35" s="1509"/>
      <c r="V35" s="1508"/>
      <c r="W35" s="1509"/>
      <c r="X35" s="1502"/>
      <c r="Y35" s="3563"/>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3"/>
      <c r="Q36" s="1507" t="str">
        <f t="shared" si="8"/>
        <v>土地级别</v>
      </c>
      <c r="R36" s="1508" t="s">
        <v>8</v>
      </c>
      <c r="S36" s="1509">
        <f t="shared" si="10"/>
        <v>100</v>
      </c>
      <c r="T36" s="1508" t="s">
        <v>8</v>
      </c>
      <c r="U36" s="1509">
        <f t="shared" si="11"/>
        <v>100</v>
      </c>
      <c r="V36" s="1508" t="s">
        <v>8</v>
      </c>
      <c r="W36" s="1509">
        <f t="shared" si="12"/>
        <v>100</v>
      </c>
      <c r="X36" s="1502"/>
      <c r="Y36" s="3563"/>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3"/>
      <c r="Q37" s="1507">
        <f t="shared" si="8"/>
        <v>111</v>
      </c>
      <c r="R37" s="1508" t="s">
        <v>8</v>
      </c>
      <c r="S37" s="1509">
        <f t="shared" si="10"/>
        <v>100</v>
      </c>
      <c r="T37" s="1508" t="s">
        <v>8</v>
      </c>
      <c r="U37" s="1509">
        <f t="shared" si="11"/>
        <v>100</v>
      </c>
      <c r="V37" s="1508" t="s">
        <v>8</v>
      </c>
      <c r="W37" s="1509">
        <f t="shared" si="12"/>
        <v>100</v>
      </c>
      <c r="X37" s="1502"/>
      <c r="Y37" s="3563"/>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4" t="s">
        <v>544</v>
      </c>
      <c r="Q38" s="1507">
        <f t="shared" si="8"/>
        <v>111</v>
      </c>
      <c r="R38" s="1508" t="s">
        <v>8</v>
      </c>
      <c r="S38" s="1509">
        <f t="shared" si="10"/>
        <v>100</v>
      </c>
      <c r="T38" s="1508" t="s">
        <v>8</v>
      </c>
      <c r="U38" s="1509">
        <f t="shared" si="11"/>
        <v>100</v>
      </c>
      <c r="V38" s="1508" t="s">
        <v>8</v>
      </c>
      <c r="W38" s="1509">
        <f t="shared" si="12"/>
        <v>100</v>
      </c>
      <c r="X38" s="1502"/>
      <c r="Y38" s="3565"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5"/>
      <c r="Q39" s="1507">
        <f t="shared" si="8"/>
        <v>111</v>
      </c>
      <c r="R39" s="1512" t="s">
        <v>8</v>
      </c>
      <c r="S39" s="1513">
        <f t="shared" si="10"/>
        <v>100</v>
      </c>
      <c r="T39" s="1512" t="s">
        <v>8</v>
      </c>
      <c r="U39" s="1513">
        <f t="shared" si="11"/>
        <v>100</v>
      </c>
      <c r="V39" s="1512" t="s">
        <v>8</v>
      </c>
      <c r="W39" s="1513">
        <f t="shared" si="12"/>
        <v>100</v>
      </c>
      <c r="X39" s="1514"/>
      <c r="Y39" s="3565"/>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65"/>
      <c r="Q40" s="1507" t="str">
        <f>B40</f>
        <v>宗地面积</v>
      </c>
      <c r="R40" s="1508" t="s">
        <v>8</v>
      </c>
      <c r="S40" s="1509" t="e">
        <f t="shared" si="10"/>
        <v>#N/A</v>
      </c>
      <c r="T40" s="1508" t="s">
        <v>8</v>
      </c>
      <c r="U40" s="1509" t="e">
        <f t="shared" si="11"/>
        <v>#N/A</v>
      </c>
      <c r="V40" s="1508" t="s">
        <v>8</v>
      </c>
      <c r="W40" s="1509" t="e">
        <f t="shared" si="12"/>
        <v>#N/A</v>
      </c>
      <c r="X40" s="1502"/>
      <c r="Y40" s="3565"/>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65"/>
      <c r="Q41" s="1507" t="str">
        <f t="shared" ref="Q41:Q47" si="14">B41</f>
        <v>宗地形状</v>
      </c>
      <c r="R41" s="1508" t="s">
        <v>8</v>
      </c>
      <c r="S41" s="1509">
        <f t="shared" si="10"/>
        <v>100</v>
      </c>
      <c r="T41" s="1508" t="s">
        <v>8</v>
      </c>
      <c r="U41" s="1509">
        <f t="shared" si="11"/>
        <v>100</v>
      </c>
      <c r="V41" s="1508" t="s">
        <v>8</v>
      </c>
      <c r="W41" s="1509">
        <f t="shared" si="12"/>
        <v>100</v>
      </c>
      <c r="X41" s="1502"/>
      <c r="Y41" s="3565"/>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5"/>
      <c r="Q42" s="1507" t="str">
        <f t="shared" si="14"/>
        <v>临街宽度及深度</v>
      </c>
      <c r="R42" s="1508" t="s">
        <v>8</v>
      </c>
      <c r="S42" s="1509">
        <f t="shared" si="10"/>
        <v>100</v>
      </c>
      <c r="T42" s="1508" t="s">
        <v>8</v>
      </c>
      <c r="U42" s="1509">
        <f t="shared" si="11"/>
        <v>100</v>
      </c>
      <c r="V42" s="1508" t="s">
        <v>8</v>
      </c>
      <c r="W42" s="1509">
        <f t="shared" si="12"/>
        <v>100</v>
      </c>
      <c r="X42" s="1502"/>
      <c r="Y42" s="3565"/>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65"/>
      <c r="Q43" s="1507" t="str">
        <f t="shared" si="14"/>
        <v>宗地开发程度</v>
      </c>
      <c r="R43" s="1503" t="s">
        <v>8</v>
      </c>
      <c r="S43" s="1504">
        <f t="shared" si="10"/>
        <v>100</v>
      </c>
      <c r="T43" s="1503" t="s">
        <v>8</v>
      </c>
      <c r="U43" s="1504">
        <f t="shared" si="11"/>
        <v>100</v>
      </c>
      <c r="V43" s="1503" t="s">
        <v>8</v>
      </c>
      <c r="W43" s="1504">
        <f t="shared" si="12"/>
        <v>100</v>
      </c>
      <c r="X43" s="1505"/>
      <c r="Y43" s="3565"/>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65" t="s">
        <v>544</v>
      </c>
      <c r="Q44" s="1507" t="str">
        <f t="shared" si="14"/>
        <v>工程地质条件</v>
      </c>
      <c r="R44" s="1508" t="s">
        <v>8</v>
      </c>
      <c r="S44" s="1509">
        <f t="shared" si="10"/>
        <v>100</v>
      </c>
      <c r="T44" s="1508" t="s">
        <v>8</v>
      </c>
      <c r="U44" s="1509">
        <f t="shared" si="11"/>
        <v>100</v>
      </c>
      <c r="V44" s="1508" t="s">
        <v>8</v>
      </c>
      <c r="W44" s="1509">
        <f t="shared" si="12"/>
        <v>100</v>
      </c>
      <c r="X44" s="1502"/>
      <c r="Y44" s="3565"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5"/>
      <c r="Q45" s="1507">
        <f t="shared" si="14"/>
        <v>111</v>
      </c>
      <c r="R45" s="1508" t="s">
        <v>8</v>
      </c>
      <c r="S45" s="1509">
        <f t="shared" si="10"/>
        <v>100</v>
      </c>
      <c r="T45" s="1508" t="s">
        <v>8</v>
      </c>
      <c r="U45" s="1509">
        <f t="shared" si="11"/>
        <v>100</v>
      </c>
      <c r="V45" s="1508" t="s">
        <v>8</v>
      </c>
      <c r="W45" s="1509">
        <f t="shared" si="12"/>
        <v>100</v>
      </c>
      <c r="X45" s="1502"/>
      <c r="Y45" s="3565"/>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5"/>
      <c r="Q46" s="1507">
        <f t="shared" si="14"/>
        <v>111</v>
      </c>
      <c r="R46" s="1508" t="s">
        <v>8</v>
      </c>
      <c r="S46" s="1509">
        <f t="shared" si="10"/>
        <v>100</v>
      </c>
      <c r="T46" s="1508" t="s">
        <v>8</v>
      </c>
      <c r="U46" s="1509">
        <f t="shared" si="11"/>
        <v>100</v>
      </c>
      <c r="V46" s="1508" t="s">
        <v>8</v>
      </c>
      <c r="W46" s="1509">
        <f t="shared" si="12"/>
        <v>100</v>
      </c>
      <c r="X46" s="1502"/>
      <c r="Y46" s="3565"/>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5"/>
      <c r="Q47" s="1507">
        <f t="shared" si="14"/>
        <v>111</v>
      </c>
      <c r="R47" s="1512" t="s">
        <v>8</v>
      </c>
      <c r="S47" s="1513">
        <f t="shared" si="10"/>
        <v>100</v>
      </c>
      <c r="T47" s="1512" t="s">
        <v>8</v>
      </c>
      <c r="U47" s="1513">
        <f t="shared" si="11"/>
        <v>100</v>
      </c>
      <c r="V47" s="1512" t="s">
        <v>8</v>
      </c>
      <c r="W47" s="1513">
        <f t="shared" si="12"/>
        <v>100</v>
      </c>
      <c r="X47" s="1514"/>
      <c r="Y47" s="3565"/>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28" t="str">
        <f>A48</f>
        <v>成交单价</v>
      </c>
      <c r="Q48" s="3528"/>
      <c r="R48" s="3529">
        <f>E48</f>
        <v>0</v>
      </c>
      <c r="S48" s="3529"/>
      <c r="T48" s="3529">
        <f>G48</f>
        <v>0</v>
      </c>
      <c r="U48" s="3529"/>
      <c r="V48" s="3529">
        <f>I48</f>
        <v>0</v>
      </c>
      <c r="W48" s="3529"/>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28" t="str">
        <f>A49</f>
        <v>比较价格（元/平方米）</v>
      </c>
      <c r="Q49" s="3528"/>
      <c r="R49" s="3530" t="e">
        <f>ROUND(PRODUCT(R48,AA9:AA47),0)</f>
        <v>#DIV/0!</v>
      </c>
      <c r="S49" s="3530"/>
      <c r="T49" s="3530" t="e">
        <f>ROUND(PRODUCT(T48,AB9:AB47),0)</f>
        <v>#DIV/0!</v>
      </c>
      <c r="U49" s="3530"/>
      <c r="V49" s="3530" t="e">
        <f>ROUND(PRODUCT(V48,AC9:AC47),0)</f>
        <v>#DIV/0!</v>
      </c>
      <c r="W49" s="3530"/>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25" t="str">
        <f>A50</f>
        <v>估价对象XX用房的比较价格（楼面单价，元/平方米）</v>
      </c>
      <c r="Q50" s="3526"/>
      <c r="R50" s="3527" t="e">
        <f>ROUND(IF(D49="简单平均",AVERAGE(R49:W49),R49*F49+T49*H49+V49*J49),0)</f>
        <v>#DIV/0!</v>
      </c>
      <c r="S50" s="3527"/>
      <c r="T50" s="3527"/>
      <c r="U50" s="3527"/>
      <c r="V50" s="3527"/>
      <c r="W50" s="3527"/>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54" t="s">
        <v>2269</v>
      </c>
      <c r="H57" s="3555"/>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556"/>
      <c r="H58" s="3557"/>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58"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58"/>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58"/>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58"/>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3" zoomScale="90" zoomScaleNormal="50" zoomScaleSheetLayoutView="90" workbookViewId="0">
      <selection activeCell="K24" sqref="K24"/>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7069</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1576</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1576</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4" t="s">
        <v>516</v>
      </c>
      <c r="D6" s="3535"/>
      <c r="E6" s="3568" t="s">
        <v>517</v>
      </c>
      <c r="F6" s="3569"/>
      <c r="G6" s="3534" t="s">
        <v>518</v>
      </c>
      <c r="H6" s="3535"/>
      <c r="I6" s="3534" t="s">
        <v>519</v>
      </c>
      <c r="J6" s="3535"/>
      <c r="K6" s="508" t="s">
        <v>520</v>
      </c>
      <c r="L6" s="2015"/>
      <c r="M6" s="2016"/>
      <c r="N6" s="2016"/>
      <c r="O6" s="2016"/>
      <c r="P6" s="3536" t="s">
        <v>521</v>
      </c>
      <c r="Q6" s="3537"/>
      <c r="R6" s="3542" t="s">
        <v>517</v>
      </c>
      <c r="S6" s="3543"/>
      <c r="T6" s="3542" t="s">
        <v>518</v>
      </c>
      <c r="U6" s="3543"/>
      <c r="V6" s="3529" t="s">
        <v>519</v>
      </c>
      <c r="W6" s="3529"/>
      <c r="X6" s="1502"/>
      <c r="Y6" s="3542" t="s">
        <v>521</v>
      </c>
      <c r="Z6" s="3543"/>
      <c r="AA6" s="3531" t="s">
        <v>517</v>
      </c>
      <c r="AB6" s="3532" t="s">
        <v>518</v>
      </c>
      <c r="AC6" s="3531" t="s">
        <v>519</v>
      </c>
    </row>
    <row r="7" spans="1:29" ht="15">
      <c r="A7" s="509"/>
      <c r="B7" s="510"/>
      <c r="C7" s="3550" t="s">
        <v>2898</v>
      </c>
      <c r="D7" s="3551"/>
      <c r="E7" s="3570" t="s">
        <v>2899</v>
      </c>
      <c r="F7" s="3571"/>
      <c r="G7" s="3550" t="s">
        <v>2900</v>
      </c>
      <c r="H7" s="3551"/>
      <c r="I7" s="3550" t="s">
        <v>2901</v>
      </c>
      <c r="J7" s="3551"/>
      <c r="K7" s="508"/>
      <c r="L7" s="2015"/>
      <c r="M7" s="2016"/>
      <c r="N7" s="2016"/>
      <c r="O7" s="2016"/>
      <c r="P7" s="3538"/>
      <c r="Q7" s="3539"/>
      <c r="R7" s="3544"/>
      <c r="S7" s="3545"/>
      <c r="T7" s="3544"/>
      <c r="U7" s="3545"/>
      <c r="V7" s="3529"/>
      <c r="W7" s="3529"/>
      <c r="X7" s="1502"/>
      <c r="Y7" s="3544"/>
      <c r="Z7" s="3545"/>
      <c r="AA7" s="3532"/>
      <c r="AB7" s="3532"/>
      <c r="AC7" s="3532"/>
    </row>
    <row r="8" spans="1:29" ht="47.25" customHeight="1" thickBot="1">
      <c r="A8" s="511"/>
      <c r="B8" s="512"/>
      <c r="C8" s="3548" t="s">
        <v>2902</v>
      </c>
      <c r="D8" s="3549"/>
      <c r="E8" s="3566" t="str">
        <f>案例!F6</f>
        <v>平谷夏各庄新城土地一级开发项目7号地块PG11-0100-6103、6107地块</v>
      </c>
      <c r="F8" s="3567"/>
      <c r="G8" s="3548" t="str">
        <f>案例!F7</f>
        <v>平谷区2土地一级开发项目PG06-0100-6008等地块</v>
      </c>
      <c r="H8" s="3549"/>
      <c r="I8" s="3548" t="str">
        <f>案例!F8</f>
        <v>平谷区夏各庄新城土地一级开发项目7号地PG11-0100-6110、6115、6116、6121、6126地块</v>
      </c>
      <c r="J8" s="3549"/>
      <c r="K8" s="508" t="s">
        <v>522</v>
      </c>
      <c r="L8" s="2015"/>
      <c r="M8" s="2016"/>
      <c r="N8" s="2016"/>
      <c r="O8" s="2016"/>
      <c r="P8" s="3540"/>
      <c r="Q8" s="3541"/>
      <c r="R8" s="3544"/>
      <c r="S8" s="3545"/>
      <c r="T8" s="3546"/>
      <c r="U8" s="3547"/>
      <c r="V8" s="3529"/>
      <c r="W8" s="3529"/>
      <c r="X8" s="1502"/>
      <c r="Y8" s="3546"/>
      <c r="Z8" s="3547"/>
      <c r="AA8" s="3533"/>
      <c r="AB8" s="3533"/>
      <c r="AC8" s="3533"/>
    </row>
    <row r="9" spans="1:29" s="1203" customFormat="1" ht="15.75" thickBot="1">
      <c r="A9" s="2629"/>
      <c r="B9" s="2636" t="s">
        <v>523</v>
      </c>
      <c r="C9" s="513">
        <f>'数据-取费表'!B2</f>
        <v>44201</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559" t="s">
        <v>524</v>
      </c>
      <c r="Q9" s="3561"/>
      <c r="R9" s="1503" t="s">
        <v>8</v>
      </c>
      <c r="S9" s="1504">
        <f t="shared" ref="S9:S17" si="0">F9</f>
        <v>88.446926841707324</v>
      </c>
      <c r="T9" s="1503" t="s">
        <v>8</v>
      </c>
      <c r="U9" s="1504">
        <f t="shared" ref="U9:U17" si="1">H9</f>
        <v>88.446926841707324</v>
      </c>
      <c r="V9" s="1503" t="s">
        <v>8</v>
      </c>
      <c r="W9" s="1504">
        <f t="shared" ref="W9:W17" si="2">J9</f>
        <v>96.477658006027198</v>
      </c>
      <c r="X9" s="1505"/>
      <c r="Y9" s="3559" t="s">
        <v>524</v>
      </c>
      <c r="Z9" s="3560"/>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3083</v>
      </c>
      <c r="F10" s="516">
        <f>SUMIF(70:70,E10,71:71)-SUMIF(70:70,C10,71:71)+100</f>
        <v>100</v>
      </c>
      <c r="G10" s="519" t="s">
        <v>3083</v>
      </c>
      <c r="H10" s="514">
        <f>SUMIF(70:70,G10,71:71)-SUMIF(70:70,C10,71:71)+100</f>
        <v>100</v>
      </c>
      <c r="I10" s="519" t="s">
        <v>3083</v>
      </c>
      <c r="J10" s="514">
        <f>SUMIF(70:70,I10,71:71)-SUMIF(70:70,C10,71:71)+100</f>
        <v>100</v>
      </c>
      <c r="K10" s="518"/>
      <c r="L10" s="2017"/>
      <c r="M10" s="2018"/>
      <c r="N10" s="2018"/>
      <c r="O10" s="2018"/>
      <c r="P10" s="3559" t="s">
        <v>527</v>
      </c>
      <c r="Q10" s="3560"/>
      <c r="R10" s="1503" t="s">
        <v>8</v>
      </c>
      <c r="S10" s="1504">
        <f t="shared" si="0"/>
        <v>100</v>
      </c>
      <c r="T10" s="1503" t="s">
        <v>8</v>
      </c>
      <c r="U10" s="1504">
        <f t="shared" si="1"/>
        <v>100</v>
      </c>
      <c r="V10" s="1503" t="s">
        <v>8</v>
      </c>
      <c r="W10" s="1504">
        <f t="shared" si="2"/>
        <v>100</v>
      </c>
      <c r="X10" s="1505"/>
      <c r="Y10" s="3559" t="s">
        <v>527</v>
      </c>
      <c r="Z10" s="3560"/>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8" t="s">
        <v>529</v>
      </c>
      <c r="Q11" s="1134" t="str">
        <f t="shared" ref="Q11:Q17" si="6">B11</f>
        <v>用途</v>
      </c>
      <c r="R11" s="1503" t="s">
        <v>8</v>
      </c>
      <c r="S11" s="1504">
        <f t="shared" si="0"/>
        <v>100</v>
      </c>
      <c r="T11" s="1503" t="s">
        <v>8</v>
      </c>
      <c r="U11" s="1504">
        <f t="shared" si="1"/>
        <v>100</v>
      </c>
      <c r="V11" s="1503" t="s">
        <v>8</v>
      </c>
      <c r="W11" s="1504">
        <f t="shared" si="2"/>
        <v>100</v>
      </c>
      <c r="X11" s="1505"/>
      <c r="Y11" s="3474"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v>100</v>
      </c>
      <c r="G12" s="522"/>
      <c r="H12" s="253">
        <v>100</v>
      </c>
      <c r="I12" s="522"/>
      <c r="J12" s="253">
        <v>100</v>
      </c>
      <c r="K12" s="525"/>
      <c r="L12" s="2020"/>
      <c r="M12" s="2059"/>
      <c r="N12" s="2059"/>
      <c r="O12" s="2021"/>
      <c r="P12" s="3528"/>
      <c r="Q12" s="1134" t="str">
        <f t="shared" si="6"/>
        <v>土地使用年限（年）</v>
      </c>
      <c r="R12" s="1503" t="s">
        <v>8</v>
      </c>
      <c r="S12" s="1504">
        <f t="shared" si="0"/>
        <v>100</v>
      </c>
      <c r="T12" s="1503" t="s">
        <v>8</v>
      </c>
      <c r="U12" s="1504">
        <f t="shared" si="1"/>
        <v>100</v>
      </c>
      <c r="V12" s="1503" t="s">
        <v>8</v>
      </c>
      <c r="W12" s="1504">
        <f t="shared" si="2"/>
        <v>100</v>
      </c>
      <c r="X12" s="1505"/>
      <c r="Y12" s="3474"/>
      <c r="Z12" s="1133" t="str">
        <f t="shared" si="7"/>
        <v>土地使用年限（年）</v>
      </c>
      <c r="AA12" s="1506">
        <f t="shared" si="3"/>
        <v>1</v>
      </c>
      <c r="AB12" s="1506">
        <f t="shared" si="4"/>
        <v>1</v>
      </c>
      <c r="AC12" s="1506">
        <f t="shared" si="5"/>
        <v>1</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28"/>
      <c r="Q13" s="1134" t="str">
        <f t="shared" si="6"/>
        <v>容积率</v>
      </c>
      <c r="R13" s="1503" t="s">
        <v>8</v>
      </c>
      <c r="S13" s="1504">
        <f t="shared" si="0"/>
        <v>100</v>
      </c>
      <c r="T13" s="1503" t="s">
        <v>8</v>
      </c>
      <c r="U13" s="1504">
        <f t="shared" si="1"/>
        <v>100</v>
      </c>
      <c r="V13" s="1503" t="s">
        <v>8</v>
      </c>
      <c r="W13" s="1504">
        <f t="shared" si="2"/>
        <v>100</v>
      </c>
      <c r="X13" s="1505"/>
      <c r="Y13" s="3474"/>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8"/>
      <c r="Q14" s="1134">
        <f t="shared" si="6"/>
        <v>111</v>
      </c>
      <c r="R14" s="1503" t="s">
        <v>8</v>
      </c>
      <c r="S14" s="1504">
        <f t="shared" si="0"/>
        <v>100</v>
      </c>
      <c r="T14" s="1503" t="s">
        <v>8</v>
      </c>
      <c r="U14" s="1504">
        <f t="shared" si="1"/>
        <v>100</v>
      </c>
      <c r="V14" s="1503" t="s">
        <v>8</v>
      </c>
      <c r="W14" s="1504">
        <f t="shared" si="2"/>
        <v>100</v>
      </c>
      <c r="X14" s="1505"/>
      <c r="Y14" s="3474"/>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8"/>
      <c r="Q15" s="1134">
        <f t="shared" si="6"/>
        <v>111</v>
      </c>
      <c r="R15" s="1503" t="s">
        <v>8</v>
      </c>
      <c r="S15" s="1504">
        <f t="shared" si="0"/>
        <v>100</v>
      </c>
      <c r="T15" s="1503" t="s">
        <v>8</v>
      </c>
      <c r="U15" s="1504">
        <f t="shared" si="1"/>
        <v>100</v>
      </c>
      <c r="V15" s="1503" t="s">
        <v>8</v>
      </c>
      <c r="W15" s="1504">
        <f t="shared" si="2"/>
        <v>100</v>
      </c>
      <c r="X15" s="1505"/>
      <c r="Y15" s="3474"/>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8"/>
      <c r="Q16" s="1134">
        <f t="shared" si="6"/>
        <v>111</v>
      </c>
      <c r="R16" s="1503" t="s">
        <v>8</v>
      </c>
      <c r="S16" s="1504">
        <f t="shared" si="0"/>
        <v>100</v>
      </c>
      <c r="T16" s="1503" t="s">
        <v>8</v>
      </c>
      <c r="U16" s="1504">
        <f t="shared" si="1"/>
        <v>100</v>
      </c>
      <c r="V16" s="1503" t="s">
        <v>8</v>
      </c>
      <c r="W16" s="1504">
        <f t="shared" si="2"/>
        <v>100</v>
      </c>
      <c r="X16" s="1505"/>
      <c r="Y16" s="3474"/>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98</v>
      </c>
      <c r="G17" s="544"/>
      <c r="H17" s="543">
        <f>SUMIF(85:85,G18,86:86)-SUMIF(85:85,C18,86:86)+100</f>
        <v>100</v>
      </c>
      <c r="I17" s="546"/>
      <c r="J17" s="543">
        <f>SUMIF(85:85,I18,86:86)-SUMIF(85:85,C18,86:86)+100</f>
        <v>98</v>
      </c>
      <c r="K17" s="529">
        <v>2</v>
      </c>
      <c r="L17" s="2024"/>
      <c r="M17" s="2016"/>
      <c r="N17" s="2016"/>
      <c r="O17" s="2023"/>
      <c r="P17" s="3562" t="s">
        <v>534</v>
      </c>
      <c r="Q17" s="1507" t="str">
        <f t="shared" si="6"/>
        <v>产业集聚程度</v>
      </c>
      <c r="R17" s="1508" t="s">
        <v>8</v>
      </c>
      <c r="S17" s="1509">
        <f t="shared" si="0"/>
        <v>98</v>
      </c>
      <c r="T17" s="1508" t="s">
        <v>8</v>
      </c>
      <c r="U17" s="1509">
        <f t="shared" si="1"/>
        <v>100</v>
      </c>
      <c r="V17" s="1508" t="s">
        <v>8</v>
      </c>
      <c r="W17" s="1509">
        <f t="shared" si="2"/>
        <v>98</v>
      </c>
      <c r="X17" s="1502"/>
      <c r="Y17" s="3562" t="s">
        <v>534</v>
      </c>
      <c r="Z17" s="1510" t="str">
        <f t="shared" si="7"/>
        <v>产业集聚程度</v>
      </c>
      <c r="AA17" s="1511">
        <f t="shared" si="3"/>
        <v>1.0204081632653061</v>
      </c>
      <c r="AB17" s="1511">
        <f t="shared" si="4"/>
        <v>1</v>
      </c>
      <c r="AC17" s="1511">
        <f t="shared" si="5"/>
        <v>1.0204081632653061</v>
      </c>
    </row>
    <row r="18" spans="1:29" ht="15">
      <c r="A18" s="526"/>
      <c r="B18" s="858"/>
      <c r="C18" s="570" t="s">
        <v>3079</v>
      </c>
      <c r="D18" s="549"/>
      <c r="E18" s="548" t="s">
        <v>3081</v>
      </c>
      <c r="F18" s="549"/>
      <c r="G18" s="548" t="s">
        <v>3079</v>
      </c>
      <c r="H18" s="553"/>
      <c r="I18" s="548" t="s">
        <v>3081</v>
      </c>
      <c r="J18" s="549"/>
      <c r="K18" s="525"/>
      <c r="L18" s="2024"/>
      <c r="M18" s="2016"/>
      <c r="N18" s="2016"/>
      <c r="O18" s="2023"/>
      <c r="P18" s="3563"/>
      <c r="Q18" s="1507"/>
      <c r="R18" s="1508"/>
      <c r="S18" s="1509"/>
      <c r="T18" s="1508"/>
      <c r="U18" s="1509"/>
      <c r="V18" s="1508"/>
      <c r="W18" s="1509"/>
      <c r="X18" s="1502"/>
      <c r="Y18" s="3563"/>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3"/>
      <c r="Q19" s="1507" t="str">
        <f>B19</f>
        <v>交通便捷度</v>
      </c>
      <c r="R19" s="1508" t="s">
        <v>8</v>
      </c>
      <c r="S19" s="1509">
        <f>F19</f>
        <v>100</v>
      </c>
      <c r="T19" s="1508" t="s">
        <v>8</v>
      </c>
      <c r="U19" s="1509">
        <f>H19</f>
        <v>100</v>
      </c>
      <c r="V19" s="1508" t="s">
        <v>8</v>
      </c>
      <c r="W19" s="1509">
        <f>J19</f>
        <v>100</v>
      </c>
      <c r="X19" s="1502"/>
      <c r="Y19" s="356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63"/>
      <c r="Q20" s="1507"/>
      <c r="R20" s="1508"/>
      <c r="S20" s="1509"/>
      <c r="T20" s="1508"/>
      <c r="U20" s="1509"/>
      <c r="V20" s="1508"/>
      <c r="W20" s="1509"/>
      <c r="X20" s="1502"/>
      <c r="Y20" s="356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63"/>
      <c r="Q21" s="1507" t="str">
        <f t="shared" ref="Q21:Q35" si="8">B21</f>
        <v>区域土地利用方向</v>
      </c>
      <c r="R21" s="1508" t="s">
        <v>8</v>
      </c>
      <c r="S21" s="1509">
        <f>F21</f>
        <v>100</v>
      </c>
      <c r="T21" s="1508" t="s">
        <v>8</v>
      </c>
      <c r="U21" s="1509">
        <f>H21</f>
        <v>100</v>
      </c>
      <c r="V21" s="1508" t="s">
        <v>8</v>
      </c>
      <c r="W21" s="1509">
        <f>J21</f>
        <v>100</v>
      </c>
      <c r="X21" s="1502"/>
      <c r="Y21" s="356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63"/>
      <c r="Q22" s="1507"/>
      <c r="R22" s="1508"/>
      <c r="S22" s="1509"/>
      <c r="T22" s="1508"/>
      <c r="U22" s="1509"/>
      <c r="V22" s="1508"/>
      <c r="W22" s="1509"/>
      <c r="X22" s="1502"/>
      <c r="Y22" s="3563"/>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107</v>
      </c>
      <c r="I23" s="558"/>
      <c r="J23" s="553">
        <f>SUMIF(91:91,I24,92:92)-SUMIF(91:91,C24,92:92)+100</f>
        <v>100</v>
      </c>
      <c r="K23" s="529">
        <v>7</v>
      </c>
      <c r="L23" s="2024"/>
      <c r="M23" s="2016"/>
      <c r="N23" s="2016"/>
      <c r="O23" s="2023"/>
      <c r="P23" s="3563"/>
      <c r="Q23" s="1507" t="str">
        <f t="shared" si="8"/>
        <v>环境状况</v>
      </c>
      <c r="R23" s="1508" t="s">
        <v>8</v>
      </c>
      <c r="S23" s="1509">
        <f>F23</f>
        <v>100</v>
      </c>
      <c r="T23" s="1508" t="s">
        <v>8</v>
      </c>
      <c r="U23" s="1509">
        <f>H23</f>
        <v>107</v>
      </c>
      <c r="V23" s="1508" t="s">
        <v>8</v>
      </c>
      <c r="W23" s="1509">
        <f>J23</f>
        <v>100</v>
      </c>
      <c r="X23" s="1502"/>
      <c r="Y23" s="3563"/>
      <c r="Z23" s="1510" t="str">
        <f>Q23</f>
        <v>环境状况</v>
      </c>
      <c r="AA23" s="1511">
        <f t="shared" si="3"/>
        <v>1</v>
      </c>
      <c r="AB23" s="1511">
        <f t="shared" si="4"/>
        <v>0.93457943925233644</v>
      </c>
      <c r="AC23" s="1511">
        <f t="shared" si="5"/>
        <v>1</v>
      </c>
    </row>
    <row r="24" spans="1:29" ht="15">
      <c r="A24" s="509"/>
      <c r="B24" s="589"/>
      <c r="C24" s="570" t="s">
        <v>3079</v>
      </c>
      <c r="D24" s="549"/>
      <c r="E24" s="548" t="s">
        <v>3079</v>
      </c>
      <c r="F24" s="549"/>
      <c r="G24" s="548" t="s">
        <v>3080</v>
      </c>
      <c r="H24" s="549"/>
      <c r="I24" s="570" t="s">
        <v>3079</v>
      </c>
      <c r="J24" s="549"/>
      <c r="K24" s="525"/>
      <c r="L24" s="2024"/>
      <c r="M24" s="2016"/>
      <c r="N24" s="2016"/>
      <c r="O24" s="2023"/>
      <c r="P24" s="3563"/>
      <c r="Q24" s="1507"/>
      <c r="R24" s="1508"/>
      <c r="S24" s="1509"/>
      <c r="T24" s="1508"/>
      <c r="U24" s="1509"/>
      <c r="V24" s="1508"/>
      <c r="W24" s="1509"/>
      <c r="X24" s="1502"/>
      <c r="Y24" s="3563"/>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3"/>
      <c r="Q25" s="1134" t="str">
        <f t="shared" si="8"/>
        <v>公共配套设施</v>
      </c>
      <c r="R25" s="1503" t="s">
        <v>8</v>
      </c>
      <c r="S25" s="1504">
        <f>F25</f>
        <v>100</v>
      </c>
      <c r="T25" s="1503" t="s">
        <v>8</v>
      </c>
      <c r="U25" s="1504">
        <f>H25</f>
        <v>100</v>
      </c>
      <c r="V25" s="1503" t="s">
        <v>8</v>
      </c>
      <c r="W25" s="1504">
        <f>J25</f>
        <v>100</v>
      </c>
      <c r="X25" s="1505"/>
      <c r="Y25" s="3563"/>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63"/>
      <c r="Q26" s="1134"/>
      <c r="R26" s="1503"/>
      <c r="S26" s="1504"/>
      <c r="T26" s="1503"/>
      <c r="U26" s="1504"/>
      <c r="V26" s="1503"/>
      <c r="W26" s="1504"/>
      <c r="X26" s="1505"/>
      <c r="Y26" s="3563"/>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3"/>
      <c r="Q27" s="2428" t="str">
        <f t="shared" ref="Q27" si="9">B27</f>
        <v>基础设施水平</v>
      </c>
      <c r="R27" s="1503" t="s">
        <v>8</v>
      </c>
      <c r="S27" s="1504">
        <f>F27</f>
        <v>100</v>
      </c>
      <c r="T27" s="1503" t="s">
        <v>8</v>
      </c>
      <c r="U27" s="1504">
        <f>H27</f>
        <v>100</v>
      </c>
      <c r="V27" s="1503" t="s">
        <v>8</v>
      </c>
      <c r="W27" s="1504">
        <f>J27</f>
        <v>100</v>
      </c>
      <c r="X27" s="1505"/>
      <c r="Y27" s="3563"/>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63"/>
      <c r="Q28" s="2428"/>
      <c r="R28" s="1503"/>
      <c r="S28" s="1504"/>
      <c r="T28" s="1503"/>
      <c r="U28" s="1504"/>
      <c r="V28" s="1503"/>
      <c r="W28" s="1504"/>
      <c r="X28" s="1505"/>
      <c r="Y28" s="3563"/>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63"/>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3"/>
      <c r="Q30" s="1507" t="str">
        <f t="shared" si="8"/>
        <v>毗邻道路的类型与等级</v>
      </c>
      <c r="R30" s="1508" t="s">
        <v>8</v>
      </c>
      <c r="S30" s="1509">
        <f t="shared" si="10"/>
        <v>100</v>
      </c>
      <c r="T30" s="1508" t="s">
        <v>8</v>
      </c>
      <c r="U30" s="1509">
        <f t="shared" si="11"/>
        <v>100</v>
      </c>
      <c r="V30" s="1508" t="s">
        <v>8</v>
      </c>
      <c r="W30" s="1509">
        <f t="shared" si="12"/>
        <v>100</v>
      </c>
      <c r="X30" s="1502"/>
      <c r="Y30" s="356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63"/>
      <c r="Q31" s="1507"/>
      <c r="R31" s="1508"/>
      <c r="S31" s="1509"/>
      <c r="T31" s="1508"/>
      <c r="U31" s="1509"/>
      <c r="V31" s="1508"/>
      <c r="W31" s="1509"/>
      <c r="X31" s="1502"/>
      <c r="Y31" s="3563"/>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3"/>
      <c r="Q32" s="1507" t="str">
        <f t="shared" si="8"/>
        <v>土地级别</v>
      </c>
      <c r="R32" s="1508" t="s">
        <v>8</v>
      </c>
      <c r="S32" s="1509">
        <f t="shared" si="10"/>
        <v>100</v>
      </c>
      <c r="T32" s="1508" t="s">
        <v>8</v>
      </c>
      <c r="U32" s="1509">
        <f t="shared" si="11"/>
        <v>100</v>
      </c>
      <c r="V32" s="1508" t="s">
        <v>8</v>
      </c>
      <c r="W32" s="1509">
        <f t="shared" si="12"/>
        <v>100</v>
      </c>
      <c r="X32" s="1502"/>
      <c r="Y32" s="3563"/>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3"/>
      <c r="Q33" s="1507">
        <f t="shared" si="8"/>
        <v>111</v>
      </c>
      <c r="R33" s="1508" t="s">
        <v>8</v>
      </c>
      <c r="S33" s="1509">
        <f t="shared" si="10"/>
        <v>100</v>
      </c>
      <c r="T33" s="1508" t="s">
        <v>8</v>
      </c>
      <c r="U33" s="1509">
        <f t="shared" si="11"/>
        <v>100</v>
      </c>
      <c r="V33" s="1508" t="s">
        <v>8</v>
      </c>
      <c r="W33" s="1509">
        <f t="shared" si="12"/>
        <v>100</v>
      </c>
      <c r="X33" s="1502"/>
      <c r="Y33" s="3563"/>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4" t="s">
        <v>544</v>
      </c>
      <c r="Q34" s="1507">
        <f t="shared" si="8"/>
        <v>111</v>
      </c>
      <c r="R34" s="1508" t="s">
        <v>8</v>
      </c>
      <c r="S34" s="1509">
        <f t="shared" si="10"/>
        <v>100</v>
      </c>
      <c r="T34" s="1508" t="s">
        <v>8</v>
      </c>
      <c r="U34" s="1509">
        <f t="shared" si="11"/>
        <v>100</v>
      </c>
      <c r="V34" s="1508" t="s">
        <v>8</v>
      </c>
      <c r="W34" s="1509">
        <f t="shared" si="12"/>
        <v>100</v>
      </c>
      <c r="X34" s="1502"/>
      <c r="Y34" s="3565"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5"/>
      <c r="Q35" s="1507">
        <f t="shared" si="8"/>
        <v>111</v>
      </c>
      <c r="R35" s="1512" t="s">
        <v>8</v>
      </c>
      <c r="S35" s="1513">
        <f t="shared" si="10"/>
        <v>100</v>
      </c>
      <c r="T35" s="1512" t="s">
        <v>8</v>
      </c>
      <c r="U35" s="1513">
        <f t="shared" si="11"/>
        <v>100</v>
      </c>
      <c r="V35" s="1512" t="s">
        <v>8</v>
      </c>
      <c r="W35" s="1513">
        <f t="shared" si="12"/>
        <v>100</v>
      </c>
      <c r="X35" s="1514"/>
      <c r="Y35" s="3565"/>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65"/>
      <c r="Q36" s="1507" t="str">
        <f>B36</f>
        <v>宗地面积</v>
      </c>
      <c r="R36" s="1508" t="s">
        <v>8</v>
      </c>
      <c r="S36" s="1509">
        <f t="shared" si="10"/>
        <v>100</v>
      </c>
      <c r="T36" s="1508" t="s">
        <v>8</v>
      </c>
      <c r="U36" s="1509">
        <f t="shared" si="11"/>
        <v>100</v>
      </c>
      <c r="V36" s="1508" t="s">
        <v>8</v>
      </c>
      <c r="W36" s="1509">
        <f t="shared" si="12"/>
        <v>100</v>
      </c>
      <c r="X36" s="1502"/>
      <c r="Y36" s="3565"/>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5"/>
      <c r="Q37" s="1507" t="str">
        <f t="shared" ref="Q37:Q42" si="14">B37</f>
        <v>宗地形状</v>
      </c>
      <c r="R37" s="1508" t="s">
        <v>8</v>
      </c>
      <c r="S37" s="1509">
        <f t="shared" si="10"/>
        <v>100</v>
      </c>
      <c r="T37" s="1508" t="s">
        <v>8</v>
      </c>
      <c r="U37" s="1509">
        <f t="shared" si="11"/>
        <v>100</v>
      </c>
      <c r="V37" s="1508" t="s">
        <v>8</v>
      </c>
      <c r="W37" s="1509">
        <f t="shared" si="12"/>
        <v>100</v>
      </c>
      <c r="X37" s="1502"/>
      <c r="Y37" s="3565"/>
      <c r="Z37" s="1510" t="str">
        <f t="shared" si="13"/>
        <v>宗地形状</v>
      </c>
      <c r="AA37" s="1511">
        <f t="shared" si="3"/>
        <v>1</v>
      </c>
      <c r="AB37" s="1511">
        <f t="shared" si="4"/>
        <v>1</v>
      </c>
      <c r="AC37" s="1511">
        <f t="shared" si="5"/>
        <v>1</v>
      </c>
    </row>
    <row r="38" spans="1:29" s="1203" customFormat="1" ht="15">
      <c r="A38" s="594"/>
      <c r="B38" s="1809" t="s">
        <v>2409</v>
      </c>
      <c r="C38" s="595" t="s">
        <v>3141</v>
      </c>
      <c r="D38" s="253">
        <v>100</v>
      </c>
      <c r="E38" s="595" t="s">
        <v>3084</v>
      </c>
      <c r="F38" s="534">
        <f>SUMIF(114:114,E38,115:115)-SUMIF(114:114,C38,115:115)+100</f>
        <v>105</v>
      </c>
      <c r="G38" s="595" t="s">
        <v>3084</v>
      </c>
      <c r="H38" s="534">
        <f>SUMIF(114:114,G38,115:115)-SUMIF(114:114,C38,115:115)+100</f>
        <v>105</v>
      </c>
      <c r="I38" s="595" t="s">
        <v>3084</v>
      </c>
      <c r="J38" s="534">
        <f>SUMIF(114:114,I38,115:115)-SUMIF(114:114,C38,115:115)+100</f>
        <v>105</v>
      </c>
      <c r="K38" s="578">
        <v>5</v>
      </c>
      <c r="L38" s="2017"/>
      <c r="M38" s="2018"/>
      <c r="N38" s="2018"/>
      <c r="O38" s="2019"/>
      <c r="P38" s="3565"/>
      <c r="Q38" s="1507" t="str">
        <f t="shared" si="14"/>
        <v>宗地开发程度</v>
      </c>
      <c r="R38" s="1503" t="s">
        <v>8</v>
      </c>
      <c r="S38" s="1504">
        <f t="shared" si="10"/>
        <v>105</v>
      </c>
      <c r="T38" s="1503" t="s">
        <v>8</v>
      </c>
      <c r="U38" s="1504">
        <f t="shared" si="11"/>
        <v>105</v>
      </c>
      <c r="V38" s="1503" t="s">
        <v>8</v>
      </c>
      <c r="W38" s="1504">
        <f t="shared" si="12"/>
        <v>105</v>
      </c>
      <c r="X38" s="1505"/>
      <c r="Y38" s="3565"/>
      <c r="Z38" s="1133" t="str">
        <f t="shared" si="13"/>
        <v>宗地开发程度</v>
      </c>
      <c r="AA38" s="1506">
        <f t="shared" si="3"/>
        <v>0.95238095238095233</v>
      </c>
      <c r="AB38" s="1506">
        <f t="shared" si="4"/>
        <v>0.95238095238095233</v>
      </c>
      <c r="AC38" s="1506">
        <f t="shared" si="5"/>
        <v>0.95238095238095233</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5" t="s">
        <v>595</v>
      </c>
      <c r="Q39" s="1507" t="str">
        <f t="shared" si="14"/>
        <v>工程地质条件</v>
      </c>
      <c r="R39" s="1508" t="s">
        <v>8</v>
      </c>
      <c r="S39" s="1509">
        <f t="shared" si="10"/>
        <v>100</v>
      </c>
      <c r="T39" s="1508" t="s">
        <v>8</v>
      </c>
      <c r="U39" s="1509">
        <f t="shared" si="11"/>
        <v>100</v>
      </c>
      <c r="V39" s="1508" t="s">
        <v>8</v>
      </c>
      <c r="W39" s="1509">
        <f t="shared" si="12"/>
        <v>100</v>
      </c>
      <c r="X39" s="1502"/>
      <c r="Y39" s="3565"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5"/>
      <c r="Q40" s="1507">
        <f t="shared" si="14"/>
        <v>111</v>
      </c>
      <c r="R40" s="1508" t="s">
        <v>8</v>
      </c>
      <c r="S40" s="1509">
        <f t="shared" si="10"/>
        <v>100</v>
      </c>
      <c r="T40" s="1508" t="s">
        <v>8</v>
      </c>
      <c r="U40" s="1509">
        <f t="shared" si="11"/>
        <v>100</v>
      </c>
      <c r="V40" s="1508" t="s">
        <v>8</v>
      </c>
      <c r="W40" s="1509">
        <f t="shared" si="12"/>
        <v>100</v>
      </c>
      <c r="X40" s="1502"/>
      <c r="Y40" s="3565"/>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5"/>
      <c r="Q41" s="1507">
        <f t="shared" si="14"/>
        <v>111</v>
      </c>
      <c r="R41" s="1508" t="s">
        <v>8</v>
      </c>
      <c r="S41" s="1509">
        <f t="shared" si="10"/>
        <v>100</v>
      </c>
      <c r="T41" s="1508" t="s">
        <v>8</v>
      </c>
      <c r="U41" s="1509">
        <f t="shared" si="11"/>
        <v>100</v>
      </c>
      <c r="V41" s="1508" t="s">
        <v>8</v>
      </c>
      <c r="W41" s="1509">
        <f t="shared" si="12"/>
        <v>100</v>
      </c>
      <c r="X41" s="1502"/>
      <c r="Y41" s="3565"/>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5"/>
      <c r="Q42" s="1507">
        <f t="shared" si="14"/>
        <v>111</v>
      </c>
      <c r="R42" s="1512" t="s">
        <v>8</v>
      </c>
      <c r="S42" s="1513">
        <f t="shared" si="10"/>
        <v>100</v>
      </c>
      <c r="T42" s="1512" t="s">
        <v>8</v>
      </c>
      <c r="U42" s="1513">
        <f t="shared" si="11"/>
        <v>100</v>
      </c>
      <c r="V42" s="1512" t="s">
        <v>8</v>
      </c>
      <c r="W42" s="1513">
        <f t="shared" si="12"/>
        <v>100</v>
      </c>
      <c r="X42" s="1514"/>
      <c r="Y42" s="3565"/>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v>
      </c>
      <c r="H43" s="608"/>
      <c r="I43" s="605">
        <f>案例!V8</f>
        <v>1349.43</v>
      </c>
      <c r="J43" s="608"/>
      <c r="K43" s="1294"/>
      <c r="L43" s="2026"/>
      <c r="M43" s="2016"/>
      <c r="N43" s="2016"/>
      <c r="O43" s="2027"/>
      <c r="P43" s="3528" t="str">
        <f>A43</f>
        <v>成交单价</v>
      </c>
      <c r="Q43" s="3528"/>
      <c r="R43" s="3529">
        <f>E43</f>
        <v>1349.43</v>
      </c>
      <c r="S43" s="3529"/>
      <c r="T43" s="3529">
        <f>G43</f>
        <v>1874.09</v>
      </c>
      <c r="U43" s="3529"/>
      <c r="V43" s="3529">
        <f>I43</f>
        <v>1349.43</v>
      </c>
      <c r="W43" s="3529"/>
      <c r="X43" s="1497"/>
      <c r="Y43" s="1516"/>
      <c r="Z43" s="1497"/>
      <c r="AA43" s="1497"/>
      <c r="AB43" s="1497"/>
      <c r="AC43" s="1497"/>
    </row>
    <row r="44" spans="1:29" ht="15.75" thickBot="1">
      <c r="A44" s="609" t="s">
        <v>2674</v>
      </c>
      <c r="B44" s="610"/>
      <c r="C44" s="611">
        <f>R45</f>
        <v>1576</v>
      </c>
      <c r="D44" s="3014" t="s">
        <v>2969</v>
      </c>
      <c r="E44" s="611">
        <f>R44</f>
        <v>1483</v>
      </c>
      <c r="F44" s="3015"/>
      <c r="G44" s="612">
        <f>T44</f>
        <v>1886</v>
      </c>
      <c r="H44" s="3015"/>
      <c r="I44" s="611">
        <f>V44</f>
        <v>1359</v>
      </c>
      <c r="J44" s="3015"/>
      <c r="K44" s="3016">
        <f>F44+H44+J44</f>
        <v>0</v>
      </c>
      <c r="L44" s="2026"/>
      <c r="M44" s="2016"/>
      <c r="N44" s="2016"/>
      <c r="O44" s="2027"/>
      <c r="P44" s="3528" t="str">
        <f>A44</f>
        <v>比较价格（元/平方米）</v>
      </c>
      <c r="Q44" s="3528"/>
      <c r="R44" s="3530">
        <f>ROUND(PRODUCT(R43,AA9:AA42),0)</f>
        <v>1483</v>
      </c>
      <c r="S44" s="3530"/>
      <c r="T44" s="3530">
        <f>ROUND(PRODUCT(T43,AB9:AB42),0)</f>
        <v>1886</v>
      </c>
      <c r="U44" s="3530"/>
      <c r="V44" s="3530">
        <f>ROUND(PRODUCT(V43,AC9:AC42),0)</f>
        <v>1359</v>
      </c>
      <c r="W44" s="3530"/>
      <c r="X44" s="1497"/>
      <c r="Y44" s="1497"/>
      <c r="Z44" s="1497"/>
      <c r="AA44" s="1497"/>
      <c r="AB44" s="1497"/>
      <c r="AC44" s="1497"/>
    </row>
    <row r="45" spans="1:29" ht="15.75" thickBot="1">
      <c r="A45" s="613" t="s">
        <v>2904</v>
      </c>
      <c r="B45" s="614"/>
      <c r="C45" s="615">
        <f>R45</f>
        <v>1576</v>
      </c>
      <c r="D45" s="615"/>
      <c r="E45" s="615"/>
      <c r="F45" s="615"/>
      <c r="G45" s="615"/>
      <c r="H45" s="615"/>
      <c r="I45" s="615"/>
      <c r="J45" s="615"/>
      <c r="K45" s="1295"/>
      <c r="L45" s="2026"/>
      <c r="M45" s="2016"/>
      <c r="N45" s="2016"/>
      <c r="O45" s="2027"/>
      <c r="P45" s="3525" t="str">
        <f>A45</f>
        <v>估价对象XX用房的比较价格（楼面单价，元/平方米）</v>
      </c>
      <c r="Q45" s="3526"/>
      <c r="R45" s="3577">
        <f>ROUND(IF(D44="简单平均",AVERAGE(R44:W44),R44*F44+T44*H44+V44*J44),0)</f>
        <v>1576</v>
      </c>
      <c r="S45" s="3577"/>
      <c r="T45" s="3577"/>
      <c r="U45" s="3577"/>
      <c r="V45" s="3577"/>
      <c r="W45" s="3577"/>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9.898253336593954E-2</v>
      </c>
      <c r="F48" s="619" t="str">
        <f>IF(OR(E48&gt;=0.3,E48&lt;=-0.3),"超过30%","")</f>
        <v/>
      </c>
      <c r="G48" s="618">
        <f>IF(G43&lt;G44,G44/G43-1,G43/G44-1)</f>
        <v>6.3550843342636831E-3</v>
      </c>
      <c r="H48" s="619" t="str">
        <f>IF(OR(G48&gt;=0.3,G48&lt;=-0.3),"超过30%","")</f>
        <v/>
      </c>
      <c r="I48" s="618">
        <f>IF(I43&lt;I44,I44/I43-1,I43/I44-1)</f>
        <v>7.091883239590091E-3</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0.27174645987862434</v>
      </c>
      <c r="F49" s="619" t="str">
        <f>IF(OR(E49&gt;=0.2,E49&lt;=-0.2),"超过20%","")</f>
        <v>超过20%</v>
      </c>
      <c r="G49" s="618">
        <f>IF(G44&lt;I44,I44/G44-1,G44/I44-1)</f>
        <v>0.38778513612950705</v>
      </c>
      <c r="H49" s="619" t="str">
        <f>IF(OR(G49&gt;=0.2,G49&lt;=-0.2),"超过20%","")</f>
        <v>超过20%</v>
      </c>
      <c r="I49" s="618">
        <f>IF(I44&lt;E44,E44/I44-1,I44/E44-1)</f>
        <v>9.1243561442236887E-2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0.38880119754266595</v>
      </c>
      <c r="F50" s="619" t="str">
        <f>IF(OR(E50&gt;=0.3,E50&lt;=-0.3),"超过30%","")</f>
        <v>超过30%</v>
      </c>
      <c r="G50" s="618">
        <f>IF(G43&lt;I43,I43/G43-1,G43/I43-1)</f>
        <v>0.38880119754266595</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72" t="s">
        <v>2272</v>
      </c>
      <c r="H52" s="3573"/>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1576</v>
      </c>
      <c r="C53" s="627">
        <v>1</v>
      </c>
      <c r="D53" s="2108">
        <v>1</v>
      </c>
      <c r="E53" s="627">
        <f>'数据-汇总表'!E8+'数据-汇总表'!E9</f>
        <v>44852.26</v>
      </c>
      <c r="F53" s="1864">
        <f t="shared" ref="F53:F62" si="15">ROUND(B53*E53/10000,0)</f>
        <v>7069</v>
      </c>
      <c r="G53" s="3574"/>
      <c r="H53" s="3575"/>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76"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76"/>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76"/>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76"/>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7069</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1"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09"/>
      <c r="D69" s="3310">
        <v>0</v>
      </c>
      <c r="E69" s="3310">
        <f>地价!L7</f>
        <v>7.0000000000000007E-2</v>
      </c>
      <c r="F69" s="3310">
        <f>地价!L8</f>
        <v>0.47</v>
      </c>
      <c r="G69" s="3310">
        <f>地价!L9</f>
        <v>0.27</v>
      </c>
      <c r="H69" s="3310">
        <f>地价!L10</f>
        <v>0.48</v>
      </c>
      <c r="I69" s="3310">
        <f>地价!L11</f>
        <v>1.03</v>
      </c>
      <c r="J69" s="3310">
        <f>地价!L12</f>
        <v>1.25</v>
      </c>
      <c r="K69" s="3310">
        <f>地价!L13</f>
        <v>1.1299999999999999</v>
      </c>
      <c r="L69" s="3310">
        <f>地价!L14</f>
        <v>1.29</v>
      </c>
      <c r="M69" s="3310">
        <f>地价!L15</f>
        <v>1.74</v>
      </c>
      <c r="N69" s="3310">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98</v>
      </c>
      <c r="E86" s="671">
        <f>D86-$K17</f>
        <v>96</v>
      </c>
      <c r="F86" s="671">
        <f>E86-$K17</f>
        <v>94</v>
      </c>
      <c r="G86" s="671">
        <f>F86-$K17</f>
        <v>92</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93</v>
      </c>
      <c r="E92" s="671">
        <f>D92-$K23</f>
        <v>86</v>
      </c>
      <c r="F92" s="671">
        <f>E92-$K23</f>
        <v>79</v>
      </c>
      <c r="G92" s="671">
        <f>F92-$K23</f>
        <v>72</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0(含)-1000000</v>
      </c>
      <c r="D109" s="696" t="str">
        <f t="shared" si="26"/>
        <v>1000000(含)-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1000000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3140</v>
      </c>
      <c r="D114" s="1327" t="s">
        <v>3085</v>
      </c>
      <c r="E114" s="1327" t="s">
        <v>3142</v>
      </c>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95</v>
      </c>
      <c r="E115" s="671">
        <f t="shared" si="28"/>
        <v>90</v>
      </c>
      <c r="F115" s="671">
        <f t="shared" si="28"/>
        <v>85</v>
      </c>
      <c r="G115" s="671">
        <f t="shared" si="28"/>
        <v>80</v>
      </c>
      <c r="H115" s="671">
        <f t="shared" si="28"/>
        <v>75</v>
      </c>
      <c r="I115" s="671">
        <f t="shared" si="28"/>
        <v>70</v>
      </c>
      <c r="J115" s="671">
        <f t="shared" si="28"/>
        <v>65</v>
      </c>
      <c r="K115" s="671">
        <f t="shared" si="28"/>
        <v>60</v>
      </c>
      <c r="L115" s="671">
        <f t="shared" si="28"/>
        <v>55</v>
      </c>
      <c r="M115" s="672">
        <f t="shared" si="28"/>
        <v>50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85" zoomScaleSheetLayoutView="100" workbookViewId="0">
      <selection activeCell="N16" sqref="N1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2516</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1089</v>
      </c>
      <c r="U2" s="2643"/>
      <c r="V2" s="2654">
        <f ca="1">ROUND(T2*U2/10000,0)</f>
        <v>0</v>
      </c>
      <c r="W2" s="2070"/>
      <c r="X2" s="2070"/>
      <c r="Y2" s="2070"/>
      <c r="Z2" s="2070"/>
      <c r="AA2" s="2070"/>
      <c r="AB2" s="2070"/>
      <c r="AC2" s="2071"/>
    </row>
    <row r="3" spans="1:39" ht="15.75">
      <c r="A3" s="1360" t="s">
        <v>1678</v>
      </c>
      <c r="B3" s="1025">
        <f ca="1">ROUND(B2*10000/D1,0)</f>
        <v>561</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718</v>
      </c>
      <c r="U3" s="2643"/>
      <c r="V3" s="2654">
        <f t="shared" ref="V3:V16" ca="1" si="1">ROUND(T3*U3/10000,0)</f>
        <v>0</v>
      </c>
      <c r="W3" s="2070"/>
      <c r="X3" s="2070"/>
      <c r="Y3" s="2070"/>
      <c r="Z3" s="2070"/>
      <c r="AA3" s="2070"/>
      <c r="AB3" s="2070"/>
      <c r="AC3" s="2071"/>
    </row>
    <row r="4" spans="1:39" ht="28.5">
      <c r="A4" s="1805" t="s">
        <v>2268</v>
      </c>
      <c r="B4" s="2308">
        <f ca="1">ROUND(B2*10000/F1,0)</f>
        <v>561</v>
      </c>
      <c r="C4" s="1808" t="s">
        <v>2243</v>
      </c>
      <c r="D4" s="1808">
        <f ca="1">ROUND(B2/(F1/666.67),0)</f>
        <v>37</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565</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425</v>
      </c>
      <c r="D5" s="2793">
        <f>ROUND(C6+C16,0)</f>
        <v>425</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422</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317</v>
      </c>
      <c r="U6" s="2643"/>
      <c r="V6" s="2654">
        <f t="shared" ca="1" si="1"/>
        <v>0</v>
      </c>
      <c r="W6" s="2070"/>
      <c r="X6" s="2070"/>
      <c r="Y6" s="2070"/>
      <c r="Z6" s="2070"/>
      <c r="AA6" s="2070"/>
      <c r="AB6" s="2070"/>
      <c r="AC6" s="2072"/>
      <c r="AD6" s="1368"/>
      <c r="AE6" s="1368"/>
      <c r="AF6" s="1368"/>
      <c r="AG6" s="1368"/>
      <c r="AH6" s="1368"/>
      <c r="AI6" s="1368"/>
      <c r="AJ6" s="1369"/>
    </row>
    <row r="7" spans="1:39" ht="24">
      <c r="A7" s="3592"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254</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93"/>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79" t="s">
        <v>2763</v>
      </c>
      <c r="X8" s="3580"/>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93"/>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78"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3"/>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7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3"/>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78"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9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78"/>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78"/>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9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9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92" t="s">
        <v>1829</v>
      </c>
      <c r="B16" s="1376" t="s">
        <v>941</v>
      </c>
      <c r="C16" s="1039">
        <f>ROUND(IF(F17="与级别开发程度一致",0,(G17-E17)/C17),0)</f>
        <v>-35</v>
      </c>
      <c r="D16" s="3586" t="s">
        <v>945</v>
      </c>
      <c r="E16" s="3587"/>
      <c r="F16" s="3586" t="s">
        <v>942</v>
      </c>
      <c r="G16" s="3587"/>
      <c r="H16" s="1408" t="s">
        <v>3078</v>
      </c>
      <c r="I16" s="1408" t="s">
        <v>3077</v>
      </c>
      <c r="J16" s="1408" t="s">
        <v>943</v>
      </c>
      <c r="K16" s="1408" t="s">
        <v>943</v>
      </c>
      <c r="L16" s="1408" t="s">
        <v>3082</v>
      </c>
      <c r="M16" s="1408" t="s">
        <v>3086</v>
      </c>
      <c r="N16" s="1408" t="s">
        <v>943</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96"/>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3076</v>
      </c>
      <c r="G17" s="2846">
        <f>SUM(H17:O17)</f>
        <v>120</v>
      </c>
      <c r="H17" s="1038">
        <f>SUMPRODUCT((七通一平=H16)*(修正!B1:M1=G2)*(修正!B6:M14))</f>
        <v>50</v>
      </c>
      <c r="I17" s="1038">
        <f>SUMPRODUCT((七通一平=I16)*(修正!B1:M1=G2)*(修正!B6:M14))</f>
        <v>40</v>
      </c>
      <c r="J17" s="1038">
        <f>SUMPRODUCT((七通一平=J16)*(修正!B1:M1=G2)*(修正!B6:M14))</f>
        <v>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44201</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2516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561</v>
      </c>
      <c r="D29" s="1444">
        <f>F1</f>
        <v>44852.26</v>
      </c>
      <c r="E29" s="1763">
        <f ca="1">ROUND(C29*D29/10000,0)</f>
        <v>2516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88"/>
      <c r="B33" s="1464" t="s">
        <v>990</v>
      </c>
      <c r="C33" s="1046">
        <f ca="1">ROUND(D5*C19*C20*C24*F33,0)</f>
        <v>336</v>
      </c>
      <c r="D33" s="1477"/>
      <c r="E33" s="1035">
        <f ca="1">ROUND(C33*D33/10000,0)</f>
        <v>0</v>
      </c>
      <c r="F33" s="1035">
        <f>SUMIF(修正!A45:A56,G2,修正!B45:B56)</f>
        <v>0.6</v>
      </c>
      <c r="G33" s="1035">
        <f t="shared" ref="G33" ca="1" si="6">ROUND(IF(E2="工业",C33*$M$39,C33*$M$38),0)</f>
        <v>50</v>
      </c>
      <c r="H33" s="1035">
        <f>D33</f>
        <v>0</v>
      </c>
      <c r="I33" s="1035">
        <f ca="1">ROUND(G33*H33/10000,0)</f>
        <v>0</v>
      </c>
      <c r="J33" s="3588"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89"/>
      <c r="B34" s="1394" t="s">
        <v>991</v>
      </c>
      <c r="C34" s="1046">
        <f ca="1">ROUND(D5*C19*C20*C24*F34,0)</f>
        <v>168</v>
      </c>
      <c r="D34" s="1477"/>
      <c r="E34" s="1035">
        <f t="shared" ref="E34:E39" ca="1" si="7">ROUND(C34*D34/10000,0)</f>
        <v>0</v>
      </c>
      <c r="F34" s="1035">
        <f>SUMIF(修正!A45:A56,G2,修正!C45:C56)</f>
        <v>0.3</v>
      </c>
      <c r="G34" s="1035">
        <f ca="1">ROUND(IF(E2="工业",C34*$M$39,C34*$M$38),0)</f>
        <v>25</v>
      </c>
      <c r="H34" s="1035">
        <f t="shared" ref="H34:H39" si="8">D34</f>
        <v>0</v>
      </c>
      <c r="I34" s="1035">
        <f t="shared" ref="I34:I39" ca="1" si="9">ROUND(G34*H34/10000,0)</f>
        <v>0</v>
      </c>
      <c r="J34" s="358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89"/>
      <c r="B35" s="1394" t="s">
        <v>992</v>
      </c>
      <c r="C35" s="1046">
        <f ca="1">ROUND(D5*C19*C20*C24*F35,0)</f>
        <v>112</v>
      </c>
      <c r="D35" s="1477"/>
      <c r="E35" s="1035">
        <f t="shared" ca="1" si="7"/>
        <v>0</v>
      </c>
      <c r="F35" s="1035">
        <f>SUMIF(修正!A45:A56,G2,修正!D45:D56)</f>
        <v>0.2</v>
      </c>
      <c r="G35" s="1035">
        <f ca="1">ROUND(IF(E2="工业",C35*$M$39,C35*$M$38),0)</f>
        <v>17</v>
      </c>
      <c r="H35" s="1035">
        <f t="shared" si="8"/>
        <v>0</v>
      </c>
      <c r="I35" s="1035">
        <f t="shared" ca="1" si="9"/>
        <v>0</v>
      </c>
      <c r="J35" s="358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90"/>
      <c r="B36" s="1394" t="s">
        <v>993</v>
      </c>
      <c r="C36" s="1046">
        <f ca="1">ROUND(D5*C19*C20*C24*F36,0)</f>
        <v>112</v>
      </c>
      <c r="D36" s="1477"/>
      <c r="E36" s="1035">
        <f t="shared" ca="1" si="7"/>
        <v>0</v>
      </c>
      <c r="F36" s="1035">
        <f>SUMIF(修正!A45:A56,G2,修正!E45:E56)</f>
        <v>0.2</v>
      </c>
      <c r="G36" s="1035">
        <f ca="1">ROUND(IF(E2="工业",C36*$M$39,C36*$M$38),0)</f>
        <v>17</v>
      </c>
      <c r="H36" s="1035">
        <f t="shared" si="8"/>
        <v>0</v>
      </c>
      <c r="I36" s="1035">
        <f t="shared" ca="1" si="9"/>
        <v>0</v>
      </c>
      <c r="J36" s="359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112</v>
      </c>
      <c r="D37" s="1477"/>
      <c r="E37" s="1035">
        <f t="shared" ca="1" si="7"/>
        <v>0</v>
      </c>
      <c r="F37" s="1046">
        <f>SUMIF(修正!A45:A56,G2,修正!F45:F56)</f>
        <v>0.2</v>
      </c>
      <c r="G37" s="1035">
        <f ca="1">ROUND(IF(E2="工业",C37*$M$39,C37*$M$38),0)</f>
        <v>17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3079</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3079</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3079</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3080</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3079</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3081</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3080</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3079</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97" t="s">
        <v>1624</v>
      </c>
      <c r="B90" s="3597"/>
      <c r="C90" s="3597"/>
      <c r="D90" s="3597"/>
      <c r="E90" s="3597"/>
      <c r="F90" s="3597"/>
      <c r="G90" s="3597"/>
      <c r="H90" s="3597"/>
      <c r="I90" s="3597"/>
      <c r="J90" s="3597"/>
      <c r="K90" s="2305"/>
      <c r="L90" s="2305"/>
      <c r="M90" s="2305"/>
      <c r="N90" s="2305"/>
    </row>
    <row r="91" spans="1:40">
      <c r="A91" s="3598" t="s">
        <v>1434</v>
      </c>
      <c r="B91" s="3598" t="s">
        <v>1625</v>
      </c>
      <c r="C91" s="1123" t="s">
        <v>1626</v>
      </c>
      <c r="D91" s="1124"/>
      <c r="E91" s="1124"/>
      <c r="F91" s="1124"/>
      <c r="G91" s="1124"/>
      <c r="H91" s="1124"/>
      <c r="I91" s="1124"/>
      <c r="J91" s="1125"/>
      <c r="K91" s="1117"/>
      <c r="L91" s="1117"/>
      <c r="M91" s="1117"/>
      <c r="N91" s="1117"/>
    </row>
    <row r="92" spans="1:40">
      <c r="A92" s="3598"/>
      <c r="B92" s="359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1"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2"/>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83"/>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81"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82"/>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82"/>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82"/>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82"/>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82"/>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82"/>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82"/>
      <c r="B108" s="3584"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83"/>
      <c r="B109" s="3585"/>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91" t="s">
        <v>1630</v>
      </c>
      <c r="B110" s="3591"/>
      <c r="C110" s="3591"/>
      <c r="D110" s="3591"/>
      <c r="E110" s="3591"/>
      <c r="F110" s="3591"/>
      <c r="G110" s="3591"/>
      <c r="H110" s="3591"/>
      <c r="I110" s="3591"/>
      <c r="J110" s="3591"/>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98" t="s">
        <v>998</v>
      </c>
      <c r="B18" s="1137" t="s">
        <v>1437</v>
      </c>
      <c r="C18" s="1114" t="s">
        <v>1438</v>
      </c>
      <c r="D18" s="1115"/>
      <c r="E18" s="1137">
        <v>1</v>
      </c>
      <c r="F18" s="1116" t="s">
        <v>1439</v>
      </c>
      <c r="G18" s="1117"/>
      <c r="H18" s="1088"/>
      <c r="I18" s="1088"/>
    </row>
    <row r="19" spans="1:9" s="1530" customFormat="1" ht="19.5" customHeight="1">
      <c r="A19" s="3598"/>
      <c r="B19" s="3598" t="s">
        <v>1440</v>
      </c>
      <c r="C19" s="1114" t="s">
        <v>1441</v>
      </c>
      <c r="D19" s="1115"/>
      <c r="E19" s="1137">
        <v>0.9</v>
      </c>
      <c r="F19" s="1116" t="s">
        <v>1442</v>
      </c>
      <c r="G19" s="1117"/>
      <c r="H19" s="1088"/>
      <c r="I19" s="1088"/>
    </row>
    <row r="20" spans="1:9" s="1530" customFormat="1" ht="19.5" customHeight="1">
      <c r="A20" s="3598"/>
      <c r="B20" s="3598"/>
      <c r="C20" s="1114" t="s">
        <v>1443</v>
      </c>
      <c r="D20" s="1115"/>
      <c r="E20" s="1137">
        <v>1.1000000000000001</v>
      </c>
      <c r="F20" s="1116" t="s">
        <v>1444</v>
      </c>
      <c r="G20" s="1117"/>
      <c r="H20" s="1088"/>
      <c r="I20" s="1088"/>
    </row>
    <row r="21" spans="1:9" s="1530" customFormat="1" ht="19.5" customHeight="1">
      <c r="A21" s="3598"/>
      <c r="B21" s="3598"/>
      <c r="C21" s="1114" t="s">
        <v>1445</v>
      </c>
      <c r="D21" s="1115"/>
      <c r="E21" s="1137">
        <v>0.8</v>
      </c>
      <c r="F21" s="1116" t="s">
        <v>1446</v>
      </c>
      <c r="G21" s="1117"/>
      <c r="H21" s="1088"/>
      <c r="I21" s="1088"/>
    </row>
    <row r="22" spans="1:9" s="1530" customFormat="1" ht="19.5" customHeight="1">
      <c r="A22" s="3598"/>
      <c r="B22" s="3598"/>
      <c r="C22" s="1114" t="s">
        <v>1447</v>
      </c>
      <c r="D22" s="1115"/>
      <c r="E22" s="1137">
        <v>0.5</v>
      </c>
      <c r="F22" s="1116"/>
      <c r="G22" s="1117"/>
      <c r="H22" s="1088"/>
      <c r="I22" s="1088"/>
    </row>
    <row r="23" spans="1:9" s="1530" customFormat="1" ht="19.5" customHeight="1">
      <c r="A23" s="3598" t="s">
        <v>1020</v>
      </c>
      <c r="B23" s="1137" t="s">
        <v>1437</v>
      </c>
      <c r="C23" s="1114" t="s">
        <v>1448</v>
      </c>
      <c r="D23" s="1115"/>
      <c r="E23" s="1137">
        <v>1</v>
      </c>
      <c r="F23" s="1116" t="s">
        <v>1449</v>
      </c>
      <c r="G23" s="1117"/>
      <c r="H23" s="1088"/>
      <c r="I23" s="1088"/>
    </row>
    <row r="24" spans="1:9" s="1530" customFormat="1" ht="19.5" customHeight="1">
      <c r="A24" s="3598"/>
      <c r="B24" s="3598" t="s">
        <v>1440</v>
      </c>
      <c r="C24" s="1114" t="s">
        <v>1450</v>
      </c>
      <c r="D24" s="1115"/>
      <c r="E24" s="1137">
        <v>0.5</v>
      </c>
      <c r="F24" s="1116"/>
      <c r="G24" s="1117"/>
      <c r="H24" s="1088"/>
      <c r="I24" s="1088"/>
    </row>
    <row r="25" spans="1:9" s="1530" customFormat="1" ht="19.5" customHeight="1">
      <c r="A25" s="3598"/>
      <c r="B25" s="3598"/>
      <c r="C25" s="1114" t="s">
        <v>1451</v>
      </c>
      <c r="D25" s="1115"/>
      <c r="E25" s="1137">
        <v>1.1000000000000001</v>
      </c>
      <c r="F25" s="1116"/>
      <c r="G25" s="1117"/>
      <c r="H25" s="1088"/>
      <c r="I25" s="1088"/>
    </row>
    <row r="26" spans="1:9" s="1530" customFormat="1" ht="19.5" customHeight="1">
      <c r="A26" s="3598"/>
      <c r="B26" s="3598"/>
      <c r="C26" s="1114" t="s">
        <v>1452</v>
      </c>
      <c r="D26" s="1115"/>
      <c r="E26" s="1137">
        <v>1.1000000000000001</v>
      </c>
      <c r="F26" s="1116"/>
      <c r="G26" s="1117"/>
      <c r="H26" s="1088"/>
      <c r="I26" s="1088"/>
    </row>
    <row r="27" spans="1:9" s="1530" customFormat="1" ht="19.5" customHeight="1">
      <c r="A27" s="3598"/>
      <c r="B27" s="3598"/>
      <c r="C27" s="1114" t="s">
        <v>1453</v>
      </c>
      <c r="D27" s="1115"/>
      <c r="E27" s="1137">
        <v>0.9</v>
      </c>
      <c r="F27" s="1116" t="s">
        <v>1454</v>
      </c>
      <c r="G27" s="1117"/>
      <c r="H27" s="1088"/>
      <c r="I27" s="1088"/>
    </row>
    <row r="28" spans="1:9" s="1530" customFormat="1" ht="19.5" customHeight="1">
      <c r="A28" s="3598"/>
      <c r="B28" s="3598"/>
      <c r="C28" s="1114" t="s">
        <v>1455</v>
      </c>
      <c r="D28" s="1115"/>
      <c r="E28" s="1137">
        <v>0.9</v>
      </c>
      <c r="F28" s="1116" t="s">
        <v>1456</v>
      </c>
      <c r="G28" s="1117"/>
      <c r="H28" s="1088"/>
      <c r="I28" s="1088"/>
    </row>
    <row r="29" spans="1:9" s="1530" customFormat="1" ht="19.5" customHeight="1">
      <c r="A29" s="3598"/>
      <c r="B29" s="3598"/>
      <c r="C29" s="1114" t="s">
        <v>1457</v>
      </c>
      <c r="D29" s="1115"/>
      <c r="E29" s="1137">
        <v>0.9</v>
      </c>
      <c r="F29" s="1116" t="s">
        <v>1458</v>
      </c>
      <c r="G29" s="1117"/>
      <c r="H29" s="1088"/>
      <c r="I29" s="1088"/>
    </row>
    <row r="30" spans="1:9" s="1530" customFormat="1" ht="19.5" customHeight="1">
      <c r="A30" s="3598"/>
      <c r="B30" s="3598"/>
      <c r="C30" s="1114" t="s">
        <v>1459</v>
      </c>
      <c r="D30" s="1115"/>
      <c r="E30" s="1137">
        <v>0.9</v>
      </c>
      <c r="F30" s="1116" t="s">
        <v>1460</v>
      </c>
      <c r="G30" s="1117"/>
      <c r="H30" s="1088"/>
      <c r="I30" s="1088"/>
    </row>
    <row r="31" spans="1:9" s="1530" customFormat="1" ht="19.5" customHeight="1">
      <c r="A31" s="3598"/>
      <c r="B31" s="3598"/>
      <c r="C31" s="1114" t="s">
        <v>1461</v>
      </c>
      <c r="D31" s="1115"/>
      <c r="E31" s="1137">
        <v>0.8</v>
      </c>
      <c r="F31" s="1116" t="s">
        <v>1462</v>
      </c>
      <c r="G31" s="1117"/>
      <c r="H31" s="1088"/>
      <c r="I31" s="1088"/>
    </row>
    <row r="32" spans="1:9" s="1530" customFormat="1" ht="19.5" customHeight="1">
      <c r="A32" s="3598"/>
      <c r="B32" s="3598"/>
      <c r="C32" s="1114" t="s">
        <v>1463</v>
      </c>
      <c r="D32" s="1115"/>
      <c r="E32" s="1137">
        <v>0.8</v>
      </c>
      <c r="F32" s="1116" t="s">
        <v>1464</v>
      </c>
      <c r="G32" s="1117"/>
      <c r="H32" s="1088"/>
      <c r="I32" s="1088"/>
    </row>
    <row r="33" spans="1:9" s="1530" customFormat="1" ht="19.5" customHeight="1">
      <c r="A33" s="3598" t="s">
        <v>1465</v>
      </c>
      <c r="B33" s="1137" t="s">
        <v>1437</v>
      </c>
      <c r="C33" s="1114" t="s">
        <v>1466</v>
      </c>
      <c r="D33" s="1115"/>
      <c r="E33" s="1137">
        <v>1</v>
      </c>
      <c r="F33" s="1116" t="s">
        <v>1467</v>
      </c>
      <c r="G33" s="1117"/>
      <c r="H33" s="1088"/>
      <c r="I33" s="1088"/>
    </row>
    <row r="34" spans="1:9" s="1530" customFormat="1" ht="19.5" customHeight="1">
      <c r="A34" s="3598"/>
      <c r="B34" s="1137" t="s">
        <v>1440</v>
      </c>
      <c r="C34" s="1114" t="s">
        <v>1468</v>
      </c>
      <c r="D34" s="1115"/>
      <c r="E34" s="1137">
        <v>1.5</v>
      </c>
      <c r="F34" s="1116" t="s">
        <v>1469</v>
      </c>
      <c r="G34" s="1117"/>
      <c r="H34" s="1088"/>
      <c r="I34" s="1088"/>
    </row>
    <row r="35" spans="1:9" s="1530" customFormat="1" ht="19.5" customHeight="1">
      <c r="A35" s="3598" t="s">
        <v>1423</v>
      </c>
      <c r="B35" s="1137" t="s">
        <v>1437</v>
      </c>
      <c r="C35" s="1114" t="s">
        <v>1470</v>
      </c>
      <c r="D35" s="1115"/>
      <c r="E35" s="1137">
        <v>1</v>
      </c>
      <c r="F35" s="1116" t="s">
        <v>1471</v>
      </c>
      <c r="G35" s="1117"/>
      <c r="H35" s="1088"/>
      <c r="I35" s="1088"/>
    </row>
    <row r="36" spans="1:9" s="1530" customFormat="1" ht="19.5" customHeight="1">
      <c r="A36" s="3598"/>
      <c r="B36" s="3598" t="s">
        <v>1440</v>
      </c>
      <c r="C36" s="1114" t="s">
        <v>1472</v>
      </c>
      <c r="D36" s="1115"/>
      <c r="E36" s="1137">
        <v>1</v>
      </c>
      <c r="F36" s="1116" t="s">
        <v>1473</v>
      </c>
      <c r="G36" s="1117"/>
      <c r="H36" s="1088"/>
      <c r="I36" s="1088"/>
    </row>
    <row r="37" spans="1:9" s="1530" customFormat="1" ht="19.5" customHeight="1">
      <c r="A37" s="3598"/>
      <c r="B37" s="3598"/>
      <c r="C37" s="1114" t="s">
        <v>1474</v>
      </c>
      <c r="D37" s="1115"/>
      <c r="E37" s="1137">
        <v>1.5</v>
      </c>
      <c r="F37" s="1116" t="s">
        <v>1475</v>
      </c>
      <c r="G37" s="1117"/>
      <c r="H37" s="1088"/>
      <c r="I37" s="1088"/>
    </row>
    <row r="38" spans="1:9" s="1530" customFormat="1" ht="19.5" customHeight="1">
      <c r="A38" s="3598"/>
      <c r="B38" s="3598"/>
      <c r="C38" s="1114" t="s">
        <v>1476</v>
      </c>
      <c r="D38" s="1115"/>
      <c r="E38" s="1137">
        <v>1</v>
      </c>
      <c r="F38" s="1116" t="s">
        <v>1477</v>
      </c>
      <c r="G38" s="1117"/>
      <c r="H38" s="1088"/>
      <c r="I38" s="1088"/>
    </row>
    <row r="39" spans="1:9" s="1530" customFormat="1" ht="19.5" customHeight="1">
      <c r="A39" s="3598"/>
      <c r="B39" s="359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98" t="s">
        <v>1492</v>
      </c>
      <c r="C61" s="1051" t="s">
        <v>1493</v>
      </c>
      <c r="D61" s="1051" t="s">
        <v>1494</v>
      </c>
      <c r="E61" s="1122">
        <v>0.5</v>
      </c>
      <c r="F61" s="1137">
        <v>80</v>
      </c>
      <c r="H61" s="1088">
        <f>SUMIF(C59:C119,基准地价!C8,E59:E119)</f>
        <v>0</v>
      </c>
    </row>
    <row r="62" spans="1:8" s="1088" customFormat="1" ht="24">
      <c r="A62" s="1137">
        <v>2</v>
      </c>
      <c r="B62" s="3598"/>
      <c r="C62" s="1051" t="s">
        <v>1495</v>
      </c>
      <c r="D62" s="1051" t="s">
        <v>1496</v>
      </c>
      <c r="E62" s="1122">
        <v>0.5</v>
      </c>
      <c r="F62" s="1137">
        <v>80</v>
      </c>
    </row>
    <row r="63" spans="1:8" s="1088" customFormat="1" ht="36">
      <c r="A63" s="1137">
        <v>3</v>
      </c>
      <c r="B63" s="3598"/>
      <c r="C63" s="1051" t="s">
        <v>1497</v>
      </c>
      <c r="D63" s="1051" t="s">
        <v>1498</v>
      </c>
      <c r="E63" s="1122">
        <v>0.5</v>
      </c>
      <c r="F63" s="1137">
        <v>80</v>
      </c>
    </row>
    <row r="64" spans="1:8" s="1088" customFormat="1" ht="36">
      <c r="A64" s="1137">
        <v>4</v>
      </c>
      <c r="B64" s="3598"/>
      <c r="C64" s="1051" t="s">
        <v>1499</v>
      </c>
      <c r="D64" s="1051" t="s">
        <v>1500</v>
      </c>
      <c r="E64" s="1122">
        <v>0.4</v>
      </c>
      <c r="F64" s="1137">
        <v>60</v>
      </c>
    </row>
    <row r="65" spans="1:6" s="1088" customFormat="1" ht="36">
      <c r="A65" s="1137">
        <v>5</v>
      </c>
      <c r="B65" s="3598"/>
      <c r="C65" s="1051" t="s">
        <v>1501</v>
      </c>
      <c r="D65" s="1051" t="s">
        <v>1502</v>
      </c>
      <c r="E65" s="1122">
        <v>0.2</v>
      </c>
      <c r="F65" s="1137">
        <v>30</v>
      </c>
    </row>
    <row r="66" spans="1:6" s="1088" customFormat="1" ht="36">
      <c r="A66" s="1137">
        <v>6</v>
      </c>
      <c r="B66" s="3598"/>
      <c r="C66" s="1051" t="s">
        <v>1503</v>
      </c>
      <c r="D66" s="1051" t="s">
        <v>1504</v>
      </c>
      <c r="E66" s="1122">
        <v>0.3</v>
      </c>
      <c r="F66" s="1137">
        <v>50</v>
      </c>
    </row>
    <row r="67" spans="1:6" s="1088" customFormat="1" ht="36">
      <c r="A67" s="1137">
        <v>7</v>
      </c>
      <c r="B67" s="3598"/>
      <c r="C67" s="1051" t="s">
        <v>1505</v>
      </c>
      <c r="D67" s="1051" t="s">
        <v>1506</v>
      </c>
      <c r="E67" s="1122">
        <v>0.2</v>
      </c>
      <c r="F67" s="1137">
        <v>30</v>
      </c>
    </row>
    <row r="68" spans="1:6" s="1088" customFormat="1" ht="36">
      <c r="A68" s="1137">
        <v>8</v>
      </c>
      <c r="B68" s="3598"/>
      <c r="C68" s="1051" t="s">
        <v>1507</v>
      </c>
      <c r="D68" s="1051" t="s">
        <v>1508</v>
      </c>
      <c r="E68" s="1122">
        <v>0.2</v>
      </c>
      <c r="F68" s="1137">
        <v>30</v>
      </c>
    </row>
    <row r="69" spans="1:6" s="1088" customFormat="1" ht="36">
      <c r="A69" s="1137">
        <v>9</v>
      </c>
      <c r="B69" s="3598"/>
      <c r="C69" s="1051" t="s">
        <v>1509</v>
      </c>
      <c r="D69" s="1051" t="s">
        <v>1510</v>
      </c>
      <c r="E69" s="1122">
        <v>0.2</v>
      </c>
      <c r="F69" s="1137">
        <v>30</v>
      </c>
    </row>
    <row r="70" spans="1:6" s="1088" customFormat="1" ht="48">
      <c r="A70" s="1137">
        <v>10</v>
      </c>
      <c r="B70" s="3598"/>
      <c r="C70" s="1051" t="s">
        <v>1511</v>
      </c>
      <c r="D70" s="1051" t="s">
        <v>1512</v>
      </c>
      <c r="E70" s="1122">
        <v>0.2</v>
      </c>
      <c r="F70" s="1137">
        <v>30</v>
      </c>
    </row>
    <row r="71" spans="1:6" s="1088" customFormat="1" ht="48">
      <c r="A71" s="1137">
        <v>11</v>
      </c>
      <c r="B71" s="3598"/>
      <c r="C71" s="1051" t="s">
        <v>1513</v>
      </c>
      <c r="D71" s="1051" t="s">
        <v>1514</v>
      </c>
      <c r="E71" s="1122">
        <v>0.2</v>
      </c>
      <c r="F71" s="1137">
        <v>30</v>
      </c>
    </row>
    <row r="72" spans="1:6" s="1088" customFormat="1" ht="36">
      <c r="A72" s="1137">
        <v>12</v>
      </c>
      <c r="B72" s="3598"/>
      <c r="C72" s="1051" t="s">
        <v>1515</v>
      </c>
      <c r="D72" s="1051" t="s">
        <v>1516</v>
      </c>
      <c r="E72" s="1122">
        <v>0.5</v>
      </c>
      <c r="F72" s="1137">
        <v>80</v>
      </c>
    </row>
    <row r="73" spans="1:6" s="1088" customFormat="1" ht="24">
      <c r="A73" s="1137">
        <v>13</v>
      </c>
      <c r="B73" s="3598"/>
      <c r="C73" s="1051" t="s">
        <v>1517</v>
      </c>
      <c r="D73" s="1051" t="s">
        <v>1518</v>
      </c>
      <c r="E73" s="1122">
        <v>0.4</v>
      </c>
      <c r="F73" s="1137">
        <v>60</v>
      </c>
    </row>
    <row r="74" spans="1:6" s="1088" customFormat="1" ht="24">
      <c r="A74" s="1137">
        <v>14</v>
      </c>
      <c r="B74" s="3598"/>
      <c r="C74" s="1051" t="s">
        <v>1519</v>
      </c>
      <c r="D74" s="1051" t="s">
        <v>1520</v>
      </c>
      <c r="E74" s="1122">
        <v>0.2</v>
      </c>
      <c r="F74" s="1137">
        <v>30</v>
      </c>
    </row>
    <row r="75" spans="1:6" s="1088" customFormat="1" ht="24">
      <c r="A75" s="1137">
        <v>15</v>
      </c>
      <c r="B75" s="3598"/>
      <c r="C75" s="1051" t="s">
        <v>1521</v>
      </c>
      <c r="D75" s="1051" t="s">
        <v>1522</v>
      </c>
      <c r="E75" s="1122">
        <v>0.2</v>
      </c>
      <c r="F75" s="1137">
        <v>30</v>
      </c>
    </row>
    <row r="76" spans="1:6" s="1088" customFormat="1" ht="24">
      <c r="A76" s="1137">
        <v>16</v>
      </c>
      <c r="B76" s="3598" t="s">
        <v>1523</v>
      </c>
      <c r="C76" s="1051" t="s">
        <v>1524</v>
      </c>
      <c r="D76" s="1051" t="s">
        <v>1525</v>
      </c>
      <c r="E76" s="1122">
        <v>0.5</v>
      </c>
      <c r="F76" s="1137">
        <v>80</v>
      </c>
    </row>
    <row r="77" spans="1:6" s="1088" customFormat="1" ht="24">
      <c r="A77" s="1137">
        <v>17</v>
      </c>
      <c r="B77" s="3598"/>
      <c r="C77" s="1051" t="s">
        <v>1526</v>
      </c>
      <c r="D77" s="1051" t="s">
        <v>1527</v>
      </c>
      <c r="E77" s="1122">
        <v>0.5</v>
      </c>
      <c r="F77" s="1137">
        <v>80</v>
      </c>
    </row>
    <row r="78" spans="1:6" s="1088" customFormat="1" ht="24">
      <c r="A78" s="1137">
        <v>18</v>
      </c>
      <c r="B78" s="3598"/>
      <c r="C78" s="1051" t="s">
        <v>1528</v>
      </c>
      <c r="D78" s="1051" t="s">
        <v>1529</v>
      </c>
      <c r="E78" s="1122">
        <v>0.2</v>
      </c>
      <c r="F78" s="1137">
        <v>30</v>
      </c>
    </row>
    <row r="79" spans="1:6" s="1088" customFormat="1" ht="24">
      <c r="A79" s="1137">
        <v>19</v>
      </c>
      <c r="B79" s="3598"/>
      <c r="C79" s="1051" t="s">
        <v>1530</v>
      </c>
      <c r="D79" s="1051" t="s">
        <v>1531</v>
      </c>
      <c r="E79" s="1122">
        <v>0.5</v>
      </c>
      <c r="F79" s="1137">
        <v>80</v>
      </c>
    </row>
    <row r="80" spans="1:6" s="1088" customFormat="1" ht="36">
      <c r="A80" s="1137">
        <v>20</v>
      </c>
      <c r="B80" s="3598"/>
      <c r="C80" s="1051" t="s">
        <v>1532</v>
      </c>
      <c r="D80" s="1051" t="s">
        <v>1533</v>
      </c>
      <c r="E80" s="1122">
        <v>0.2</v>
      </c>
      <c r="F80" s="1137">
        <v>30</v>
      </c>
    </row>
    <row r="81" spans="1:6" s="1088" customFormat="1" ht="36">
      <c r="A81" s="1137">
        <v>21</v>
      </c>
      <c r="B81" s="3598"/>
      <c r="C81" s="1051" t="s">
        <v>1534</v>
      </c>
      <c r="D81" s="1051" t="s">
        <v>1535</v>
      </c>
      <c r="E81" s="1122">
        <v>0.2</v>
      </c>
      <c r="F81" s="1137">
        <v>30</v>
      </c>
    </row>
    <row r="82" spans="1:6" s="1088" customFormat="1" ht="48">
      <c r="A82" s="1137">
        <v>22</v>
      </c>
      <c r="B82" s="3598"/>
      <c r="C82" s="1051" t="s">
        <v>1536</v>
      </c>
      <c r="D82" s="1051" t="s">
        <v>1537</v>
      </c>
      <c r="E82" s="1122">
        <v>0.2</v>
      </c>
      <c r="F82" s="1137">
        <v>30</v>
      </c>
    </row>
    <row r="83" spans="1:6" s="1088" customFormat="1" ht="48">
      <c r="A83" s="1137">
        <v>23</v>
      </c>
      <c r="B83" s="3598"/>
      <c r="C83" s="1051" t="s">
        <v>1538</v>
      </c>
      <c r="D83" s="1051" t="s">
        <v>1539</v>
      </c>
      <c r="E83" s="1122">
        <v>0.2</v>
      </c>
      <c r="F83" s="1137">
        <v>30</v>
      </c>
    </row>
    <row r="84" spans="1:6" s="1088" customFormat="1" ht="36">
      <c r="A84" s="1137">
        <v>24</v>
      </c>
      <c r="B84" s="3598"/>
      <c r="C84" s="1051" t="s">
        <v>1540</v>
      </c>
      <c r="D84" s="1051" t="s">
        <v>1541</v>
      </c>
      <c r="E84" s="1122">
        <v>0.2</v>
      </c>
      <c r="F84" s="1137">
        <v>30</v>
      </c>
    </row>
    <row r="85" spans="1:6" s="1088" customFormat="1" ht="36">
      <c r="A85" s="1137">
        <v>25</v>
      </c>
      <c r="B85" s="3598"/>
      <c r="C85" s="1051" t="s">
        <v>1542</v>
      </c>
      <c r="D85" s="1051" t="s">
        <v>1543</v>
      </c>
      <c r="E85" s="1122">
        <v>0.5</v>
      </c>
      <c r="F85" s="1137">
        <v>80</v>
      </c>
    </row>
    <row r="86" spans="1:6" s="1088" customFormat="1" ht="36">
      <c r="A86" s="1137">
        <v>26</v>
      </c>
      <c r="B86" s="3598"/>
      <c r="C86" s="1051" t="s">
        <v>1544</v>
      </c>
      <c r="D86" s="1051" t="s">
        <v>1545</v>
      </c>
      <c r="E86" s="1122">
        <v>0.2</v>
      </c>
      <c r="F86" s="1137">
        <v>30</v>
      </c>
    </row>
    <row r="87" spans="1:6" s="1088" customFormat="1" ht="36">
      <c r="A87" s="1137">
        <v>27</v>
      </c>
      <c r="B87" s="3598"/>
      <c r="C87" s="1051" t="s">
        <v>1546</v>
      </c>
      <c r="D87" s="1051" t="s">
        <v>1547</v>
      </c>
      <c r="E87" s="1122">
        <v>0.2</v>
      </c>
      <c r="F87" s="1137">
        <v>30</v>
      </c>
    </row>
    <row r="88" spans="1:6" s="1088" customFormat="1" ht="36">
      <c r="A88" s="1137">
        <v>28</v>
      </c>
      <c r="B88" s="3598"/>
      <c r="C88" s="1051" t="s">
        <v>1548</v>
      </c>
      <c r="D88" s="1051" t="s">
        <v>1549</v>
      </c>
      <c r="E88" s="1122">
        <v>0.2</v>
      </c>
      <c r="F88" s="1137">
        <v>30</v>
      </c>
    </row>
    <row r="89" spans="1:6" s="1088" customFormat="1" ht="24">
      <c r="A89" s="1137">
        <v>29</v>
      </c>
      <c r="B89" s="3598"/>
      <c r="C89" s="1051" t="s">
        <v>1550</v>
      </c>
      <c r="D89" s="1051" t="s">
        <v>1551</v>
      </c>
      <c r="E89" s="1122">
        <v>0.2</v>
      </c>
      <c r="F89" s="1137">
        <v>30</v>
      </c>
    </row>
    <row r="90" spans="1:6" s="1088" customFormat="1" ht="24">
      <c r="A90" s="1137">
        <v>30</v>
      </c>
      <c r="B90" s="3598"/>
      <c r="C90" s="1051" t="s">
        <v>1552</v>
      </c>
      <c r="D90" s="1051" t="s">
        <v>1553</v>
      </c>
      <c r="E90" s="1122">
        <v>0.2</v>
      </c>
      <c r="F90" s="1137">
        <v>30</v>
      </c>
    </row>
    <row r="91" spans="1:6" s="1088" customFormat="1" ht="36">
      <c r="A91" s="1137">
        <v>31</v>
      </c>
      <c r="B91" s="3598"/>
      <c r="C91" s="1051" t="s">
        <v>1554</v>
      </c>
      <c r="D91" s="1051" t="s">
        <v>1555</v>
      </c>
      <c r="E91" s="1122">
        <v>0.2</v>
      </c>
      <c r="F91" s="1137">
        <v>30</v>
      </c>
    </row>
    <row r="92" spans="1:6" s="1088" customFormat="1" ht="24">
      <c r="A92" s="1137">
        <v>32</v>
      </c>
      <c r="B92" s="3598" t="s">
        <v>1556</v>
      </c>
      <c r="C92" s="1137" t="s">
        <v>1557</v>
      </c>
      <c r="D92" s="1051" t="s">
        <v>1558</v>
      </c>
      <c r="E92" s="1122">
        <v>0.2</v>
      </c>
      <c r="F92" s="1137">
        <v>30</v>
      </c>
    </row>
    <row r="93" spans="1:6" s="1088" customFormat="1" ht="36">
      <c r="A93" s="1137">
        <v>33</v>
      </c>
      <c r="B93" s="3598"/>
      <c r="C93" s="1137" t="s">
        <v>1559</v>
      </c>
      <c r="D93" s="1051" t="s">
        <v>1560</v>
      </c>
      <c r="E93" s="1122">
        <v>0.2</v>
      </c>
      <c r="F93" s="1137">
        <v>30</v>
      </c>
    </row>
    <row r="94" spans="1:6" s="1088" customFormat="1" ht="48">
      <c r="A94" s="1137">
        <v>34</v>
      </c>
      <c r="B94" s="3598"/>
      <c r="C94" s="1137" t="s">
        <v>1561</v>
      </c>
      <c r="D94" s="1051" t="s">
        <v>1562</v>
      </c>
      <c r="E94" s="1122">
        <v>0.2</v>
      </c>
      <c r="F94" s="1137">
        <v>30</v>
      </c>
    </row>
    <row r="95" spans="1:6" s="1088" customFormat="1" ht="36">
      <c r="A95" s="1137">
        <v>35</v>
      </c>
      <c r="B95" s="3598"/>
      <c r="C95" s="1137" t="s">
        <v>1563</v>
      </c>
      <c r="D95" s="1051" t="s">
        <v>1564</v>
      </c>
      <c r="E95" s="1122">
        <v>0.2</v>
      </c>
      <c r="F95" s="1137">
        <v>30</v>
      </c>
    </row>
    <row r="96" spans="1:6" s="1088" customFormat="1" ht="48">
      <c r="A96" s="1137">
        <v>36</v>
      </c>
      <c r="B96" s="3598"/>
      <c r="C96" s="1051" t="s">
        <v>1565</v>
      </c>
      <c r="D96" s="1051" t="s">
        <v>1566</v>
      </c>
      <c r="E96" s="1122">
        <v>0.2</v>
      </c>
      <c r="F96" s="1137">
        <v>30</v>
      </c>
    </row>
    <row r="97" spans="1:6" s="1088" customFormat="1" ht="36">
      <c r="A97" s="1137">
        <v>37</v>
      </c>
      <c r="B97" s="3598"/>
      <c r="C97" s="1137" t="s">
        <v>1567</v>
      </c>
      <c r="D97" s="1051" t="s">
        <v>1568</v>
      </c>
      <c r="E97" s="1122">
        <v>0.2</v>
      </c>
      <c r="F97" s="1137">
        <v>30</v>
      </c>
    </row>
    <row r="98" spans="1:6" s="1088" customFormat="1" ht="36">
      <c r="A98" s="1137">
        <v>38</v>
      </c>
      <c r="B98" s="3598"/>
      <c r="C98" s="1137" t="s">
        <v>1569</v>
      </c>
      <c r="D98" s="1051" t="s">
        <v>1570</v>
      </c>
      <c r="E98" s="1122">
        <v>0.2</v>
      </c>
      <c r="F98" s="1137">
        <v>30</v>
      </c>
    </row>
    <row r="99" spans="1:6" s="1088" customFormat="1" ht="36">
      <c r="A99" s="1137">
        <v>39</v>
      </c>
      <c r="B99" s="3598" t="s">
        <v>1571</v>
      </c>
      <c r="C99" s="1137" t="s">
        <v>1572</v>
      </c>
      <c r="D99" s="1051" t="s">
        <v>1573</v>
      </c>
      <c r="E99" s="1122">
        <v>0.3</v>
      </c>
      <c r="F99" s="1137">
        <v>50</v>
      </c>
    </row>
    <row r="100" spans="1:6" s="1088" customFormat="1" ht="24">
      <c r="A100" s="1137">
        <v>40</v>
      </c>
      <c r="B100" s="3598"/>
      <c r="C100" s="1137" t="s">
        <v>1574</v>
      </c>
      <c r="D100" s="1051" t="s">
        <v>1575</v>
      </c>
      <c r="E100" s="1122">
        <v>0.2</v>
      </c>
      <c r="F100" s="1137">
        <v>30</v>
      </c>
    </row>
    <row r="101" spans="1:6" s="1088" customFormat="1" ht="36">
      <c r="A101" s="1137">
        <v>41</v>
      </c>
      <c r="B101" s="359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98" t="s">
        <v>1586</v>
      </c>
      <c r="C105" s="1137" t="s">
        <v>1587</v>
      </c>
      <c r="D105" s="1051" t="s">
        <v>1588</v>
      </c>
      <c r="E105" s="1122">
        <v>0.2</v>
      </c>
      <c r="F105" s="1137">
        <v>30</v>
      </c>
    </row>
    <row r="106" spans="1:6" s="1088" customFormat="1" ht="36">
      <c r="A106" s="1137">
        <v>46</v>
      </c>
      <c r="B106" s="3598"/>
      <c r="C106" s="1137" t="s">
        <v>1589</v>
      </c>
      <c r="D106" s="1051" t="s">
        <v>1590</v>
      </c>
      <c r="E106" s="1122">
        <v>0.2</v>
      </c>
      <c r="F106" s="1137">
        <v>30</v>
      </c>
    </row>
    <row r="107" spans="1:6" s="1088" customFormat="1" ht="36">
      <c r="A107" s="1137">
        <v>47</v>
      </c>
      <c r="B107" s="3598" t="s">
        <v>1591</v>
      </c>
      <c r="C107" s="1137" t="s">
        <v>1592</v>
      </c>
      <c r="D107" s="1051" t="s">
        <v>1593</v>
      </c>
      <c r="E107" s="1122">
        <v>0.3</v>
      </c>
      <c r="F107" s="1137">
        <v>50</v>
      </c>
    </row>
    <row r="108" spans="1:6" s="1088" customFormat="1" ht="36">
      <c r="A108" s="1137">
        <v>48</v>
      </c>
      <c r="B108" s="359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98" t="s">
        <v>1602</v>
      </c>
      <c r="C111" s="1137" t="s">
        <v>1603</v>
      </c>
      <c r="D111" s="1051" t="s">
        <v>1604</v>
      </c>
      <c r="E111" s="1122">
        <v>0.2</v>
      </c>
      <c r="F111" s="1137">
        <v>30</v>
      </c>
    </row>
    <row r="112" spans="1:6" s="1088" customFormat="1" ht="24">
      <c r="A112" s="1137">
        <v>52</v>
      </c>
      <c r="B112" s="3598"/>
      <c r="C112" s="1137" t="s">
        <v>1605</v>
      </c>
      <c r="D112" s="1051" t="s">
        <v>1606</v>
      </c>
      <c r="E112" s="1122">
        <v>0.2</v>
      </c>
      <c r="F112" s="1137">
        <v>30</v>
      </c>
    </row>
    <row r="113" spans="1:14" s="1088" customFormat="1" ht="24">
      <c r="A113" s="1137">
        <v>53</v>
      </c>
      <c r="B113" s="359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98" t="s">
        <v>1615</v>
      </c>
      <c r="C116" s="1137" t="s">
        <v>1616</v>
      </c>
      <c r="D116" s="1051" t="s">
        <v>1617</v>
      </c>
      <c r="E116" s="1122">
        <v>0.2</v>
      </c>
      <c r="F116" s="1137">
        <v>30</v>
      </c>
    </row>
    <row r="117" spans="1:14" ht="36">
      <c r="A117" s="1137">
        <v>57</v>
      </c>
      <c r="B117" s="359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97" t="s">
        <v>1624</v>
      </c>
      <c r="B121" s="3597"/>
      <c r="C121" s="3597"/>
      <c r="D121" s="3597"/>
      <c r="E121" s="3597"/>
      <c r="F121" s="3597"/>
      <c r="G121" s="3597"/>
      <c r="H121" s="3597"/>
      <c r="I121" s="3597"/>
      <c r="J121" s="359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99" t="s">
        <v>1030</v>
      </c>
      <c r="B1" s="3599"/>
      <c r="C1" s="3599"/>
      <c r="D1" s="3599"/>
      <c r="E1" s="3599"/>
      <c r="F1" s="359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00" t="s">
        <v>1043</v>
      </c>
      <c r="B2" s="3600"/>
      <c r="C2" s="3600"/>
      <c r="D2" s="3600"/>
      <c r="E2" s="3600"/>
      <c r="F2" s="360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0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0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3" t="s">
        <v>2068</v>
      </c>
      <c r="B1" s="3603"/>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11" t="s">
        <v>2557</v>
      </c>
      <c r="C1" s="3611"/>
      <c r="D1" s="3611"/>
      <c r="E1" s="3611"/>
      <c r="F1" s="3611"/>
      <c r="G1" s="3610" t="s">
        <v>2558</v>
      </c>
      <c r="H1" s="3610"/>
      <c r="I1" s="3610"/>
      <c r="J1" s="3610"/>
      <c r="K1" s="3610"/>
      <c r="L1" s="3610"/>
      <c r="N1" s="3610" t="s">
        <v>2559</v>
      </c>
      <c r="O1" s="3610"/>
      <c r="P1" s="3610"/>
      <c r="Q1" s="3610"/>
      <c r="S1" s="3610" t="s">
        <v>2560</v>
      </c>
      <c r="T1" s="3610"/>
      <c r="U1" s="3610"/>
      <c r="V1" s="3610"/>
      <c r="X1" s="3609" t="s">
        <v>2620</v>
      </c>
      <c r="Y1" s="3610"/>
      <c r="Z1" s="3610"/>
      <c r="AA1" s="3610"/>
      <c r="AB1" s="3610"/>
      <c r="AD1" s="3609" t="s">
        <v>2624</v>
      </c>
      <c r="AE1" s="3610"/>
      <c r="AF1" s="3610"/>
      <c r="AG1" s="3610"/>
      <c r="AH1" s="3610"/>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605">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605"/>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605"/>
      <c r="H16" s="2913">
        <v>2</v>
      </c>
      <c r="I16" s="2913">
        <v>1.49</v>
      </c>
      <c r="J16" s="2913">
        <v>0.96</v>
      </c>
      <c r="K16" s="2913">
        <v>1.58</v>
      </c>
      <c r="L16" s="3308">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606"/>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60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605"/>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605"/>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606"/>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60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605"/>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605"/>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608"/>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607">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605"/>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605"/>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608"/>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607">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605"/>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605"/>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608"/>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612">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613"/>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613"/>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614"/>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607">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605"/>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605"/>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608"/>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607">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605">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605">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608">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607">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605">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605">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608">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607">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605">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605">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608">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607">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605">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605">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608">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607">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605">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605">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608">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607">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605">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605">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608">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607">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605">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605">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608">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607">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605">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605">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608">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607">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605">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605">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608">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607">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605">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605">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608">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9"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16" t="s">
        <v>2445</v>
      </c>
      <c r="C8" s="1740">
        <f ca="1">ROUND(F8*F10*F9*(1-F11)/10000,0)</f>
        <v>0</v>
      </c>
      <c r="D8" s="1737" t="s">
        <v>2516</v>
      </c>
      <c r="E8" s="61" t="s">
        <v>631</v>
      </c>
      <c r="F8" s="775">
        <f ca="1">INDIRECT("'数据-取费表'!u"&amp;$G$1)</f>
        <v>0</v>
      </c>
      <c r="G8" s="1527"/>
      <c r="H8" s="2357" t="s">
        <v>1815</v>
      </c>
      <c r="I8" s="3616" t="s">
        <v>2445</v>
      </c>
      <c r="J8" s="773">
        <f ca="1">ROUND(M8*M10*M9*(1-M11)/10000,0)</f>
        <v>0</v>
      </c>
      <c r="K8" s="339" t="s">
        <v>2516</v>
      </c>
      <c r="L8" s="774" t="s">
        <v>1729</v>
      </c>
      <c r="M8" s="775">
        <f ca="1">INDIRECT("'数据-取费表'!z"&amp;$G$1)</f>
        <v>0</v>
      </c>
    </row>
    <row r="9" spans="1:25" ht="18" customHeight="1">
      <c r="A9" s="2353"/>
      <c r="B9" s="3617"/>
      <c r="C9" s="1741"/>
      <c r="D9" s="1738"/>
      <c r="E9" s="61" t="s">
        <v>632</v>
      </c>
      <c r="F9" s="775">
        <f ca="1">IF(INDIRECT("'数据-取费表'!ah"&amp;$G$1)="",INDIRECT("'数据-取费表'!k"&amp;$G$1),INDIRECT("'数据-取费表'!ah"&amp;$G$1))</f>
        <v>0</v>
      </c>
      <c r="G9" s="1527"/>
      <c r="H9" s="2342"/>
      <c r="I9" s="3617"/>
      <c r="J9" s="778"/>
      <c r="K9" s="779"/>
      <c r="L9" s="774" t="s">
        <v>1730</v>
      </c>
      <c r="M9" s="775">
        <f ca="1">F9</f>
        <v>0</v>
      </c>
    </row>
    <row r="10" spans="1:25" ht="18" customHeight="1">
      <c r="A10" s="2346"/>
      <c r="B10" s="3618"/>
      <c r="C10" s="1741"/>
      <c r="D10" s="1738"/>
      <c r="E10" s="61" t="s">
        <v>633</v>
      </c>
      <c r="F10" s="775">
        <f ca="1">INDIRECT("'数据-取费表'!ai"&amp;$G$1)</f>
        <v>0</v>
      </c>
      <c r="G10" s="1527"/>
      <c r="H10" s="2342"/>
      <c r="I10" s="3618"/>
      <c r="J10" s="778"/>
      <c r="K10" s="779"/>
      <c r="L10" s="774" t="s">
        <v>1731</v>
      </c>
      <c r="M10" s="775">
        <f ca="1">INDIRECT("'数据-取费表'!ai"&amp;$G$1)</f>
        <v>0</v>
      </c>
    </row>
    <row r="11" spans="1:25" ht="18" customHeight="1">
      <c r="A11" s="776"/>
      <c r="B11" s="3619"/>
      <c r="C11" s="1741"/>
      <c r="D11" s="1738"/>
      <c r="E11" s="61" t="s">
        <v>634</v>
      </c>
      <c r="F11" s="784">
        <f ca="1">INDIRECT("'数据-取费表'!w"&amp;$G$1)</f>
        <v>0</v>
      </c>
      <c r="G11" s="1527"/>
      <c r="H11" s="2358"/>
      <c r="I11" s="3618"/>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15"/>
      <c r="J36" s="1962"/>
      <c r="K36" s="1963"/>
      <c r="L36" s="1962"/>
      <c r="M36" s="1962"/>
    </row>
    <row r="37" spans="1:18" ht="18" customHeight="1">
      <c r="A37" s="804"/>
      <c r="B37" s="783"/>
      <c r="C37" s="69"/>
      <c r="D37" s="805"/>
      <c r="E37" s="774" t="s">
        <v>668</v>
      </c>
      <c r="F37" s="775">
        <f ca="1">INDIRECT("'数据-取费表'!r"&amp;$G$1)</f>
        <v>0</v>
      </c>
      <c r="G37" s="1945"/>
      <c r="H37" s="1948"/>
      <c r="I37" s="3615"/>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20"/>
      <c r="L54" s="3621"/>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16" t="s">
        <v>2445</v>
      </c>
      <c r="C6" s="773">
        <f ca="1">ROUND(F6*F8*F7*(1-F9)/10000,0)</f>
        <v>0</v>
      </c>
      <c r="D6" s="2350" t="s">
        <v>2444</v>
      </c>
      <c r="E6" s="774" t="s">
        <v>1729</v>
      </c>
      <c r="F6" s="775">
        <f ca="1">INDIRECT("'数据-取费表'!u"&amp;$G$1)</f>
        <v>0</v>
      </c>
      <c r="G6" s="1945"/>
      <c r="H6" s="2357" t="s">
        <v>2450</v>
      </c>
      <c r="I6" s="3616" t="s">
        <v>2445</v>
      </c>
      <c r="J6" s="773">
        <f ca="1">ROUND(M6*M8*M7*(1-M9)/10000,0)</f>
        <v>0</v>
      </c>
      <c r="K6" s="339" t="s">
        <v>1728</v>
      </c>
      <c r="L6" s="774" t="s">
        <v>1729</v>
      </c>
      <c r="M6" s="775">
        <f ca="1">INDIRECT("'数据-取费表'!z"&amp;$G$1)</f>
        <v>0</v>
      </c>
    </row>
    <row r="7" spans="1:33" ht="18" customHeight="1">
      <c r="A7" s="2353"/>
      <c r="B7" s="3617"/>
      <c r="C7" s="778"/>
      <c r="D7" s="779"/>
      <c r="E7" s="774" t="s">
        <v>1730</v>
      </c>
      <c r="F7" s="775">
        <f ca="1">IF(INDIRECT("'数据-取费表'!ah"&amp;$G$1)="",INDIRECT("'数据-取费表'!k"&amp;$G$1),INDIRECT("'数据-取费表'!ah"&amp;$G$1))</f>
        <v>0</v>
      </c>
      <c r="G7" s="1945"/>
      <c r="H7" s="2342"/>
      <c r="I7" s="3617"/>
      <c r="J7" s="778"/>
      <c r="K7" s="779"/>
      <c r="L7" s="774" t="s">
        <v>1730</v>
      </c>
      <c r="M7" s="775">
        <f ca="1">F7</f>
        <v>0</v>
      </c>
    </row>
    <row r="8" spans="1:33" ht="18" customHeight="1">
      <c r="A8" s="2346"/>
      <c r="B8" s="3618"/>
      <c r="C8" s="778"/>
      <c r="D8" s="779"/>
      <c r="E8" s="774" t="s">
        <v>1731</v>
      </c>
      <c r="F8" s="775">
        <f ca="1">INDIRECT("'数据-取费表'!ai"&amp;$G$1)</f>
        <v>0</v>
      </c>
      <c r="G8" s="1945"/>
      <c r="H8" s="2342"/>
      <c r="I8" s="3618"/>
      <c r="J8" s="778"/>
      <c r="K8" s="779"/>
      <c r="L8" s="774" t="s">
        <v>1731</v>
      </c>
      <c r="M8" s="775">
        <f ca="1">INDIRECT("'数据-取费表'!ai"&amp;$G$1)</f>
        <v>0</v>
      </c>
    </row>
    <row r="9" spans="1:33" ht="18" customHeight="1">
      <c r="A9" s="776"/>
      <c r="B9" s="3619"/>
      <c r="C9" s="778"/>
      <c r="D9" s="779"/>
      <c r="E9" s="774" t="s">
        <v>1732</v>
      </c>
      <c r="F9" s="784">
        <f ca="1">INDIRECT("'数据-取费表'!w"&amp;$G$1)</f>
        <v>0</v>
      </c>
      <c r="G9" s="1945"/>
      <c r="H9" s="2358"/>
      <c r="I9" s="3618"/>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22" t="s">
        <v>2932</v>
      </c>
      <c r="L53" s="3623"/>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4" t="s">
        <v>2453</v>
      </c>
      <c r="B1" s="3625"/>
      <c r="C1" s="3626"/>
      <c r="D1" s="3627">
        <f>SUM(I10,I15,I20,I21,I23)</f>
        <v>0</v>
      </c>
      <c r="E1" s="3627"/>
      <c r="F1" s="3627"/>
      <c r="G1" s="3627"/>
      <c r="H1" s="3627"/>
      <c r="I1" s="3628"/>
    </row>
    <row r="2" spans="1:9">
      <c r="A2" s="3629" t="s">
        <v>2454</v>
      </c>
      <c r="B2" s="3630" t="s">
        <v>2455</v>
      </c>
      <c r="C2" s="3630"/>
      <c r="D2" s="2360" t="s">
        <v>2456</v>
      </c>
      <c r="E2" s="2360" t="s">
        <v>2457</v>
      </c>
      <c r="F2" s="2360" t="s">
        <v>2458</v>
      </c>
      <c r="G2" s="2360" t="s">
        <v>2459</v>
      </c>
      <c r="H2" s="2360" t="s">
        <v>2460</v>
      </c>
      <c r="I2" s="2361" t="s">
        <v>2461</v>
      </c>
    </row>
    <row r="3" spans="1:9">
      <c r="A3" s="3629"/>
      <c r="B3" s="3630" t="s">
        <v>2462</v>
      </c>
      <c r="C3" s="3630"/>
      <c r="D3" s="2362"/>
      <c r="E3" s="2360"/>
      <c r="F3" s="2363"/>
      <c r="G3" s="2363"/>
      <c r="H3" s="2364"/>
      <c r="I3" s="2365">
        <f>ROUND(D3*E3*F3*G3*H3/10000,0)</f>
        <v>0</v>
      </c>
    </row>
    <row r="4" spans="1:9">
      <c r="A4" s="3629"/>
      <c r="B4" s="3630" t="s">
        <v>2463</v>
      </c>
      <c r="C4" s="3630"/>
      <c r="D4" s="2362"/>
      <c r="E4" s="2360"/>
      <c r="F4" s="2363"/>
      <c r="G4" s="2363"/>
      <c r="H4" s="2364"/>
      <c r="I4" s="2365">
        <f t="shared" ref="I4:I9" si="0">ROUND(D4*E4*F4*G4*H4/10000,0)</f>
        <v>0</v>
      </c>
    </row>
    <row r="5" spans="1:9">
      <c r="A5" s="3629"/>
      <c r="B5" s="3630" t="s">
        <v>2464</v>
      </c>
      <c r="C5" s="3630"/>
      <c r="D5" s="2362"/>
      <c r="E5" s="2360"/>
      <c r="F5" s="2363"/>
      <c r="G5" s="2363"/>
      <c r="H5" s="2364"/>
      <c r="I5" s="2365">
        <f t="shared" si="0"/>
        <v>0</v>
      </c>
    </row>
    <row r="6" spans="1:9">
      <c r="A6" s="3629"/>
      <c r="B6" s="3630" t="s">
        <v>2465</v>
      </c>
      <c r="C6" s="3630"/>
      <c r="D6" s="2362"/>
      <c r="E6" s="2360"/>
      <c r="F6" s="2363"/>
      <c r="G6" s="2363"/>
      <c r="H6" s="2364"/>
      <c r="I6" s="2365">
        <f t="shared" si="0"/>
        <v>0</v>
      </c>
    </row>
    <row r="7" spans="1:9">
      <c r="A7" s="3629"/>
      <c r="B7" s="3630" t="s">
        <v>2466</v>
      </c>
      <c r="C7" s="3630"/>
      <c r="D7" s="2362"/>
      <c r="E7" s="2360"/>
      <c r="F7" s="2363"/>
      <c r="G7" s="2363"/>
      <c r="H7" s="2364"/>
      <c r="I7" s="2365">
        <f t="shared" si="0"/>
        <v>0</v>
      </c>
    </row>
    <row r="8" spans="1:9">
      <c r="A8" s="3629"/>
      <c r="B8" s="3630" t="s">
        <v>2467</v>
      </c>
      <c r="C8" s="3630"/>
      <c r="D8" s="2362"/>
      <c r="E8" s="2360"/>
      <c r="F8" s="2363"/>
      <c r="G8" s="2363"/>
      <c r="H8" s="2364"/>
      <c r="I8" s="2365">
        <f t="shared" si="0"/>
        <v>0</v>
      </c>
    </row>
    <row r="9" spans="1:9">
      <c r="A9" s="3629"/>
      <c r="B9" s="3630" t="s">
        <v>2468</v>
      </c>
      <c r="C9" s="3630"/>
      <c r="D9" s="2362"/>
      <c r="E9" s="2360"/>
      <c r="F9" s="2363"/>
      <c r="G9" s="2363"/>
      <c r="H9" s="2364"/>
      <c r="I9" s="2365">
        <f t="shared" si="0"/>
        <v>0</v>
      </c>
    </row>
    <row r="10" spans="1:9">
      <c r="A10" s="3629"/>
      <c r="B10" s="3631" t="s">
        <v>2469</v>
      </c>
      <c r="C10" s="3631"/>
      <c r="D10" s="2366">
        <v>527</v>
      </c>
      <c r="E10" s="2366" t="e">
        <f>ROUND(D1*10000/D10/H9,0)</f>
        <v>#DIV/0!</v>
      </c>
      <c r="F10" s="2367"/>
      <c r="G10" s="2367"/>
      <c r="H10" s="2368"/>
      <c r="I10" s="2369">
        <f>SUM(I3:I9)</f>
        <v>0</v>
      </c>
    </row>
    <row r="11" spans="1:9" ht="14.25">
      <c r="A11" s="3629" t="s">
        <v>2470</v>
      </c>
      <c r="B11" s="3630" t="s">
        <v>2471</v>
      </c>
      <c r="C11" s="3630"/>
      <c r="D11" s="2362" t="s">
        <v>2472</v>
      </c>
      <c r="E11" s="2362" t="s">
        <v>2473</v>
      </c>
      <c r="F11" s="2363" t="s">
        <v>2474</v>
      </c>
      <c r="G11" s="2363" t="s">
        <v>2475</v>
      </c>
      <c r="H11" s="2370" t="s">
        <v>2476</v>
      </c>
      <c r="I11" s="2361" t="s">
        <v>2477</v>
      </c>
    </row>
    <row r="12" spans="1:9">
      <c r="A12" s="3629"/>
      <c r="B12" s="3630" t="s">
        <v>2478</v>
      </c>
      <c r="C12" s="3630"/>
      <c r="D12" s="2362"/>
      <c r="E12" s="2362"/>
      <c r="F12" s="2363"/>
      <c r="G12" s="2364"/>
      <c r="H12" s="2371"/>
      <c r="I12" s="2361">
        <f>ROUND(D12*E12*F12*G12/10000,0)</f>
        <v>0</v>
      </c>
    </row>
    <row r="13" spans="1:9">
      <c r="A13" s="3629"/>
      <c r="B13" s="3630" t="s">
        <v>2479</v>
      </c>
      <c r="C13" s="3630"/>
      <c r="D13" s="2362"/>
      <c r="E13" s="2362"/>
      <c r="F13" s="2363"/>
      <c r="G13" s="2364"/>
      <c r="H13" s="2371"/>
      <c r="I13" s="2361">
        <f>ROUND(D13*E13*F13*G13/10000,0)</f>
        <v>0</v>
      </c>
    </row>
    <row r="14" spans="1:9">
      <c r="A14" s="3629"/>
      <c r="B14" s="3630" t="s">
        <v>2480</v>
      </c>
      <c r="C14" s="3630"/>
      <c r="D14" s="2362"/>
      <c r="E14" s="2362"/>
      <c r="F14" s="2363"/>
      <c r="G14" s="2364"/>
      <c r="H14" s="2371"/>
      <c r="I14" s="2361">
        <f>ROUND(D14*E14*F14*G14/10000,0)</f>
        <v>0</v>
      </c>
    </row>
    <row r="15" spans="1:9">
      <c r="A15" s="3629"/>
      <c r="B15" s="3631" t="s">
        <v>2469</v>
      </c>
      <c r="C15" s="3631"/>
      <c r="D15" s="2366"/>
      <c r="E15" s="2366">
        <f>SUM(E12:E14)</f>
        <v>0</v>
      </c>
      <c r="F15" s="2367"/>
      <c r="G15" s="2364"/>
      <c r="H15" s="2371"/>
      <c r="I15" s="2372">
        <f>SUM(I12:I14)</f>
        <v>0</v>
      </c>
    </row>
    <row r="16" spans="1:9" ht="24">
      <c r="A16" s="3629" t="s">
        <v>2481</v>
      </c>
      <c r="B16" s="3630" t="s">
        <v>2482</v>
      </c>
      <c r="C16" s="3630"/>
      <c r="D16" s="2362" t="s">
        <v>2483</v>
      </c>
      <c r="E16" s="2373" t="s">
        <v>2484</v>
      </c>
      <c r="F16" s="2363" t="s">
        <v>2485</v>
      </c>
      <c r="G16" s="2364" t="s">
        <v>2475</v>
      </c>
      <c r="H16" s="2370" t="s">
        <v>2476</v>
      </c>
      <c r="I16" s="2361" t="s">
        <v>2477</v>
      </c>
    </row>
    <row r="17" spans="1:9" ht="14.25">
      <c r="A17" s="3629"/>
      <c r="B17" s="3630" t="s">
        <v>2486</v>
      </c>
      <c r="C17" s="3630"/>
      <c r="D17" s="2362"/>
      <c r="E17" s="2362"/>
      <c r="F17" s="2363"/>
      <c r="G17" s="2364"/>
      <c r="H17" s="2374"/>
      <c r="I17" s="2375">
        <f>ROUND(D17*E17*F17*G17/10000,0)</f>
        <v>0</v>
      </c>
    </row>
    <row r="18" spans="1:9" ht="14.25">
      <c r="A18" s="3629"/>
      <c r="B18" s="3630" t="s">
        <v>2487</v>
      </c>
      <c r="C18" s="3630"/>
      <c r="D18" s="2362"/>
      <c r="E18" s="2362"/>
      <c r="F18" s="2363"/>
      <c r="G18" s="2364"/>
      <c r="H18" s="2374"/>
      <c r="I18" s="2375">
        <f>ROUND(D18*E18*F18*G18/10000,0)</f>
        <v>0</v>
      </c>
    </row>
    <row r="19" spans="1:9" ht="14.25">
      <c r="A19" s="3629"/>
      <c r="B19" s="3630" t="s">
        <v>2488</v>
      </c>
      <c r="C19" s="3630"/>
      <c r="D19" s="2362"/>
      <c r="E19" s="2362"/>
      <c r="F19" s="2363"/>
      <c r="G19" s="2364"/>
      <c r="H19" s="2374"/>
      <c r="I19" s="2375">
        <f>ROUND(D19*E19*F19*G19/10000,0)</f>
        <v>0</v>
      </c>
    </row>
    <row r="20" spans="1:9">
      <c r="A20" s="3629"/>
      <c r="B20" s="3631" t="s">
        <v>2469</v>
      </c>
      <c r="C20" s="3631"/>
      <c r="D20" s="2366">
        <f>SUM(D17:D19)</f>
        <v>0</v>
      </c>
      <c r="E20" s="2366"/>
      <c r="F20" s="2367"/>
      <c r="G20" s="2364"/>
      <c r="H20" s="2371"/>
      <c r="I20" s="2372">
        <f>SUM(I17:I19)</f>
        <v>0</v>
      </c>
    </row>
    <row r="21" spans="1:9">
      <c r="A21" s="3629" t="s">
        <v>2489</v>
      </c>
      <c r="B21" s="3633"/>
      <c r="C21" s="3633"/>
      <c r="D21" s="3633"/>
      <c r="E21" s="3633"/>
      <c r="F21" s="3633"/>
      <c r="G21" s="3633"/>
      <c r="H21" s="2376">
        <v>0.1</v>
      </c>
      <c r="I21" s="2369">
        <f>ROUND(I10*H21,0)</f>
        <v>0</v>
      </c>
    </row>
    <row r="22" spans="1:9" ht="14.25">
      <c r="A22" s="3634" t="s">
        <v>2490</v>
      </c>
      <c r="B22" s="3635"/>
      <c r="C22" s="3636"/>
      <c r="D22" s="2377" t="s">
        <v>2491</v>
      </c>
      <c r="E22" s="2377" t="s">
        <v>2492</v>
      </c>
      <c r="F22" s="2378" t="s">
        <v>2493</v>
      </c>
      <c r="G22" s="2378" t="s">
        <v>2494</v>
      </c>
      <c r="H22" s="2370" t="s">
        <v>2495</v>
      </c>
      <c r="I22" s="2361" t="s">
        <v>2496</v>
      </c>
    </row>
    <row r="23" spans="1:9" ht="14.25" thickBot="1">
      <c r="A23" s="3637"/>
      <c r="B23" s="3638"/>
      <c r="C23" s="3639"/>
      <c r="D23" s="2379"/>
      <c r="E23" s="2379"/>
      <c r="F23" s="2379"/>
      <c r="G23" s="2380"/>
      <c r="H23" s="2381"/>
      <c r="I23" s="2382">
        <f>ROUND(E23*D23*F23*(1-G23)/10000,0)</f>
        <v>0</v>
      </c>
    </row>
    <row r="26" spans="1:9">
      <c r="A26" s="2383" t="s">
        <v>2497</v>
      </c>
      <c r="B26" s="2383"/>
      <c r="C26" s="2383"/>
      <c r="D26" s="2383"/>
      <c r="E26" s="3640">
        <f>C27-C30-C31-C32</f>
        <v>0</v>
      </c>
      <c r="F26" s="3640"/>
      <c r="G26" s="3640"/>
      <c r="H26" s="2756" t="s">
        <v>2823</v>
      </c>
    </row>
    <row r="27" spans="1:9">
      <c r="A27" s="2384">
        <v>1</v>
      </c>
      <c r="B27" s="2385" t="s">
        <v>2498</v>
      </c>
      <c r="C27" s="2385"/>
      <c r="D27" s="2385"/>
      <c r="E27" s="3641"/>
      <c r="F27" s="3641"/>
      <c r="G27" s="3641"/>
    </row>
    <row r="28" spans="1:9">
      <c r="A28" s="2386" t="s">
        <v>2499</v>
      </c>
      <c r="B28" s="2385" t="s">
        <v>2500</v>
      </c>
      <c r="C28" s="2385"/>
      <c r="D28" s="2385"/>
      <c r="E28" s="3641"/>
      <c r="F28" s="3641"/>
      <c r="G28" s="364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32"/>
      <c r="F32" s="3632"/>
      <c r="G32" s="3632"/>
    </row>
    <row r="33" spans="1:7" hidden="1">
      <c r="A33" s="3642" t="s">
        <v>2508</v>
      </c>
      <c r="B33" s="3643"/>
      <c r="C33" s="3643"/>
      <c r="D33" s="3644"/>
      <c r="E33" s="3640"/>
      <c r="F33" s="3640"/>
      <c r="G33" s="3640"/>
    </row>
    <row r="34" spans="1:7" hidden="1">
      <c r="A34" s="2388">
        <v>1</v>
      </c>
      <c r="B34" s="2385" t="s">
        <v>2509</v>
      </c>
      <c r="C34" s="2385"/>
      <c r="D34" s="2385"/>
      <c r="E34" s="3641"/>
      <c r="F34" s="3641"/>
      <c r="G34" s="3641"/>
    </row>
    <row r="35" spans="1:7" hidden="1">
      <c r="A35" s="2388">
        <v>2</v>
      </c>
      <c r="B35" s="2385" t="s">
        <v>2510</v>
      </c>
      <c r="C35" s="2385"/>
      <c r="D35" s="2385"/>
      <c r="E35" s="3641"/>
      <c r="F35" s="3641"/>
      <c r="G35" s="3641"/>
    </row>
    <row r="36" spans="1:7" hidden="1">
      <c r="A36" s="2388">
        <v>3</v>
      </c>
      <c r="B36" s="2385" t="s">
        <v>2511</v>
      </c>
      <c r="C36" s="2385"/>
      <c r="D36" s="2385"/>
      <c r="E36" s="3641"/>
      <c r="F36" s="3641"/>
      <c r="G36" s="3641"/>
    </row>
    <row r="37" spans="1:7" hidden="1">
      <c r="A37" s="2388">
        <v>4</v>
      </c>
      <c r="B37" s="2385" t="s">
        <v>2512</v>
      </c>
      <c r="C37" s="2385"/>
      <c r="D37" s="2385"/>
      <c r="E37" s="3641"/>
      <c r="F37" s="3641"/>
      <c r="G37" s="3641"/>
    </row>
    <row r="38" spans="1:7" hidden="1">
      <c r="A38" s="3642" t="s">
        <v>2513</v>
      </c>
      <c r="B38" s="3643"/>
      <c r="C38" s="3643"/>
      <c r="D38" s="3644"/>
      <c r="E38" s="3640"/>
      <c r="F38" s="3640"/>
      <c r="G38" s="364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13" zoomScale="90" zoomScaleNormal="80" zoomScaleSheetLayoutView="90" workbookViewId="0">
      <selection activeCell="E13" sqref="E1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8444</v>
      </c>
      <c r="C2" s="3268"/>
      <c r="D2" s="3268"/>
      <c r="E2" s="3268"/>
      <c r="F2" s="3268"/>
      <c r="G2" s="3268"/>
    </row>
    <row r="3" spans="1:25" s="1942" customFormat="1" ht="18" customHeight="1">
      <c r="A3" s="1331" t="s">
        <v>1676</v>
      </c>
      <c r="B3" s="419">
        <f ca="1">ROUND(B2*10000/'数据-汇总表'!E3,0)</f>
        <v>1883</v>
      </c>
      <c r="C3" s="3268"/>
      <c r="D3" s="3268"/>
      <c r="E3" s="3268"/>
      <c r="F3" s="3268"/>
      <c r="G3" s="3268"/>
    </row>
    <row r="4" spans="1:25" s="1942" customFormat="1" ht="18" customHeight="1">
      <c r="A4" s="420" t="s">
        <v>462</v>
      </c>
      <c r="B4" s="421">
        <f ca="1">ROUND(B2*10000/'数据-汇总表'!D3,0)</f>
        <v>1883</v>
      </c>
      <c r="C4" s="3221"/>
      <c r="D4" s="3268"/>
      <c r="E4" s="3268"/>
      <c r="F4" s="3268"/>
      <c r="G4" s="3268"/>
    </row>
    <row r="5" spans="1:25" s="1942" customFormat="1" ht="18" customHeight="1" thickBot="1">
      <c r="A5" s="423"/>
      <c r="B5" s="424">
        <f ca="1">ROUND(B2/('数据-汇总表'!D3/666.67),0)</f>
        <v>126</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7069</v>
      </c>
      <c r="D7" s="740"/>
      <c r="E7" s="741"/>
      <c r="F7" s="741"/>
      <c r="G7" s="2332"/>
    </row>
    <row r="8" spans="1:25" s="2064" customFormat="1" ht="13.5" customHeight="1">
      <c r="A8" s="2323" t="s">
        <v>2423</v>
      </c>
      <c r="B8" s="2326" t="s">
        <v>2425</v>
      </c>
      <c r="C8" s="3271">
        <f>ROUND(D8*E8/10000,0)</f>
        <v>7069</v>
      </c>
      <c r="D8" s="3348">
        <f>'数据-基础表'!A3</f>
        <v>44852.26</v>
      </c>
      <c r="E8" s="3272">
        <f>'比较法-工业'!B3</f>
        <v>1576</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538</v>
      </c>
      <c r="D10" s="750"/>
      <c r="E10" s="740"/>
      <c r="F10" s="751"/>
      <c r="G10" s="749" t="s">
        <v>608</v>
      </c>
    </row>
    <row r="11" spans="1:25" s="2064" customFormat="1" ht="13.5" customHeight="1">
      <c r="A11" s="2323" t="s">
        <v>2423</v>
      </c>
      <c r="B11" s="743" t="s">
        <v>604</v>
      </c>
      <c r="C11" s="744">
        <f>'数据-取费表'!B29</f>
        <v>538</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538</v>
      </c>
      <c r="D13" s="3348">
        <f>'数据-汇总表'!E6</f>
        <v>44852.26</v>
      </c>
      <c r="E13" s="3312">
        <f>基准地价!G17</f>
        <v>120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319</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913</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8839</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1083</v>
      </c>
      <c r="D20" s="750"/>
      <c r="E20" s="740"/>
      <c r="F20" s="3321">
        <f>Sheet2!N27</f>
        <v>0.1225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9922</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8444</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8444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34" t="s">
        <v>516</v>
      </c>
      <c r="D4" s="3535"/>
      <c r="E4" s="3568" t="s">
        <v>517</v>
      </c>
      <c r="F4" s="3569"/>
      <c r="G4" s="3534" t="s">
        <v>518</v>
      </c>
      <c r="H4" s="3535"/>
      <c r="I4" s="3534" t="s">
        <v>519</v>
      </c>
      <c r="J4" s="3535"/>
      <c r="K4" s="842" t="s">
        <v>520</v>
      </c>
      <c r="L4" s="2015"/>
      <c r="M4" s="2016"/>
      <c r="N4" s="2016"/>
      <c r="O4" s="2016"/>
      <c r="P4" s="3536" t="s">
        <v>521</v>
      </c>
      <c r="Q4" s="3537"/>
      <c r="R4" s="3542" t="s">
        <v>517</v>
      </c>
      <c r="S4" s="3543"/>
      <c r="T4" s="3542" t="s">
        <v>518</v>
      </c>
      <c r="U4" s="3543"/>
      <c r="V4" s="3529" t="s">
        <v>519</v>
      </c>
      <c r="W4" s="3529"/>
      <c r="X4" s="1502"/>
      <c r="Y4" s="3542" t="s">
        <v>521</v>
      </c>
      <c r="Z4" s="3543"/>
      <c r="AA4" s="3531" t="s">
        <v>517</v>
      </c>
      <c r="AB4" s="3531" t="s">
        <v>518</v>
      </c>
      <c r="AC4" s="3531" t="s">
        <v>519</v>
      </c>
    </row>
    <row r="5" spans="1:29" ht="15">
      <c r="A5" s="509"/>
      <c r="B5" s="510"/>
      <c r="C5" s="3550" t="s">
        <v>2898</v>
      </c>
      <c r="D5" s="3551"/>
      <c r="E5" s="3570" t="s">
        <v>2899</v>
      </c>
      <c r="F5" s="3571"/>
      <c r="G5" s="3550" t="s">
        <v>2900</v>
      </c>
      <c r="H5" s="3551"/>
      <c r="I5" s="3550" t="s">
        <v>2901</v>
      </c>
      <c r="J5" s="3551"/>
      <c r="K5" s="843"/>
      <c r="L5" s="2015"/>
      <c r="M5" s="2016"/>
      <c r="N5" s="2016"/>
      <c r="O5" s="2016"/>
      <c r="P5" s="3538"/>
      <c r="Q5" s="3539"/>
      <c r="R5" s="3544"/>
      <c r="S5" s="3545"/>
      <c r="T5" s="3544"/>
      <c r="U5" s="3545"/>
      <c r="V5" s="3529"/>
      <c r="W5" s="3529"/>
      <c r="X5" s="1502"/>
      <c r="Y5" s="3544"/>
      <c r="Z5" s="3545"/>
      <c r="AA5" s="3532"/>
      <c r="AB5" s="3532"/>
      <c r="AC5" s="3532"/>
    </row>
    <row r="6" spans="1:29" ht="15.75" thickBot="1">
      <c r="A6" s="511"/>
      <c r="B6" s="512"/>
      <c r="C6" s="3548" t="s">
        <v>2902</v>
      </c>
      <c r="D6" s="3549"/>
      <c r="E6" s="3566" t="s">
        <v>2902</v>
      </c>
      <c r="F6" s="3567"/>
      <c r="G6" s="3548" t="s">
        <v>2902</v>
      </c>
      <c r="H6" s="3549"/>
      <c r="I6" s="3548" t="s">
        <v>2902</v>
      </c>
      <c r="J6" s="3549"/>
      <c r="K6" s="843" t="s">
        <v>522</v>
      </c>
      <c r="L6" s="2015"/>
      <c r="M6" s="2016"/>
      <c r="N6" s="2016"/>
      <c r="O6" s="2016"/>
      <c r="P6" s="3540"/>
      <c r="Q6" s="3541"/>
      <c r="R6" s="3544"/>
      <c r="S6" s="3545"/>
      <c r="T6" s="3546"/>
      <c r="U6" s="3547"/>
      <c r="V6" s="3529"/>
      <c r="W6" s="3529"/>
      <c r="X6" s="1502"/>
      <c r="Y6" s="3546"/>
      <c r="Z6" s="3547"/>
      <c r="AA6" s="3533"/>
      <c r="AB6" s="3533"/>
      <c r="AC6" s="3533"/>
    </row>
    <row r="7" spans="1:29" s="1203" customFormat="1" ht="15.75" thickBot="1">
      <c r="A7" s="2629"/>
      <c r="B7" s="2636" t="s">
        <v>523</v>
      </c>
      <c r="C7" s="513">
        <f>'数据-取费表'!B2</f>
        <v>44201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59" t="s">
        <v>524</v>
      </c>
      <c r="Q7" s="3561"/>
      <c r="R7" s="1503" t="s">
        <v>13</v>
      </c>
      <c r="S7" s="1504">
        <f t="shared" ref="S7:S15" si="0">F7</f>
        <v>0</v>
      </c>
      <c r="T7" s="1503" t="s">
        <v>13</v>
      </c>
      <c r="U7" s="1504">
        <f t="shared" ref="U7:U15" si="1">H7</f>
        <v>0</v>
      </c>
      <c r="V7" s="1503" t="s">
        <v>13</v>
      </c>
      <c r="W7" s="1504">
        <f t="shared" ref="W7:W15"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59" t="s">
        <v>527</v>
      </c>
      <c r="Q8" s="3560"/>
      <c r="R8" s="1503" t="s">
        <v>13</v>
      </c>
      <c r="S8" s="1504">
        <f t="shared" si="0"/>
        <v>0</v>
      </c>
      <c r="T8" s="1503" t="s">
        <v>13</v>
      </c>
      <c r="U8" s="1504">
        <f t="shared" si="1"/>
        <v>0</v>
      </c>
      <c r="V8" s="1503" t="s">
        <v>13</v>
      </c>
      <c r="W8" s="1504">
        <f t="shared" si="2"/>
        <v>0</v>
      </c>
      <c r="X8" s="1505"/>
      <c r="Y8" s="3559" t="s">
        <v>527</v>
      </c>
      <c r="Z8" s="356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28" t="s">
        <v>529</v>
      </c>
      <c r="Q9" s="1134" t="str">
        <f t="shared" ref="Q9:Q15" si="6">B9</f>
        <v>用途</v>
      </c>
      <c r="R9" s="1503" t="s">
        <v>8</v>
      </c>
      <c r="S9" s="1504">
        <f t="shared" si="0"/>
        <v>100</v>
      </c>
      <c r="T9" s="1503" t="s">
        <v>8</v>
      </c>
      <c r="U9" s="1504">
        <f t="shared" si="1"/>
        <v>100</v>
      </c>
      <c r="V9" s="1503" t="s">
        <v>8</v>
      </c>
      <c r="W9" s="1504">
        <f t="shared" si="2"/>
        <v>100</v>
      </c>
      <c r="X9" s="1505"/>
      <c r="Y9" s="347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28"/>
      <c r="Q11" s="1134" t="str">
        <f t="shared" si="6"/>
        <v>容积率</v>
      </c>
      <c r="R11" s="1503" t="s">
        <v>11</v>
      </c>
      <c r="S11" s="1504" t="e">
        <f t="shared" si="0"/>
        <v>#N/A</v>
      </c>
      <c r="T11" s="1503" t="s">
        <v>11</v>
      </c>
      <c r="U11" s="1504" t="e">
        <f t="shared" si="1"/>
        <v>#N/A</v>
      </c>
      <c r="V11" s="1503" t="s">
        <v>11</v>
      </c>
      <c r="W11" s="1504" t="e">
        <f t="shared" si="2"/>
        <v>#N/A</v>
      </c>
      <c r="X11" s="1505"/>
      <c r="Y11" s="347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8"/>
      <c r="Q12" s="1134">
        <f t="shared" si="6"/>
        <v>111</v>
      </c>
      <c r="R12" s="1503" t="s">
        <v>11</v>
      </c>
      <c r="S12" s="1504">
        <f t="shared" si="0"/>
        <v>100</v>
      </c>
      <c r="T12" s="1503" t="s">
        <v>11</v>
      </c>
      <c r="U12" s="1504">
        <f t="shared" si="1"/>
        <v>100</v>
      </c>
      <c r="V12" s="1503" t="s">
        <v>11</v>
      </c>
      <c r="W12" s="1504">
        <f t="shared" si="2"/>
        <v>100</v>
      </c>
      <c r="X12" s="1505"/>
      <c r="Y12" s="3474"/>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8"/>
      <c r="Q13" s="1134">
        <f t="shared" si="6"/>
        <v>111</v>
      </c>
      <c r="R13" s="1503" t="s">
        <v>11</v>
      </c>
      <c r="S13" s="1504">
        <f t="shared" si="0"/>
        <v>100</v>
      </c>
      <c r="T13" s="1503" t="s">
        <v>11</v>
      </c>
      <c r="U13" s="1504">
        <f t="shared" si="1"/>
        <v>100</v>
      </c>
      <c r="V13" s="1503" t="s">
        <v>11</v>
      </c>
      <c r="W13" s="1504">
        <f t="shared" si="2"/>
        <v>100</v>
      </c>
      <c r="X13" s="1505"/>
      <c r="Y13" s="3474"/>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8"/>
      <c r="Q14" s="1134">
        <f t="shared" si="6"/>
        <v>111</v>
      </c>
      <c r="R14" s="1503" t="s">
        <v>11</v>
      </c>
      <c r="S14" s="1504">
        <f t="shared" si="0"/>
        <v>100</v>
      </c>
      <c r="T14" s="1503" t="s">
        <v>11</v>
      </c>
      <c r="U14" s="1504">
        <f t="shared" si="1"/>
        <v>100</v>
      </c>
      <c r="V14" s="1503" t="s">
        <v>11</v>
      </c>
      <c r="W14" s="1504">
        <f t="shared" si="2"/>
        <v>100</v>
      </c>
      <c r="X14" s="1505"/>
      <c r="Y14" s="3474"/>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62" t="s">
        <v>534</v>
      </c>
      <c r="Q15" s="1507" t="str">
        <f t="shared" si="6"/>
        <v>居住社区成熟度</v>
      </c>
      <c r="R15" s="1508" t="s">
        <v>11</v>
      </c>
      <c r="S15" s="1509">
        <f t="shared" si="0"/>
        <v>100</v>
      </c>
      <c r="T15" s="1508" t="s">
        <v>11</v>
      </c>
      <c r="U15" s="1509">
        <f t="shared" si="1"/>
        <v>100</v>
      </c>
      <c r="V15" s="1508" t="s">
        <v>11</v>
      </c>
      <c r="W15" s="1509">
        <f t="shared" si="2"/>
        <v>100</v>
      </c>
      <c r="X15" s="1502"/>
      <c r="Y15" s="3562"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63"/>
      <c r="Q16" s="1507"/>
      <c r="R16" s="1508"/>
      <c r="S16" s="1509"/>
      <c r="T16" s="1508"/>
      <c r="U16" s="1509"/>
      <c r="V16" s="1508"/>
      <c r="W16" s="1509"/>
      <c r="X16" s="1502"/>
      <c r="Y16" s="356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3"/>
      <c r="Q17" s="1507" t="str">
        <f>B17</f>
        <v>交通便捷度</v>
      </c>
      <c r="R17" s="1508" t="s">
        <v>11</v>
      </c>
      <c r="S17" s="1509">
        <f>F17</f>
        <v>100</v>
      </c>
      <c r="T17" s="1508" t="s">
        <v>11</v>
      </c>
      <c r="U17" s="1509">
        <f>H17</f>
        <v>100</v>
      </c>
      <c r="V17" s="1508" t="s">
        <v>11</v>
      </c>
      <c r="W17" s="1509">
        <f>J17</f>
        <v>100</v>
      </c>
      <c r="X17" s="1502"/>
      <c r="Y17" s="356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63"/>
      <c r="Q18" s="1507"/>
      <c r="R18" s="1508"/>
      <c r="S18" s="1509"/>
      <c r="T18" s="1508"/>
      <c r="U18" s="1509"/>
      <c r="V18" s="1508"/>
      <c r="W18" s="1509"/>
      <c r="X18" s="1502"/>
      <c r="Y18" s="3563"/>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3"/>
      <c r="Q19" s="1507" t="str">
        <f>B19</f>
        <v>公共配套设施</v>
      </c>
      <c r="R19" s="1508" t="s">
        <v>11</v>
      </c>
      <c r="S19" s="1509">
        <f>F19</f>
        <v>100</v>
      </c>
      <c r="T19" s="1508" t="s">
        <v>11</v>
      </c>
      <c r="U19" s="1509">
        <f>H19</f>
        <v>100</v>
      </c>
      <c r="V19" s="1508" t="s">
        <v>11</v>
      </c>
      <c r="W19" s="1509">
        <f>J19</f>
        <v>100</v>
      </c>
      <c r="X19" s="1502"/>
      <c r="Y19" s="356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63"/>
      <c r="Q20" s="1507"/>
      <c r="R20" s="1508"/>
      <c r="S20" s="1509"/>
      <c r="T20" s="1508"/>
      <c r="U20" s="1509"/>
      <c r="V20" s="1508"/>
      <c r="W20" s="1509"/>
      <c r="X20" s="1502"/>
      <c r="Y20" s="3563"/>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3"/>
      <c r="Q21" s="2429" t="str">
        <f>B21</f>
        <v>基础设施水平</v>
      </c>
      <c r="R21" s="1508" t="s">
        <v>11</v>
      </c>
      <c r="S21" s="1509">
        <f>F21</f>
        <v>100</v>
      </c>
      <c r="T21" s="1508" t="s">
        <v>11</v>
      </c>
      <c r="U21" s="1509">
        <f>H21</f>
        <v>100</v>
      </c>
      <c r="V21" s="1508" t="s">
        <v>11</v>
      </c>
      <c r="W21" s="1509">
        <f>J21</f>
        <v>100</v>
      </c>
      <c r="X21" s="2431"/>
      <c r="Y21" s="356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63"/>
      <c r="Q22" s="2429"/>
      <c r="R22" s="1508"/>
      <c r="S22" s="1509"/>
      <c r="T22" s="1508"/>
      <c r="U22" s="1509"/>
      <c r="V22" s="1508"/>
      <c r="W22" s="1509"/>
      <c r="X22" s="2431"/>
      <c r="Y22" s="3563"/>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3"/>
      <c r="Q23" s="1507" t="str">
        <f>B23</f>
        <v>自然及人文环境</v>
      </c>
      <c r="R23" s="1508" t="s">
        <v>11</v>
      </c>
      <c r="S23" s="1509">
        <f>F23</f>
        <v>100</v>
      </c>
      <c r="T23" s="1508" t="s">
        <v>11</v>
      </c>
      <c r="U23" s="1509">
        <f>H23</f>
        <v>100</v>
      </c>
      <c r="V23" s="1508" t="s">
        <v>11</v>
      </c>
      <c r="W23" s="1509">
        <f>J23</f>
        <v>100</v>
      </c>
      <c r="X23" s="1502"/>
      <c r="Y23" s="356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63"/>
      <c r="Q24" s="1507"/>
      <c r="R24" s="1508"/>
      <c r="S24" s="1509"/>
      <c r="T24" s="1508"/>
      <c r="U24" s="1509"/>
      <c r="V24" s="1508"/>
      <c r="W24" s="1509"/>
      <c r="X24" s="1502"/>
      <c r="Y24" s="3563"/>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3"/>
      <c r="Q25" s="1507" t="str">
        <f t="shared" ref="Q25:Q46" si="11">B25</f>
        <v>楼层-1</v>
      </c>
      <c r="R25" s="1508" t="s">
        <v>11</v>
      </c>
      <c r="S25" s="1509">
        <f>F25</f>
        <v>100</v>
      </c>
      <c r="T25" s="1508" t="s">
        <v>11</v>
      </c>
      <c r="U25" s="1509">
        <f>H25</f>
        <v>100</v>
      </c>
      <c r="V25" s="1508" t="s">
        <v>11</v>
      </c>
      <c r="W25" s="1509">
        <f>J25</f>
        <v>100</v>
      </c>
      <c r="X25" s="1502"/>
      <c r="Y25" s="3563"/>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3"/>
      <c r="Q26" s="1507" t="str">
        <f t="shared" si="11"/>
        <v>朝向</v>
      </c>
      <c r="R26" s="1508" t="s">
        <v>11</v>
      </c>
      <c r="S26" s="1509">
        <f>F26</f>
        <v>100</v>
      </c>
      <c r="T26" s="1508" t="s">
        <v>11</v>
      </c>
      <c r="U26" s="1509">
        <f>H26</f>
        <v>100</v>
      </c>
      <c r="V26" s="1508" t="s">
        <v>11</v>
      </c>
      <c r="W26" s="1509">
        <f>J26</f>
        <v>100</v>
      </c>
      <c r="X26" s="1502"/>
      <c r="Y26" s="3563"/>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3"/>
      <c r="Q27" s="1134" t="str">
        <f t="shared" si="11"/>
        <v>道路级别</v>
      </c>
      <c r="R27" s="1503" t="s">
        <v>11</v>
      </c>
      <c r="S27" s="1504">
        <f>F27</f>
        <v>100</v>
      </c>
      <c r="T27" s="1503" t="s">
        <v>11</v>
      </c>
      <c r="U27" s="1504">
        <f>H27</f>
        <v>100</v>
      </c>
      <c r="V27" s="1503" t="s">
        <v>11</v>
      </c>
      <c r="W27" s="1504">
        <f>J27</f>
        <v>100</v>
      </c>
      <c r="X27" s="1505"/>
      <c r="Y27" s="3563"/>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63"/>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3"/>
      <c r="Q29" s="1507">
        <f t="shared" si="11"/>
        <v>111</v>
      </c>
      <c r="R29" s="1508" t="s">
        <v>11</v>
      </c>
      <c r="S29" s="1509">
        <f t="shared" si="12"/>
        <v>100</v>
      </c>
      <c r="T29" s="1508" t="s">
        <v>11</v>
      </c>
      <c r="U29" s="1509">
        <f t="shared" si="13"/>
        <v>100</v>
      </c>
      <c r="V29" s="1508" t="s">
        <v>11</v>
      </c>
      <c r="W29" s="1509">
        <f t="shared" si="14"/>
        <v>100</v>
      </c>
      <c r="X29" s="1502"/>
      <c r="Y29" s="356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3"/>
      <c r="Q30" s="1507">
        <f t="shared" si="11"/>
        <v>111</v>
      </c>
      <c r="R30" s="1508" t="s">
        <v>11</v>
      </c>
      <c r="S30" s="1509">
        <f t="shared" si="12"/>
        <v>100</v>
      </c>
      <c r="T30" s="1508" t="s">
        <v>11</v>
      </c>
      <c r="U30" s="1509">
        <f t="shared" si="13"/>
        <v>100</v>
      </c>
      <c r="V30" s="1508" t="s">
        <v>11</v>
      </c>
      <c r="W30" s="1509">
        <f t="shared" si="14"/>
        <v>100</v>
      </c>
      <c r="X30" s="1502"/>
      <c r="Y30" s="3563"/>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3"/>
      <c r="Q31" s="1507">
        <f t="shared" si="11"/>
        <v>111</v>
      </c>
      <c r="R31" s="1508" t="s">
        <v>11</v>
      </c>
      <c r="S31" s="1509">
        <f t="shared" si="12"/>
        <v>100</v>
      </c>
      <c r="T31" s="1508" t="s">
        <v>11</v>
      </c>
      <c r="U31" s="1509">
        <f t="shared" si="13"/>
        <v>100</v>
      </c>
      <c r="V31" s="1508" t="s">
        <v>11</v>
      </c>
      <c r="W31" s="1509">
        <f t="shared" si="14"/>
        <v>100</v>
      </c>
      <c r="X31" s="1502"/>
      <c r="Y31" s="3563"/>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64" t="s">
        <v>544</v>
      </c>
      <c r="Q32" s="1507" t="str">
        <f t="shared" si="11"/>
        <v>建筑类型</v>
      </c>
      <c r="R32" s="1508" t="s">
        <v>11</v>
      </c>
      <c r="S32" s="1509">
        <f t="shared" si="12"/>
        <v>100</v>
      </c>
      <c r="T32" s="1508" t="s">
        <v>11</v>
      </c>
      <c r="U32" s="1509">
        <f t="shared" si="13"/>
        <v>100</v>
      </c>
      <c r="V32" s="1508" t="s">
        <v>11</v>
      </c>
      <c r="W32" s="1509">
        <f t="shared" si="14"/>
        <v>100</v>
      </c>
      <c r="X32" s="1502"/>
      <c r="Y32" s="3565"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65"/>
      <c r="Q33" s="1536" t="str">
        <f t="shared" si="11"/>
        <v>项目建筑规模</v>
      </c>
      <c r="R33" s="1512" t="s">
        <v>11</v>
      </c>
      <c r="S33" s="1513" t="e">
        <f t="shared" si="12"/>
        <v>#N/A</v>
      </c>
      <c r="T33" s="1512" t="s">
        <v>11</v>
      </c>
      <c r="U33" s="1513" t="e">
        <f t="shared" si="13"/>
        <v>#N/A</v>
      </c>
      <c r="V33" s="1512" t="s">
        <v>11</v>
      </c>
      <c r="W33" s="1513" t="e">
        <f t="shared" si="14"/>
        <v>#N/A</v>
      </c>
      <c r="X33" s="1514"/>
      <c r="Y33" s="356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65"/>
      <c r="Q34" s="1507" t="str">
        <f t="shared" si="11"/>
        <v>建筑结构</v>
      </c>
      <c r="R34" s="1508" t="s">
        <v>11</v>
      </c>
      <c r="S34" s="1509">
        <f t="shared" si="12"/>
        <v>100</v>
      </c>
      <c r="T34" s="1508" t="s">
        <v>11</v>
      </c>
      <c r="U34" s="1509">
        <f t="shared" si="13"/>
        <v>100</v>
      </c>
      <c r="V34" s="1508" t="s">
        <v>11</v>
      </c>
      <c r="W34" s="1509">
        <f t="shared" si="14"/>
        <v>100</v>
      </c>
      <c r="X34" s="1502"/>
      <c r="Y34" s="3565"/>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5"/>
      <c r="Q35" s="1507" t="str">
        <f t="shared" si="11"/>
        <v>建筑品质</v>
      </c>
      <c r="R35" s="1508" t="s">
        <v>11</v>
      </c>
      <c r="S35" s="1509">
        <f t="shared" si="12"/>
        <v>100</v>
      </c>
      <c r="T35" s="1508" t="s">
        <v>11</v>
      </c>
      <c r="U35" s="1509">
        <f t="shared" si="13"/>
        <v>100</v>
      </c>
      <c r="V35" s="1508" t="s">
        <v>11</v>
      </c>
      <c r="W35" s="1509">
        <f t="shared" si="14"/>
        <v>100</v>
      </c>
      <c r="X35" s="1502"/>
      <c r="Y35" s="3565"/>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5"/>
      <c r="Q36" s="1507" t="str">
        <f t="shared" si="11"/>
        <v>公共部分装修</v>
      </c>
      <c r="R36" s="1508" t="s">
        <v>11</v>
      </c>
      <c r="S36" s="1509">
        <f t="shared" si="12"/>
        <v>100</v>
      </c>
      <c r="T36" s="1508" t="s">
        <v>11</v>
      </c>
      <c r="U36" s="1509">
        <f t="shared" si="13"/>
        <v>100</v>
      </c>
      <c r="V36" s="1508" t="s">
        <v>11</v>
      </c>
      <c r="W36" s="1509">
        <f t="shared" si="14"/>
        <v>100</v>
      </c>
      <c r="X36" s="1502"/>
      <c r="Y36" s="3565"/>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65"/>
      <c r="Q37" s="1134" t="str">
        <f t="shared" si="11"/>
        <v>成新度</v>
      </c>
      <c r="R37" s="1503" t="s">
        <v>11</v>
      </c>
      <c r="S37" s="1504" t="e">
        <f t="shared" si="12"/>
        <v>#N/A</v>
      </c>
      <c r="T37" s="1503" t="s">
        <v>11</v>
      </c>
      <c r="U37" s="1504" t="e">
        <f t="shared" si="13"/>
        <v>#N/A</v>
      </c>
      <c r="V37" s="1503" t="s">
        <v>11</v>
      </c>
      <c r="W37" s="1504" t="e">
        <f t="shared" si="14"/>
        <v>#N/A</v>
      </c>
      <c r="X37" s="1505"/>
      <c r="Y37" s="3565"/>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5" t="s">
        <v>544</v>
      </c>
      <c r="Q38" s="1507" t="str">
        <f t="shared" si="11"/>
        <v>物业管理</v>
      </c>
      <c r="R38" s="1508" t="s">
        <v>11</v>
      </c>
      <c r="S38" s="1509">
        <f t="shared" si="12"/>
        <v>100</v>
      </c>
      <c r="T38" s="1508" t="s">
        <v>11</v>
      </c>
      <c r="U38" s="1509">
        <f t="shared" si="13"/>
        <v>100</v>
      </c>
      <c r="V38" s="1508" t="s">
        <v>11</v>
      </c>
      <c r="W38" s="1509">
        <f t="shared" si="14"/>
        <v>100</v>
      </c>
      <c r="X38" s="1502"/>
      <c r="Y38" s="3565"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5"/>
      <c r="Q39" s="1507" t="str">
        <f t="shared" si="11"/>
        <v>市政基础设施</v>
      </c>
      <c r="R39" s="1508" t="s">
        <v>11</v>
      </c>
      <c r="S39" s="1509">
        <f t="shared" si="12"/>
        <v>100</v>
      </c>
      <c r="T39" s="1508" t="s">
        <v>11</v>
      </c>
      <c r="U39" s="1509">
        <f t="shared" si="13"/>
        <v>100</v>
      </c>
      <c r="V39" s="1508" t="s">
        <v>11</v>
      </c>
      <c r="W39" s="1509">
        <f t="shared" si="14"/>
        <v>100</v>
      </c>
      <c r="X39" s="1502"/>
      <c r="Y39" s="3565"/>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5"/>
      <c r="Q40" s="1507" t="str">
        <f t="shared" si="11"/>
        <v>房型</v>
      </c>
      <c r="R40" s="1508" t="s">
        <v>11</v>
      </c>
      <c r="S40" s="1509">
        <f t="shared" si="12"/>
        <v>100</v>
      </c>
      <c r="T40" s="1508" t="s">
        <v>11</v>
      </c>
      <c r="U40" s="1509">
        <f t="shared" si="13"/>
        <v>100</v>
      </c>
      <c r="V40" s="1508" t="s">
        <v>11</v>
      </c>
      <c r="W40" s="1509">
        <f t="shared" si="14"/>
        <v>100</v>
      </c>
      <c r="X40" s="1502"/>
      <c r="Y40" s="3565"/>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5"/>
      <c r="Q41" s="1536" t="str">
        <f t="shared" si="11"/>
        <v>单套/主力户型建筑面积</v>
      </c>
      <c r="R41" s="1512" t="s">
        <v>11</v>
      </c>
      <c r="S41" s="1513">
        <f t="shared" si="12"/>
        <v>100</v>
      </c>
      <c r="T41" s="1512" t="s">
        <v>11</v>
      </c>
      <c r="U41" s="1513">
        <f t="shared" si="13"/>
        <v>100</v>
      </c>
      <c r="V41" s="1512" t="s">
        <v>11</v>
      </c>
      <c r="W41" s="1513">
        <f t="shared" si="14"/>
        <v>100</v>
      </c>
      <c r="X41" s="1514"/>
      <c r="Y41" s="3565"/>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65"/>
      <c r="Q42" s="1507" t="str">
        <f t="shared" si="11"/>
        <v>内部装修</v>
      </c>
      <c r="R42" s="1508" t="s">
        <v>11</v>
      </c>
      <c r="S42" s="1509">
        <f t="shared" si="12"/>
        <v>100</v>
      </c>
      <c r="T42" s="1508" t="s">
        <v>11</v>
      </c>
      <c r="U42" s="1509">
        <f t="shared" si="13"/>
        <v>100</v>
      </c>
      <c r="V42" s="1508" t="s">
        <v>11</v>
      </c>
      <c r="W42" s="1509">
        <f t="shared" si="14"/>
        <v>100</v>
      </c>
      <c r="X42" s="1502"/>
      <c r="Y42" s="3565"/>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5"/>
      <c r="Q43" s="1507" t="str">
        <f t="shared" si="11"/>
        <v>内部装修维护情况</v>
      </c>
      <c r="R43" s="1508" t="s">
        <v>11</v>
      </c>
      <c r="S43" s="1509">
        <f t="shared" si="12"/>
        <v>100</v>
      </c>
      <c r="T43" s="1508" t="s">
        <v>11</v>
      </c>
      <c r="U43" s="1509">
        <f t="shared" si="13"/>
        <v>100</v>
      </c>
      <c r="V43" s="1508" t="s">
        <v>11</v>
      </c>
      <c r="W43" s="1509">
        <f t="shared" si="14"/>
        <v>100</v>
      </c>
      <c r="X43" s="1502"/>
      <c r="Y43" s="356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65"/>
      <c r="Q44" s="1134">
        <f t="shared" si="11"/>
        <v>111</v>
      </c>
      <c r="R44" s="1503" t="s">
        <v>11</v>
      </c>
      <c r="S44" s="1504">
        <f t="shared" si="12"/>
        <v>100</v>
      </c>
      <c r="T44" s="1503" t="s">
        <v>11</v>
      </c>
      <c r="U44" s="1504">
        <f t="shared" si="13"/>
        <v>100</v>
      </c>
      <c r="V44" s="1503" t="s">
        <v>11</v>
      </c>
      <c r="W44" s="1504">
        <f t="shared" si="14"/>
        <v>100</v>
      </c>
      <c r="X44" s="1505"/>
      <c r="Y44" s="356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65"/>
      <c r="Q45" s="1507">
        <f t="shared" si="11"/>
        <v>111</v>
      </c>
      <c r="R45" s="1508" t="s">
        <v>11</v>
      </c>
      <c r="S45" s="1509">
        <f t="shared" si="12"/>
        <v>100</v>
      </c>
      <c r="T45" s="1508" t="s">
        <v>11</v>
      </c>
      <c r="U45" s="1509">
        <f t="shared" si="13"/>
        <v>100</v>
      </c>
      <c r="V45" s="1508" t="s">
        <v>11</v>
      </c>
      <c r="W45" s="1509">
        <f t="shared" si="14"/>
        <v>100</v>
      </c>
      <c r="X45" s="1502"/>
      <c r="Y45" s="3565"/>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7"/>
      <c r="Q46" s="1507">
        <f t="shared" si="11"/>
        <v>111</v>
      </c>
      <c r="R46" s="1508" t="s">
        <v>10</v>
      </c>
      <c r="S46" s="1509">
        <f t="shared" si="12"/>
        <v>100</v>
      </c>
      <c r="T46" s="1508" t="s">
        <v>10</v>
      </c>
      <c r="U46" s="1509">
        <f t="shared" si="13"/>
        <v>100</v>
      </c>
      <c r="V46" s="1508" t="s">
        <v>10</v>
      </c>
      <c r="W46" s="1509">
        <f t="shared" si="14"/>
        <v>100</v>
      </c>
      <c r="X46" s="1502"/>
      <c r="Y46" s="3647"/>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28" t="str">
        <f>A47</f>
        <v>成交单价（元/平方米）</v>
      </c>
      <c r="Q47" s="3528"/>
      <c r="R47" s="3646">
        <f>E47</f>
        <v>0</v>
      </c>
      <c r="S47" s="3646"/>
      <c r="T47" s="3646">
        <f>G47</f>
        <v>0</v>
      </c>
      <c r="U47" s="3646"/>
      <c r="V47" s="3646">
        <f>I47</f>
        <v>0</v>
      </c>
      <c r="W47" s="364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28" t="str">
        <f>A48</f>
        <v>比较价格（元/平方米）</v>
      </c>
      <c r="Q48" s="3528"/>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25" t="str">
        <f>A49</f>
        <v>估价对象XX用房的比较价格（楼面单价，元/平方米）</v>
      </c>
      <c r="Q49" s="3526"/>
      <c r="R49" s="3645" t="e">
        <f>IF(F1="售价",ROUND(IF(D48="简单平均",AVERAGE(R48:V48),R48*F48+T48*H48+V48*J48),0),ROUND(IF(D48="简单平均",AVERAGE(R48:V48),R48*F48+T48*H48+V48*J48),1))</f>
        <v>#DIV/0!</v>
      </c>
      <c r="S49" s="3645"/>
      <c r="T49" s="3645"/>
      <c r="U49" s="3645"/>
      <c r="V49" s="3645"/>
      <c r="W49" s="364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4" t="s">
        <v>516</v>
      </c>
      <c r="D4" s="3535"/>
      <c r="E4" s="3568" t="s">
        <v>517</v>
      </c>
      <c r="F4" s="3569"/>
      <c r="G4" s="3534" t="s">
        <v>518</v>
      </c>
      <c r="H4" s="3535"/>
      <c r="I4" s="3534" t="s">
        <v>519</v>
      </c>
      <c r="J4" s="3535"/>
      <c r="K4" s="508" t="s">
        <v>520</v>
      </c>
      <c r="L4" s="2015"/>
      <c r="M4" s="2016"/>
      <c r="N4" s="2016"/>
      <c r="O4" s="2016"/>
      <c r="P4" s="3536" t="s">
        <v>521</v>
      </c>
      <c r="Q4" s="3537"/>
      <c r="R4" s="3542" t="s">
        <v>517</v>
      </c>
      <c r="S4" s="3543"/>
      <c r="T4" s="3542" t="s">
        <v>518</v>
      </c>
      <c r="U4" s="3543"/>
      <c r="V4" s="3529" t="s">
        <v>519</v>
      </c>
      <c r="W4" s="3529"/>
      <c r="X4" s="1502"/>
      <c r="Y4" s="3542" t="s">
        <v>521</v>
      </c>
      <c r="Z4" s="3543"/>
      <c r="AA4" s="3531" t="s">
        <v>517</v>
      </c>
      <c r="AB4" s="3529" t="s">
        <v>518</v>
      </c>
      <c r="AC4" s="3531" t="s">
        <v>519</v>
      </c>
    </row>
    <row r="5" spans="1:29" ht="15">
      <c r="A5" s="509"/>
      <c r="B5" s="510"/>
      <c r="C5" s="3550" t="s">
        <v>2898</v>
      </c>
      <c r="D5" s="3551"/>
      <c r="E5" s="3570" t="s">
        <v>2899</v>
      </c>
      <c r="F5" s="3571"/>
      <c r="G5" s="3550" t="s">
        <v>2900</v>
      </c>
      <c r="H5" s="3551"/>
      <c r="I5" s="3550" t="s">
        <v>2901</v>
      </c>
      <c r="J5" s="3551"/>
      <c r="K5" s="508"/>
      <c r="L5" s="2015"/>
      <c r="M5" s="2016"/>
      <c r="N5" s="2016"/>
      <c r="O5" s="2016"/>
      <c r="P5" s="3538"/>
      <c r="Q5" s="3539"/>
      <c r="R5" s="3544"/>
      <c r="S5" s="3545"/>
      <c r="T5" s="3544"/>
      <c r="U5" s="3545"/>
      <c r="V5" s="3529"/>
      <c r="W5" s="3529"/>
      <c r="X5" s="1502"/>
      <c r="Y5" s="3544"/>
      <c r="Z5" s="3545"/>
      <c r="AA5" s="3532"/>
      <c r="AB5" s="3529"/>
      <c r="AC5" s="3532"/>
    </row>
    <row r="6" spans="1:29" ht="15.75" thickBot="1">
      <c r="A6" s="511"/>
      <c r="B6" s="512"/>
      <c r="C6" s="3548" t="s">
        <v>2902</v>
      </c>
      <c r="D6" s="3549"/>
      <c r="E6" s="3566" t="s">
        <v>2902</v>
      </c>
      <c r="F6" s="3567"/>
      <c r="G6" s="3548" t="s">
        <v>2902</v>
      </c>
      <c r="H6" s="3549"/>
      <c r="I6" s="3548" t="s">
        <v>2902</v>
      </c>
      <c r="J6" s="3549"/>
      <c r="K6" s="508" t="s">
        <v>522</v>
      </c>
      <c r="L6" s="2015"/>
      <c r="M6" s="2016"/>
      <c r="N6" s="2016"/>
      <c r="O6" s="2016"/>
      <c r="P6" s="3540"/>
      <c r="Q6" s="3541"/>
      <c r="R6" s="3544"/>
      <c r="S6" s="3545"/>
      <c r="T6" s="3546"/>
      <c r="U6" s="3547"/>
      <c r="V6" s="3529"/>
      <c r="W6" s="3529"/>
      <c r="X6" s="1502"/>
      <c r="Y6" s="3546"/>
      <c r="Z6" s="3547"/>
      <c r="AA6" s="3533"/>
      <c r="AB6" s="3529"/>
      <c r="AC6" s="3533"/>
    </row>
    <row r="7" spans="1:29" s="1203" customFormat="1" ht="15.75" thickBot="1">
      <c r="A7" s="2629"/>
      <c r="B7" s="2636" t="s">
        <v>523</v>
      </c>
      <c r="C7" s="513">
        <f>'数据-取费表'!B2</f>
        <v>44201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9" t="s">
        <v>524</v>
      </c>
      <c r="Q7" s="3561"/>
      <c r="R7" s="1503" t="s">
        <v>8</v>
      </c>
      <c r="S7" s="1504">
        <f t="shared" ref="S7:S15" si="0">F7</f>
        <v>0</v>
      </c>
      <c r="T7" s="1503" t="s">
        <v>8</v>
      </c>
      <c r="U7" s="1504">
        <f t="shared" ref="U7:U15" si="1">H7</f>
        <v>0</v>
      </c>
      <c r="V7" s="1503" t="s">
        <v>8</v>
      </c>
      <c r="W7" s="1504">
        <f t="shared" ref="W7:W15"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9" t="s">
        <v>527</v>
      </c>
      <c r="Q8" s="3560"/>
      <c r="R8" s="1503" t="s">
        <v>8</v>
      </c>
      <c r="S8" s="1504">
        <f t="shared" si="0"/>
        <v>0</v>
      </c>
      <c r="T8" s="1503" t="s">
        <v>8</v>
      </c>
      <c r="U8" s="1504">
        <f t="shared" si="1"/>
        <v>0</v>
      </c>
      <c r="V8" s="1503" t="s">
        <v>8</v>
      </c>
      <c r="W8" s="1504">
        <f t="shared" si="2"/>
        <v>0</v>
      </c>
      <c r="X8" s="1505"/>
      <c r="Y8" s="3559" t="s">
        <v>527</v>
      </c>
      <c r="Z8" s="356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8" t="s">
        <v>529</v>
      </c>
      <c r="Q9" s="1134" t="str">
        <f t="shared" ref="Q9:Q15" si="6">B9</f>
        <v>用途</v>
      </c>
      <c r="R9" s="1503" t="s">
        <v>8</v>
      </c>
      <c r="S9" s="1504">
        <f t="shared" si="0"/>
        <v>100</v>
      </c>
      <c r="T9" s="1503" t="s">
        <v>8</v>
      </c>
      <c r="U9" s="1504">
        <f t="shared" si="1"/>
        <v>100</v>
      </c>
      <c r="V9" s="1503" t="s">
        <v>8</v>
      </c>
      <c r="W9" s="1504">
        <f t="shared" si="2"/>
        <v>100</v>
      </c>
      <c r="X9" s="1505"/>
      <c r="Y9" s="347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8"/>
      <c r="Q11" s="1134" t="str">
        <f t="shared" si="6"/>
        <v>容积率</v>
      </c>
      <c r="R11" s="1503" t="s">
        <v>8</v>
      </c>
      <c r="S11" s="1504" t="e">
        <f t="shared" si="0"/>
        <v>#N/A</v>
      </c>
      <c r="T11" s="1503" t="s">
        <v>8</v>
      </c>
      <c r="U11" s="1504" t="e">
        <f t="shared" si="1"/>
        <v>#N/A</v>
      </c>
      <c r="V11" s="1503" t="s">
        <v>8</v>
      </c>
      <c r="W11" s="1504" t="e">
        <f t="shared" si="2"/>
        <v>#N/A</v>
      </c>
      <c r="X11" s="1505"/>
      <c r="Y11" s="347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28"/>
      <c r="Q12" s="1134">
        <f t="shared" si="6"/>
        <v>111</v>
      </c>
      <c r="R12" s="1503" t="s">
        <v>8</v>
      </c>
      <c r="S12" s="1504">
        <f t="shared" si="0"/>
        <v>100</v>
      </c>
      <c r="T12" s="1503" t="s">
        <v>8</v>
      </c>
      <c r="U12" s="1504">
        <f t="shared" si="1"/>
        <v>100</v>
      </c>
      <c r="V12" s="1503" t="s">
        <v>8</v>
      </c>
      <c r="W12" s="1504">
        <f t="shared" si="2"/>
        <v>100</v>
      </c>
      <c r="X12" s="1505"/>
      <c r="Y12" s="3474"/>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28"/>
      <c r="Q13" s="1134">
        <f t="shared" si="6"/>
        <v>111</v>
      </c>
      <c r="R13" s="1503" t="s">
        <v>8</v>
      </c>
      <c r="S13" s="1504">
        <f t="shared" si="0"/>
        <v>100</v>
      </c>
      <c r="T13" s="1503" t="s">
        <v>8</v>
      </c>
      <c r="U13" s="1504">
        <f t="shared" si="1"/>
        <v>100</v>
      </c>
      <c r="V13" s="1503" t="s">
        <v>8</v>
      </c>
      <c r="W13" s="1504">
        <f t="shared" si="2"/>
        <v>100</v>
      </c>
      <c r="X13" s="1505"/>
      <c r="Y13" s="3474"/>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28"/>
      <c r="Q14" s="1134">
        <f t="shared" si="6"/>
        <v>111</v>
      </c>
      <c r="R14" s="1503" t="s">
        <v>8</v>
      </c>
      <c r="S14" s="1504">
        <f t="shared" si="0"/>
        <v>100</v>
      </c>
      <c r="T14" s="1503" t="s">
        <v>8</v>
      </c>
      <c r="U14" s="1504">
        <f t="shared" si="1"/>
        <v>100</v>
      </c>
      <c r="V14" s="1503" t="s">
        <v>8</v>
      </c>
      <c r="W14" s="1504">
        <f t="shared" si="2"/>
        <v>100</v>
      </c>
      <c r="X14" s="1505"/>
      <c r="Y14" s="3474"/>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62" t="s">
        <v>534</v>
      </c>
      <c r="Q15" s="1507" t="str">
        <f t="shared" si="6"/>
        <v>商业繁华度</v>
      </c>
      <c r="R15" s="1508" t="s">
        <v>8</v>
      </c>
      <c r="S15" s="1509">
        <f t="shared" si="0"/>
        <v>100</v>
      </c>
      <c r="T15" s="1508" t="s">
        <v>8</v>
      </c>
      <c r="U15" s="1509">
        <f t="shared" si="1"/>
        <v>100</v>
      </c>
      <c r="V15" s="1508" t="s">
        <v>8</v>
      </c>
      <c r="W15" s="1509">
        <f t="shared" si="2"/>
        <v>100</v>
      </c>
      <c r="X15" s="1502"/>
      <c r="Y15" s="356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3"/>
      <c r="Q16" s="1507"/>
      <c r="R16" s="1508"/>
      <c r="S16" s="1509"/>
      <c r="T16" s="1508"/>
      <c r="U16" s="1509"/>
      <c r="V16" s="1508"/>
      <c r="W16" s="1509"/>
      <c r="X16" s="1502"/>
      <c r="Y16" s="3563"/>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63"/>
      <c r="Q17" s="1507" t="str">
        <f>B17</f>
        <v>交通便捷度</v>
      </c>
      <c r="R17" s="1508" t="s">
        <v>8</v>
      </c>
      <c r="S17" s="1509">
        <f>F17</f>
        <v>100</v>
      </c>
      <c r="T17" s="1508" t="s">
        <v>8</v>
      </c>
      <c r="U17" s="1509">
        <f>H17</f>
        <v>100</v>
      </c>
      <c r="V17" s="1508" t="s">
        <v>8</v>
      </c>
      <c r="W17" s="1509">
        <f>J17</f>
        <v>100</v>
      </c>
      <c r="X17" s="1502"/>
      <c r="Y17" s="356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3"/>
      <c r="Q18" s="1507"/>
      <c r="R18" s="1508"/>
      <c r="S18" s="1509"/>
      <c r="T18" s="1508"/>
      <c r="U18" s="1509"/>
      <c r="V18" s="1508"/>
      <c r="W18" s="1509"/>
      <c r="X18" s="1502"/>
      <c r="Y18" s="3563"/>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63"/>
      <c r="Q19" s="1507" t="str">
        <f>B19</f>
        <v>公共配套设施</v>
      </c>
      <c r="R19" s="1508" t="s">
        <v>8</v>
      </c>
      <c r="S19" s="1509">
        <f>F19</f>
        <v>100</v>
      </c>
      <c r="T19" s="1508" t="s">
        <v>8</v>
      </c>
      <c r="U19" s="1509">
        <f>H19</f>
        <v>100</v>
      </c>
      <c r="V19" s="1508" t="s">
        <v>8</v>
      </c>
      <c r="W19" s="1509">
        <f>J19</f>
        <v>100</v>
      </c>
      <c r="X19" s="1502"/>
      <c r="Y19" s="356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63"/>
      <c r="Q20" s="1507"/>
      <c r="R20" s="1508"/>
      <c r="S20" s="1509"/>
      <c r="T20" s="1508"/>
      <c r="U20" s="1509"/>
      <c r="V20" s="1508"/>
      <c r="W20" s="1509"/>
      <c r="X20" s="1502"/>
      <c r="Y20" s="3563"/>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63"/>
      <c r="Q21" s="2429" t="str">
        <f>B21</f>
        <v>基础设施水平</v>
      </c>
      <c r="R21" s="1508" t="s">
        <v>8</v>
      </c>
      <c r="S21" s="1509">
        <f>F21</f>
        <v>100</v>
      </c>
      <c r="T21" s="1508" t="s">
        <v>8</v>
      </c>
      <c r="U21" s="1509">
        <f>H21</f>
        <v>100</v>
      </c>
      <c r="V21" s="1508" t="s">
        <v>8</v>
      </c>
      <c r="W21" s="1509">
        <f>J21</f>
        <v>100</v>
      </c>
      <c r="X21" s="2431"/>
      <c r="Y21" s="356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63"/>
      <c r="Q22" s="2429"/>
      <c r="R22" s="1508"/>
      <c r="S22" s="1509"/>
      <c r="T22" s="1508"/>
      <c r="U22" s="1509"/>
      <c r="V22" s="1508"/>
      <c r="W22" s="1509"/>
      <c r="X22" s="2431"/>
      <c r="Y22" s="3563"/>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63"/>
      <c r="Q23" s="1507" t="str">
        <f>B23</f>
        <v>自然及人文环境</v>
      </c>
      <c r="R23" s="1508" t="s">
        <v>8</v>
      </c>
      <c r="S23" s="1509">
        <f>F23</f>
        <v>100</v>
      </c>
      <c r="T23" s="1508" t="s">
        <v>8</v>
      </c>
      <c r="U23" s="1509">
        <f>H23</f>
        <v>100</v>
      </c>
      <c r="V23" s="1508" t="s">
        <v>8</v>
      </c>
      <c r="W23" s="1509">
        <f>J23</f>
        <v>100</v>
      </c>
      <c r="X23" s="1502"/>
      <c r="Y23" s="356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63"/>
      <c r="Q24" s="1507"/>
      <c r="R24" s="1508"/>
      <c r="S24" s="1509"/>
      <c r="T24" s="1508"/>
      <c r="U24" s="1509"/>
      <c r="V24" s="1508"/>
      <c r="W24" s="1509"/>
      <c r="X24" s="1502"/>
      <c r="Y24" s="356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3"/>
      <c r="Q25" s="1507" t="str">
        <f t="shared" ref="Q25:Q46" si="11">B25</f>
        <v>临街状况</v>
      </c>
      <c r="R25" s="1508" t="s">
        <v>8</v>
      </c>
      <c r="S25" s="1509">
        <f>F25</f>
        <v>100</v>
      </c>
      <c r="T25" s="1508" t="s">
        <v>8</v>
      </c>
      <c r="U25" s="1509">
        <f>H25</f>
        <v>100</v>
      </c>
      <c r="V25" s="1508" t="s">
        <v>8</v>
      </c>
      <c r="W25" s="1509">
        <f>J25</f>
        <v>100</v>
      </c>
      <c r="X25" s="1502"/>
      <c r="Y25" s="356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3"/>
      <c r="Q26" s="1507" t="str">
        <f t="shared" si="11"/>
        <v>平面位置/可视性</v>
      </c>
      <c r="R26" s="1508" t="s">
        <v>8</v>
      </c>
      <c r="S26" s="1509">
        <f>F26</f>
        <v>100</v>
      </c>
      <c r="T26" s="1508" t="s">
        <v>8</v>
      </c>
      <c r="U26" s="1509">
        <f>H26</f>
        <v>100</v>
      </c>
      <c r="V26" s="1508" t="s">
        <v>8</v>
      </c>
      <c r="W26" s="1509">
        <f>J26</f>
        <v>100</v>
      </c>
      <c r="X26" s="1502"/>
      <c r="Y26" s="356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63"/>
      <c r="Q27" s="1134" t="str">
        <f t="shared" si="11"/>
        <v>人流量</v>
      </c>
      <c r="R27" s="1503" t="s">
        <v>8</v>
      </c>
      <c r="S27" s="1504">
        <f>F27</f>
        <v>100</v>
      </c>
      <c r="T27" s="1503" t="s">
        <v>8</v>
      </c>
      <c r="U27" s="1504">
        <f>H27</f>
        <v>100</v>
      </c>
      <c r="V27" s="1503" t="s">
        <v>8</v>
      </c>
      <c r="W27" s="1504">
        <f>J27</f>
        <v>100</v>
      </c>
      <c r="X27" s="1505"/>
      <c r="Y27" s="356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6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3"/>
      <c r="Q29" s="1507">
        <f t="shared" si="11"/>
        <v>111</v>
      </c>
      <c r="R29" s="1508" t="s">
        <v>8</v>
      </c>
      <c r="S29" s="1509">
        <f t="shared" si="12"/>
        <v>100</v>
      </c>
      <c r="T29" s="1508" t="s">
        <v>8</v>
      </c>
      <c r="U29" s="1509">
        <f t="shared" si="13"/>
        <v>100</v>
      </c>
      <c r="V29" s="1508" t="s">
        <v>8</v>
      </c>
      <c r="W29" s="1509">
        <f t="shared" si="14"/>
        <v>100</v>
      </c>
      <c r="X29" s="1502"/>
      <c r="Y29" s="356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3"/>
      <c r="Q30" s="1507">
        <f t="shared" si="11"/>
        <v>111</v>
      </c>
      <c r="R30" s="1508" t="s">
        <v>8</v>
      </c>
      <c r="S30" s="1509">
        <f t="shared" si="12"/>
        <v>100</v>
      </c>
      <c r="T30" s="1508" t="s">
        <v>8</v>
      </c>
      <c r="U30" s="1509">
        <f t="shared" si="13"/>
        <v>100</v>
      </c>
      <c r="V30" s="1508" t="s">
        <v>8</v>
      </c>
      <c r="W30" s="1509">
        <f t="shared" si="14"/>
        <v>100</v>
      </c>
      <c r="X30" s="1502"/>
      <c r="Y30" s="356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3"/>
      <c r="Q31" s="1507">
        <f t="shared" si="11"/>
        <v>111</v>
      </c>
      <c r="R31" s="1508" t="s">
        <v>8</v>
      </c>
      <c r="S31" s="1509">
        <f t="shared" si="12"/>
        <v>100</v>
      </c>
      <c r="T31" s="1508" t="s">
        <v>8</v>
      </c>
      <c r="U31" s="1509">
        <f t="shared" si="13"/>
        <v>100</v>
      </c>
      <c r="V31" s="1508" t="s">
        <v>8</v>
      </c>
      <c r="W31" s="1509">
        <f t="shared" si="14"/>
        <v>100</v>
      </c>
      <c r="X31" s="1502"/>
      <c r="Y31" s="3563"/>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4" t="s">
        <v>544</v>
      </c>
      <c r="Q32" s="1507" t="str">
        <f t="shared" si="11"/>
        <v>商业类型</v>
      </c>
      <c r="R32" s="1508" t="s">
        <v>8</v>
      </c>
      <c r="S32" s="1509">
        <f t="shared" si="12"/>
        <v>100</v>
      </c>
      <c r="T32" s="1508" t="s">
        <v>8</v>
      </c>
      <c r="U32" s="1509">
        <f t="shared" si="13"/>
        <v>100</v>
      </c>
      <c r="V32" s="1508" t="s">
        <v>8</v>
      </c>
      <c r="W32" s="1509">
        <f t="shared" si="14"/>
        <v>100</v>
      </c>
      <c r="X32" s="1502"/>
      <c r="Y32" s="356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5"/>
      <c r="Q33" s="1536" t="str">
        <f t="shared" si="11"/>
        <v>项目建筑规模</v>
      </c>
      <c r="R33" s="1512" t="s">
        <v>8</v>
      </c>
      <c r="S33" s="1513" t="e">
        <f t="shared" si="12"/>
        <v>#N/A</v>
      </c>
      <c r="T33" s="1512" t="s">
        <v>8</v>
      </c>
      <c r="U33" s="1513" t="e">
        <f t="shared" si="13"/>
        <v>#N/A</v>
      </c>
      <c r="V33" s="1512" t="s">
        <v>8</v>
      </c>
      <c r="W33" s="1513" t="e">
        <f t="shared" si="14"/>
        <v>#N/A</v>
      </c>
      <c r="X33" s="1514"/>
      <c r="Y33" s="356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65"/>
      <c r="Q34" s="1507" t="str">
        <f t="shared" si="11"/>
        <v>建筑结构</v>
      </c>
      <c r="R34" s="1508" t="s">
        <v>8</v>
      </c>
      <c r="S34" s="1509">
        <f t="shared" si="12"/>
        <v>100</v>
      </c>
      <c r="T34" s="1508" t="s">
        <v>8</v>
      </c>
      <c r="U34" s="1509">
        <f t="shared" si="13"/>
        <v>100</v>
      </c>
      <c r="V34" s="1508" t="s">
        <v>8</v>
      </c>
      <c r="W34" s="1509">
        <f t="shared" si="14"/>
        <v>100</v>
      </c>
      <c r="X34" s="1502"/>
      <c r="Y34" s="356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5"/>
      <c r="Q35" s="1507" t="str">
        <f t="shared" si="11"/>
        <v>公共部分装修</v>
      </c>
      <c r="R35" s="1508" t="s">
        <v>8</v>
      </c>
      <c r="S35" s="1509">
        <f t="shared" si="12"/>
        <v>100</v>
      </c>
      <c r="T35" s="1508" t="s">
        <v>8</v>
      </c>
      <c r="U35" s="1509">
        <f t="shared" si="13"/>
        <v>100</v>
      </c>
      <c r="V35" s="1508" t="s">
        <v>8</v>
      </c>
      <c r="W35" s="1509">
        <f t="shared" si="14"/>
        <v>100</v>
      </c>
      <c r="X35" s="1502"/>
      <c r="Y35" s="356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65"/>
      <c r="Q36" s="1507" t="str">
        <f t="shared" si="11"/>
        <v>成新度</v>
      </c>
      <c r="R36" s="1508" t="s">
        <v>8</v>
      </c>
      <c r="S36" s="1509" t="e">
        <f t="shared" si="12"/>
        <v>#N/A</v>
      </c>
      <c r="T36" s="1508" t="s">
        <v>8</v>
      </c>
      <c r="U36" s="1509" t="e">
        <f t="shared" si="13"/>
        <v>#N/A</v>
      </c>
      <c r="V36" s="1508" t="s">
        <v>8</v>
      </c>
      <c r="W36" s="1509" t="e">
        <f t="shared" si="14"/>
        <v>#N/A</v>
      </c>
      <c r="X36" s="1502"/>
      <c r="Y36" s="3565"/>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5"/>
      <c r="Q37" s="1134" t="str">
        <f t="shared" si="11"/>
        <v>市政基础设施</v>
      </c>
      <c r="R37" s="1503" t="s">
        <v>8</v>
      </c>
      <c r="S37" s="1504">
        <f t="shared" si="12"/>
        <v>100</v>
      </c>
      <c r="T37" s="1503" t="s">
        <v>8</v>
      </c>
      <c r="U37" s="1504">
        <f t="shared" si="13"/>
        <v>100</v>
      </c>
      <c r="V37" s="1503" t="s">
        <v>8</v>
      </c>
      <c r="W37" s="1504">
        <f t="shared" si="14"/>
        <v>100</v>
      </c>
      <c r="X37" s="1505"/>
      <c r="Y37" s="356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5" t="s">
        <v>760</v>
      </c>
      <c r="Q38" s="1507" t="str">
        <f t="shared" si="11"/>
        <v>业态</v>
      </c>
      <c r="R38" s="1508" t="s">
        <v>8</v>
      </c>
      <c r="S38" s="1509">
        <f t="shared" si="12"/>
        <v>100</v>
      </c>
      <c r="T38" s="1508" t="s">
        <v>8</v>
      </c>
      <c r="U38" s="1509">
        <f t="shared" si="13"/>
        <v>100</v>
      </c>
      <c r="V38" s="1508" t="s">
        <v>8</v>
      </c>
      <c r="W38" s="1509">
        <f t="shared" si="14"/>
        <v>100</v>
      </c>
      <c r="X38" s="1502"/>
      <c r="Y38" s="356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5"/>
      <c r="Q39" s="1507" t="str">
        <f t="shared" si="11"/>
        <v>层高</v>
      </c>
      <c r="R39" s="1508" t="s">
        <v>8</v>
      </c>
      <c r="S39" s="1509">
        <f t="shared" si="12"/>
        <v>100</v>
      </c>
      <c r="T39" s="1508" t="s">
        <v>8</v>
      </c>
      <c r="U39" s="1509">
        <f t="shared" si="13"/>
        <v>100</v>
      </c>
      <c r="V39" s="1508" t="s">
        <v>8</v>
      </c>
      <c r="W39" s="1509">
        <f t="shared" si="14"/>
        <v>100</v>
      </c>
      <c r="X39" s="1502"/>
      <c r="Y39" s="356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65"/>
      <c r="Q40" s="1507" t="str">
        <f t="shared" si="11"/>
        <v>单套建筑面积</v>
      </c>
      <c r="R40" s="1508" t="s">
        <v>8</v>
      </c>
      <c r="S40" s="1509">
        <f t="shared" si="12"/>
        <v>100</v>
      </c>
      <c r="T40" s="1508" t="s">
        <v>8</v>
      </c>
      <c r="U40" s="1509">
        <f t="shared" si="13"/>
        <v>100</v>
      </c>
      <c r="V40" s="1508" t="s">
        <v>8</v>
      </c>
      <c r="W40" s="1509">
        <f t="shared" si="14"/>
        <v>100</v>
      </c>
      <c r="X40" s="1502"/>
      <c r="Y40" s="356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5"/>
      <c r="Q41" s="1536" t="str">
        <f t="shared" si="11"/>
        <v>进深比</v>
      </c>
      <c r="R41" s="1512" t="s">
        <v>8</v>
      </c>
      <c r="S41" s="1513">
        <f t="shared" si="12"/>
        <v>100</v>
      </c>
      <c r="T41" s="1512" t="s">
        <v>8</v>
      </c>
      <c r="U41" s="1513">
        <f t="shared" si="13"/>
        <v>100</v>
      </c>
      <c r="V41" s="1512" t="s">
        <v>8</v>
      </c>
      <c r="W41" s="1513">
        <f t="shared" si="14"/>
        <v>100</v>
      </c>
      <c r="X41" s="1514"/>
      <c r="Y41" s="356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5"/>
      <c r="Q42" s="1507" t="str">
        <f t="shared" si="11"/>
        <v>内部装修</v>
      </c>
      <c r="R42" s="1508" t="s">
        <v>8</v>
      </c>
      <c r="S42" s="1509">
        <f t="shared" si="12"/>
        <v>100</v>
      </c>
      <c r="T42" s="1508" t="s">
        <v>8</v>
      </c>
      <c r="U42" s="1509">
        <f t="shared" si="13"/>
        <v>100</v>
      </c>
      <c r="V42" s="1508" t="s">
        <v>8</v>
      </c>
      <c r="W42" s="1509">
        <f t="shared" si="14"/>
        <v>100</v>
      </c>
      <c r="X42" s="1502"/>
      <c r="Y42" s="356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5"/>
      <c r="Q43" s="1507" t="str">
        <f t="shared" si="11"/>
        <v>内部装修维护情况</v>
      </c>
      <c r="R43" s="1508" t="s">
        <v>8</v>
      </c>
      <c r="S43" s="1509">
        <f t="shared" si="12"/>
        <v>100</v>
      </c>
      <c r="T43" s="1508" t="s">
        <v>8</v>
      </c>
      <c r="U43" s="1509">
        <f t="shared" si="13"/>
        <v>100</v>
      </c>
      <c r="V43" s="1508" t="s">
        <v>8</v>
      </c>
      <c r="W43" s="1509">
        <f t="shared" si="14"/>
        <v>100</v>
      </c>
      <c r="X43" s="1502"/>
      <c r="Y43" s="356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5"/>
      <c r="Q44" s="1134">
        <f t="shared" si="11"/>
        <v>111</v>
      </c>
      <c r="R44" s="1503" t="s">
        <v>8</v>
      </c>
      <c r="S44" s="1504">
        <f t="shared" si="12"/>
        <v>100</v>
      </c>
      <c r="T44" s="1503" t="s">
        <v>8</v>
      </c>
      <c r="U44" s="1504">
        <f t="shared" si="13"/>
        <v>100</v>
      </c>
      <c r="V44" s="1503" t="s">
        <v>8</v>
      </c>
      <c r="W44" s="1504">
        <f t="shared" si="14"/>
        <v>100</v>
      </c>
      <c r="X44" s="1505"/>
      <c r="Y44" s="356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5"/>
      <c r="Q45" s="1507">
        <f t="shared" si="11"/>
        <v>111</v>
      </c>
      <c r="R45" s="1508" t="s">
        <v>8</v>
      </c>
      <c r="S45" s="1509">
        <f t="shared" si="12"/>
        <v>100</v>
      </c>
      <c r="T45" s="1508" t="s">
        <v>8</v>
      </c>
      <c r="U45" s="1509">
        <f t="shared" si="13"/>
        <v>100</v>
      </c>
      <c r="V45" s="1508" t="s">
        <v>8</v>
      </c>
      <c r="W45" s="1509">
        <f t="shared" si="14"/>
        <v>100</v>
      </c>
      <c r="X45" s="1502"/>
      <c r="Y45" s="356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7"/>
      <c r="Q46" s="1507">
        <f t="shared" si="11"/>
        <v>111</v>
      </c>
      <c r="R46" s="1508" t="s">
        <v>8</v>
      </c>
      <c r="S46" s="1509">
        <f t="shared" si="12"/>
        <v>100</v>
      </c>
      <c r="T46" s="1508" t="s">
        <v>8</v>
      </c>
      <c r="U46" s="1509">
        <f t="shared" si="13"/>
        <v>100</v>
      </c>
      <c r="V46" s="1508" t="s">
        <v>8</v>
      </c>
      <c r="W46" s="1509">
        <f t="shared" si="14"/>
        <v>100</v>
      </c>
      <c r="X46" s="1502"/>
      <c r="Y46" s="364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28" t="str">
        <f>A47</f>
        <v>成交单价（元/平方米）</v>
      </c>
      <c r="Q47" s="3528"/>
      <c r="R47" s="3646">
        <f>E47</f>
        <v>0</v>
      </c>
      <c r="S47" s="3646"/>
      <c r="T47" s="3646">
        <f>G47</f>
        <v>0</v>
      </c>
      <c r="U47" s="3646"/>
      <c r="V47" s="3646">
        <f>I47</f>
        <v>0</v>
      </c>
      <c r="W47" s="3646"/>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28" t="str">
        <f>A48</f>
        <v>比较价格（元/平方米）</v>
      </c>
      <c r="Q48" s="3528"/>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25" t="str">
        <f>A49</f>
        <v>估价对象XX用房的比较价格（楼面单价，元/平方米）</v>
      </c>
      <c r="Q49" s="3526"/>
      <c r="R49" s="3645" t="e">
        <f>IF(F1="售价",ROUND(IF(D48="简单平均",AVERAGE(R48:V48),R48*F48+T48*H48+V48*J48),0),ROUND(IF(D48="简单平均",AVERAGE(R48:V48),R48*F48+T48*H48+V48*J48),1))</f>
        <v>#DIV/0!</v>
      </c>
      <c r="S49" s="3645"/>
      <c r="T49" s="3645"/>
      <c r="U49" s="3645"/>
      <c r="V49" s="3645"/>
      <c r="W49" s="364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4" t="s">
        <v>516</v>
      </c>
      <c r="D4" s="3535"/>
      <c r="E4" s="3568" t="s">
        <v>517</v>
      </c>
      <c r="F4" s="3569"/>
      <c r="G4" s="3534" t="s">
        <v>518</v>
      </c>
      <c r="H4" s="3535"/>
      <c r="I4" s="3534" t="s">
        <v>519</v>
      </c>
      <c r="J4" s="3535"/>
      <c r="K4" s="508" t="s">
        <v>520</v>
      </c>
      <c r="L4" s="2015"/>
      <c r="M4" s="2016"/>
      <c r="N4" s="2016"/>
      <c r="O4" s="2016"/>
      <c r="P4" s="3649" t="s">
        <v>521</v>
      </c>
      <c r="Q4" s="3537"/>
      <c r="R4" s="3542" t="s">
        <v>517</v>
      </c>
      <c r="S4" s="3543"/>
      <c r="T4" s="3542" t="s">
        <v>518</v>
      </c>
      <c r="U4" s="3543"/>
      <c r="V4" s="3529" t="s">
        <v>519</v>
      </c>
      <c r="W4" s="3529"/>
      <c r="X4" s="1502"/>
      <c r="Y4" s="3542" t="s">
        <v>521</v>
      </c>
      <c r="Z4" s="3543"/>
      <c r="AA4" s="3531" t="s">
        <v>517</v>
      </c>
      <c r="AB4" s="3531" t="s">
        <v>518</v>
      </c>
      <c r="AC4" s="3531" t="s">
        <v>519</v>
      </c>
    </row>
    <row r="5" spans="1:29" ht="15">
      <c r="A5" s="509"/>
      <c r="B5" s="510"/>
      <c r="C5" s="3550" t="s">
        <v>2898</v>
      </c>
      <c r="D5" s="3551"/>
      <c r="E5" s="3570" t="s">
        <v>2899</v>
      </c>
      <c r="F5" s="3571"/>
      <c r="G5" s="3550" t="s">
        <v>2900</v>
      </c>
      <c r="H5" s="3551"/>
      <c r="I5" s="3550" t="s">
        <v>2901</v>
      </c>
      <c r="J5" s="3551"/>
      <c r="K5" s="508"/>
      <c r="L5" s="2015"/>
      <c r="M5" s="2016"/>
      <c r="N5" s="2016"/>
      <c r="O5" s="2016"/>
      <c r="P5" s="3650"/>
      <c r="Q5" s="3539"/>
      <c r="R5" s="3544"/>
      <c r="S5" s="3545"/>
      <c r="T5" s="3544"/>
      <c r="U5" s="3545"/>
      <c r="V5" s="3529"/>
      <c r="W5" s="3529"/>
      <c r="X5" s="1502"/>
      <c r="Y5" s="3544"/>
      <c r="Z5" s="3545"/>
      <c r="AA5" s="3532"/>
      <c r="AB5" s="3532"/>
      <c r="AC5" s="3532"/>
    </row>
    <row r="6" spans="1:29" ht="15.75" thickBot="1">
      <c r="A6" s="511"/>
      <c r="B6" s="512"/>
      <c r="C6" s="3548" t="s">
        <v>2902</v>
      </c>
      <c r="D6" s="3549"/>
      <c r="E6" s="3566" t="s">
        <v>2902</v>
      </c>
      <c r="F6" s="3567"/>
      <c r="G6" s="3548" t="s">
        <v>2902</v>
      </c>
      <c r="H6" s="3549"/>
      <c r="I6" s="3548" t="s">
        <v>2902</v>
      </c>
      <c r="J6" s="3549"/>
      <c r="K6" s="508" t="s">
        <v>522</v>
      </c>
      <c r="L6" s="2015"/>
      <c r="M6" s="2016"/>
      <c r="N6" s="2016"/>
      <c r="O6" s="2016"/>
      <c r="P6" s="3651"/>
      <c r="Q6" s="3541"/>
      <c r="R6" s="3544"/>
      <c r="S6" s="3545"/>
      <c r="T6" s="3546"/>
      <c r="U6" s="3547"/>
      <c r="V6" s="3529"/>
      <c r="W6" s="3529"/>
      <c r="X6" s="1502"/>
      <c r="Y6" s="3546"/>
      <c r="Z6" s="3547"/>
      <c r="AA6" s="3533"/>
      <c r="AB6" s="3533"/>
      <c r="AC6" s="3533"/>
    </row>
    <row r="7" spans="1:29" s="1203" customFormat="1" ht="15.75" thickBot="1">
      <c r="A7" s="2629"/>
      <c r="B7" s="2636" t="s">
        <v>523</v>
      </c>
      <c r="C7" s="513">
        <f>'数据-取费表'!B2</f>
        <v>44201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61" t="s">
        <v>524</v>
      </c>
      <c r="Q7" s="3561"/>
      <c r="R7" s="1503" t="s">
        <v>8</v>
      </c>
      <c r="S7" s="1504">
        <f t="shared" ref="S7:S15" si="0">F7</f>
        <v>0</v>
      </c>
      <c r="T7" s="1503" t="s">
        <v>8</v>
      </c>
      <c r="U7" s="1504">
        <f t="shared" ref="U7:U15" si="1">H7</f>
        <v>0</v>
      </c>
      <c r="V7" s="1503" t="s">
        <v>8</v>
      </c>
      <c r="W7" s="1504">
        <f t="shared" ref="W7:W15"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61" t="s">
        <v>527</v>
      </c>
      <c r="Q8" s="3560"/>
      <c r="R8" s="1503" t="s">
        <v>8</v>
      </c>
      <c r="S8" s="1504">
        <f t="shared" si="0"/>
        <v>0</v>
      </c>
      <c r="T8" s="1503" t="s">
        <v>8</v>
      </c>
      <c r="U8" s="1504">
        <f t="shared" si="1"/>
        <v>0</v>
      </c>
      <c r="V8" s="1503" t="s">
        <v>8</v>
      </c>
      <c r="W8" s="1504">
        <f t="shared" si="2"/>
        <v>0</v>
      </c>
      <c r="X8" s="1505"/>
      <c r="Y8" s="3559" t="s">
        <v>527</v>
      </c>
      <c r="Z8" s="3560"/>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8" t="s">
        <v>529</v>
      </c>
      <c r="Q9" s="1134" t="str">
        <f t="shared" ref="Q9:Q15" si="6">B9</f>
        <v>用途</v>
      </c>
      <c r="R9" s="1503" t="s">
        <v>8</v>
      </c>
      <c r="S9" s="1504">
        <f t="shared" si="0"/>
        <v>100</v>
      </c>
      <c r="T9" s="1503" t="s">
        <v>8</v>
      </c>
      <c r="U9" s="1504">
        <f t="shared" si="1"/>
        <v>100</v>
      </c>
      <c r="V9" s="1503" t="s">
        <v>8</v>
      </c>
      <c r="W9" s="1504">
        <f t="shared" si="2"/>
        <v>100</v>
      </c>
      <c r="X9" s="1505"/>
      <c r="Y9" s="347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8"/>
      <c r="Q11" s="1134" t="str">
        <f t="shared" si="6"/>
        <v>容积率</v>
      </c>
      <c r="R11" s="1503" t="s">
        <v>8</v>
      </c>
      <c r="S11" s="1504" t="e">
        <f t="shared" si="0"/>
        <v>#N/A</v>
      </c>
      <c r="T11" s="1503" t="s">
        <v>8</v>
      </c>
      <c r="U11" s="1504" t="e">
        <f t="shared" si="1"/>
        <v>#N/A</v>
      </c>
      <c r="V11" s="1503" t="s">
        <v>8</v>
      </c>
      <c r="W11" s="1504" t="e">
        <f t="shared" si="2"/>
        <v>#N/A</v>
      </c>
      <c r="X11" s="1505"/>
      <c r="Y11" s="347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28"/>
      <c r="Q12" s="1134">
        <f t="shared" si="6"/>
        <v>111</v>
      </c>
      <c r="R12" s="1503" t="s">
        <v>8</v>
      </c>
      <c r="S12" s="1504">
        <f t="shared" si="0"/>
        <v>100</v>
      </c>
      <c r="T12" s="1503" t="s">
        <v>8</v>
      </c>
      <c r="U12" s="1504">
        <f t="shared" si="1"/>
        <v>100</v>
      </c>
      <c r="V12" s="1503" t="s">
        <v>8</v>
      </c>
      <c r="W12" s="1504">
        <f t="shared" si="2"/>
        <v>100</v>
      </c>
      <c r="X12" s="1505"/>
      <c r="Y12" s="3474"/>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28"/>
      <c r="Q13" s="1134">
        <f t="shared" si="6"/>
        <v>111</v>
      </c>
      <c r="R13" s="1503" t="s">
        <v>8</v>
      </c>
      <c r="S13" s="1504">
        <f t="shared" si="0"/>
        <v>100</v>
      </c>
      <c r="T13" s="1503" t="s">
        <v>8</v>
      </c>
      <c r="U13" s="1504">
        <f t="shared" si="1"/>
        <v>100</v>
      </c>
      <c r="V13" s="1503" t="s">
        <v>8</v>
      </c>
      <c r="W13" s="1504">
        <f t="shared" si="2"/>
        <v>100</v>
      </c>
      <c r="X13" s="1505"/>
      <c r="Y13" s="3474"/>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28"/>
      <c r="Q14" s="1134">
        <f t="shared" si="6"/>
        <v>111</v>
      </c>
      <c r="R14" s="1503" t="s">
        <v>8</v>
      </c>
      <c r="S14" s="1504">
        <f t="shared" si="0"/>
        <v>100</v>
      </c>
      <c r="T14" s="1503" t="s">
        <v>8</v>
      </c>
      <c r="U14" s="1504">
        <f t="shared" si="1"/>
        <v>100</v>
      </c>
      <c r="V14" s="1503" t="s">
        <v>8</v>
      </c>
      <c r="W14" s="1504">
        <f t="shared" si="2"/>
        <v>100</v>
      </c>
      <c r="X14" s="1505"/>
      <c r="Y14" s="3474"/>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62" t="s">
        <v>534</v>
      </c>
      <c r="Q15" s="1507" t="str">
        <f t="shared" si="6"/>
        <v>办公集聚程度</v>
      </c>
      <c r="R15" s="1508" t="s">
        <v>8</v>
      </c>
      <c r="S15" s="1509">
        <f t="shared" si="0"/>
        <v>100</v>
      </c>
      <c r="T15" s="1508" t="s">
        <v>8</v>
      </c>
      <c r="U15" s="1509">
        <f t="shared" si="1"/>
        <v>100</v>
      </c>
      <c r="V15" s="1508" t="s">
        <v>8</v>
      </c>
      <c r="W15" s="1509">
        <f t="shared" si="2"/>
        <v>100</v>
      </c>
      <c r="X15" s="1502"/>
      <c r="Y15" s="356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63"/>
      <c r="Q16" s="1507"/>
      <c r="R16" s="1508"/>
      <c r="S16" s="1509"/>
      <c r="T16" s="1508"/>
      <c r="U16" s="1509"/>
      <c r="V16" s="1508"/>
      <c r="W16" s="1509"/>
      <c r="X16" s="1502"/>
      <c r="Y16" s="3563"/>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63"/>
      <c r="Q17" s="1507" t="str">
        <f>B17</f>
        <v>交通便捷度</v>
      </c>
      <c r="R17" s="1508" t="s">
        <v>8</v>
      </c>
      <c r="S17" s="1509">
        <f>F17</f>
        <v>100</v>
      </c>
      <c r="T17" s="1508" t="s">
        <v>8</v>
      </c>
      <c r="U17" s="1509">
        <f>H17</f>
        <v>100</v>
      </c>
      <c r="V17" s="1508" t="s">
        <v>8</v>
      </c>
      <c r="W17" s="1509">
        <f>J17</f>
        <v>100</v>
      </c>
      <c r="X17" s="1502"/>
      <c r="Y17" s="356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63"/>
      <c r="Q18" s="1507"/>
      <c r="R18" s="1508"/>
      <c r="S18" s="1509"/>
      <c r="T18" s="1508"/>
      <c r="U18" s="1509"/>
      <c r="V18" s="1508"/>
      <c r="W18" s="1509"/>
      <c r="X18" s="1502"/>
      <c r="Y18" s="3563"/>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63"/>
      <c r="Q19" s="1507" t="str">
        <f>B19</f>
        <v>公共配套设施</v>
      </c>
      <c r="R19" s="1508" t="s">
        <v>8</v>
      </c>
      <c r="S19" s="1509">
        <f>F19</f>
        <v>100</v>
      </c>
      <c r="T19" s="1508" t="s">
        <v>8</v>
      </c>
      <c r="U19" s="1509">
        <f>H19</f>
        <v>100</v>
      </c>
      <c r="V19" s="1508" t="s">
        <v>8</v>
      </c>
      <c r="W19" s="1509">
        <f>J19</f>
        <v>100</v>
      </c>
      <c r="X19" s="1502"/>
      <c r="Y19" s="356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63"/>
      <c r="Q20" s="1507"/>
      <c r="R20" s="1508"/>
      <c r="S20" s="1509"/>
      <c r="T20" s="1508"/>
      <c r="U20" s="1509"/>
      <c r="V20" s="1508"/>
      <c r="W20" s="1509"/>
      <c r="X20" s="1502"/>
      <c r="Y20" s="3563"/>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63"/>
      <c r="Q21" s="2429" t="str">
        <f>B21</f>
        <v>基础设施水平</v>
      </c>
      <c r="R21" s="1508" t="s">
        <v>8</v>
      </c>
      <c r="S21" s="1509">
        <f>F21</f>
        <v>100</v>
      </c>
      <c r="T21" s="1508" t="s">
        <v>8</v>
      </c>
      <c r="U21" s="1509">
        <f>H21</f>
        <v>100</v>
      </c>
      <c r="V21" s="1508" t="s">
        <v>8</v>
      </c>
      <c r="W21" s="1509">
        <f>J21</f>
        <v>100</v>
      </c>
      <c r="X21" s="2431"/>
      <c r="Y21" s="3563"/>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63"/>
      <c r="Q22" s="2429"/>
      <c r="R22" s="1508"/>
      <c r="S22" s="1509"/>
      <c r="T22" s="1508"/>
      <c r="U22" s="1509"/>
      <c r="V22" s="1508"/>
      <c r="W22" s="1509"/>
      <c r="X22" s="2431"/>
      <c r="Y22" s="3563"/>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63"/>
      <c r="Q23" s="1507" t="str">
        <f>B23</f>
        <v>环境质量</v>
      </c>
      <c r="R23" s="1508" t="s">
        <v>8</v>
      </c>
      <c r="S23" s="1509">
        <f>F23</f>
        <v>100</v>
      </c>
      <c r="T23" s="1508" t="s">
        <v>8</v>
      </c>
      <c r="U23" s="1509">
        <f>H23</f>
        <v>100</v>
      </c>
      <c r="V23" s="1508" t="s">
        <v>8</v>
      </c>
      <c r="W23" s="1509">
        <f>J23</f>
        <v>100</v>
      </c>
      <c r="X23" s="1502"/>
      <c r="Y23" s="356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63"/>
      <c r="Q24" s="1507"/>
      <c r="R24" s="1508"/>
      <c r="S24" s="1509"/>
      <c r="T24" s="1508"/>
      <c r="U24" s="1509"/>
      <c r="V24" s="1508"/>
      <c r="W24" s="1509"/>
      <c r="X24" s="1502"/>
      <c r="Y24" s="356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63"/>
      <c r="Q25" s="1507" t="str">
        <f>B25</f>
        <v>毗邻道路的类型与等级</v>
      </c>
      <c r="R25" s="1508" t="s">
        <v>8</v>
      </c>
      <c r="S25" s="1509">
        <f>F25</f>
        <v>100</v>
      </c>
      <c r="T25" s="1508" t="s">
        <v>8</v>
      </c>
      <c r="U25" s="1509">
        <f>H25</f>
        <v>100</v>
      </c>
      <c r="V25" s="1508" t="s">
        <v>8</v>
      </c>
      <c r="W25" s="1509">
        <f>J25</f>
        <v>100</v>
      </c>
      <c r="X25" s="1502"/>
      <c r="Y25" s="356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63"/>
      <c r="Q26" s="1507"/>
      <c r="R26" s="1508"/>
      <c r="S26" s="1509"/>
      <c r="T26" s="1508"/>
      <c r="U26" s="1509"/>
      <c r="V26" s="1508"/>
      <c r="W26" s="1509"/>
      <c r="X26" s="1502"/>
      <c r="Y26" s="356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3"/>
      <c r="Q27" s="1507" t="str">
        <f t="shared" ref="Q27:Q47" si="11">B27</f>
        <v>楼层</v>
      </c>
      <c r="R27" s="1508" t="s">
        <v>8</v>
      </c>
      <c r="S27" s="1509">
        <f>F27</f>
        <v>100</v>
      </c>
      <c r="T27" s="1508" t="s">
        <v>8</v>
      </c>
      <c r="U27" s="1509">
        <f>H27</f>
        <v>100</v>
      </c>
      <c r="V27" s="1508" t="s">
        <v>8</v>
      </c>
      <c r="W27" s="1509">
        <f>J27</f>
        <v>100</v>
      </c>
      <c r="X27" s="1502"/>
      <c r="Y27" s="356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63"/>
      <c r="Q28" s="1134" t="str">
        <f t="shared" si="11"/>
        <v>朝向</v>
      </c>
      <c r="R28" s="1503" t="s">
        <v>8</v>
      </c>
      <c r="S28" s="1504">
        <f>F28</f>
        <v>100</v>
      </c>
      <c r="T28" s="1503" t="s">
        <v>8</v>
      </c>
      <c r="U28" s="1504">
        <f>H28</f>
        <v>100</v>
      </c>
      <c r="V28" s="1503" t="s">
        <v>8</v>
      </c>
      <c r="W28" s="1504">
        <f>J28</f>
        <v>100</v>
      </c>
      <c r="X28" s="1505"/>
      <c r="Y28" s="356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63"/>
      <c r="Q29" s="1507">
        <f t="shared" si="11"/>
        <v>111</v>
      </c>
      <c r="R29" s="1508" t="s">
        <v>8</v>
      </c>
      <c r="S29" s="1509">
        <f t="shared" ref="S29:S47" si="12">F29</f>
        <v>100</v>
      </c>
      <c r="T29" s="1508" t="s">
        <v>8</v>
      </c>
      <c r="U29" s="1509">
        <f t="shared" ref="U29:U47" si="13">H29</f>
        <v>100</v>
      </c>
      <c r="V29" s="1508" t="s">
        <v>8</v>
      </c>
      <c r="W29" s="1509">
        <f t="shared" ref="W29:W47" si="14">J29</f>
        <v>100</v>
      </c>
      <c r="X29" s="1502"/>
      <c r="Y29" s="356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63"/>
      <c r="Q30" s="1507">
        <f t="shared" si="11"/>
        <v>111</v>
      </c>
      <c r="R30" s="1508" t="s">
        <v>8</v>
      </c>
      <c r="S30" s="1509">
        <f t="shared" si="12"/>
        <v>100</v>
      </c>
      <c r="T30" s="1508" t="s">
        <v>8</v>
      </c>
      <c r="U30" s="1509">
        <f t="shared" si="13"/>
        <v>100</v>
      </c>
      <c r="V30" s="1508" t="s">
        <v>8</v>
      </c>
      <c r="W30" s="1509">
        <f t="shared" si="14"/>
        <v>100</v>
      </c>
      <c r="X30" s="1502"/>
      <c r="Y30" s="356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63"/>
      <c r="Q31" s="1507">
        <f t="shared" si="11"/>
        <v>111</v>
      </c>
      <c r="R31" s="1508" t="s">
        <v>8</v>
      </c>
      <c r="S31" s="1509">
        <f t="shared" si="12"/>
        <v>100</v>
      </c>
      <c r="T31" s="1508" t="s">
        <v>8</v>
      </c>
      <c r="U31" s="1509">
        <f t="shared" si="13"/>
        <v>100</v>
      </c>
      <c r="V31" s="1508" t="s">
        <v>8</v>
      </c>
      <c r="W31" s="1509">
        <f t="shared" si="14"/>
        <v>100</v>
      </c>
      <c r="X31" s="1502"/>
      <c r="Y31" s="356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63"/>
      <c r="Q32" s="1507">
        <f t="shared" si="11"/>
        <v>111</v>
      </c>
      <c r="R32" s="1508" t="s">
        <v>8</v>
      </c>
      <c r="S32" s="1509">
        <f t="shared" si="12"/>
        <v>100</v>
      </c>
      <c r="T32" s="1508" t="s">
        <v>8</v>
      </c>
      <c r="U32" s="1509">
        <f t="shared" si="13"/>
        <v>100</v>
      </c>
      <c r="V32" s="1508" t="s">
        <v>8</v>
      </c>
      <c r="W32" s="1509">
        <f t="shared" si="14"/>
        <v>100</v>
      </c>
      <c r="X32" s="1502"/>
      <c r="Y32" s="3563"/>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64" t="s">
        <v>544</v>
      </c>
      <c r="Q33" s="1507" t="str">
        <f t="shared" si="11"/>
        <v>建筑类型</v>
      </c>
      <c r="R33" s="1508" t="s">
        <v>8</v>
      </c>
      <c r="S33" s="1509">
        <f t="shared" si="12"/>
        <v>100</v>
      </c>
      <c r="T33" s="1508" t="s">
        <v>8</v>
      </c>
      <c r="U33" s="1509">
        <f t="shared" si="13"/>
        <v>100</v>
      </c>
      <c r="V33" s="1508" t="s">
        <v>8</v>
      </c>
      <c r="W33" s="1509">
        <f t="shared" si="14"/>
        <v>100</v>
      </c>
      <c r="X33" s="1502"/>
      <c r="Y33" s="356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5"/>
      <c r="Q34" s="1536" t="str">
        <f t="shared" si="11"/>
        <v>项目建筑规模</v>
      </c>
      <c r="R34" s="1512" t="s">
        <v>8</v>
      </c>
      <c r="S34" s="1513" t="e">
        <f t="shared" si="12"/>
        <v>#N/A</v>
      </c>
      <c r="T34" s="1512" t="s">
        <v>8</v>
      </c>
      <c r="U34" s="1513" t="e">
        <f t="shared" si="13"/>
        <v>#N/A</v>
      </c>
      <c r="V34" s="1512" t="s">
        <v>8</v>
      </c>
      <c r="W34" s="1513" t="e">
        <f t="shared" si="14"/>
        <v>#N/A</v>
      </c>
      <c r="X34" s="1514"/>
      <c r="Y34" s="356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5"/>
      <c r="Q35" s="1507" t="str">
        <f t="shared" si="11"/>
        <v>建筑结构</v>
      </c>
      <c r="R35" s="1508" t="s">
        <v>8</v>
      </c>
      <c r="S35" s="1509">
        <f t="shared" si="12"/>
        <v>100</v>
      </c>
      <c r="T35" s="1508" t="s">
        <v>8</v>
      </c>
      <c r="U35" s="1509">
        <f t="shared" si="13"/>
        <v>100</v>
      </c>
      <c r="V35" s="1508" t="s">
        <v>8</v>
      </c>
      <c r="W35" s="1509">
        <f t="shared" si="14"/>
        <v>100</v>
      </c>
      <c r="X35" s="1502"/>
      <c r="Y35" s="356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5"/>
      <c r="Q36" s="1507" t="str">
        <f t="shared" si="11"/>
        <v>公共部分装修</v>
      </c>
      <c r="R36" s="1508" t="s">
        <v>8</v>
      </c>
      <c r="S36" s="1509">
        <f t="shared" si="12"/>
        <v>100</v>
      </c>
      <c r="T36" s="1508" t="s">
        <v>8</v>
      </c>
      <c r="U36" s="1509">
        <f t="shared" si="13"/>
        <v>100</v>
      </c>
      <c r="V36" s="1508" t="s">
        <v>8</v>
      </c>
      <c r="W36" s="1509">
        <f t="shared" si="14"/>
        <v>100</v>
      </c>
      <c r="X36" s="1502"/>
      <c r="Y36" s="356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65"/>
      <c r="Q37" s="1507" t="str">
        <f t="shared" si="11"/>
        <v>成新度</v>
      </c>
      <c r="R37" s="1508" t="s">
        <v>8</v>
      </c>
      <c r="S37" s="1509" t="e">
        <f t="shared" si="12"/>
        <v>#N/A</v>
      </c>
      <c r="T37" s="1508" t="s">
        <v>8</v>
      </c>
      <c r="U37" s="1509" t="e">
        <f t="shared" si="13"/>
        <v>#N/A</v>
      </c>
      <c r="V37" s="1508" t="s">
        <v>8</v>
      </c>
      <c r="W37" s="1509" t="e">
        <f t="shared" si="14"/>
        <v>#N/A</v>
      </c>
      <c r="X37" s="1502"/>
      <c r="Y37" s="356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5"/>
      <c r="Q38" s="1134" t="str">
        <f t="shared" si="11"/>
        <v>写字楼等级</v>
      </c>
      <c r="R38" s="1503" t="s">
        <v>8</v>
      </c>
      <c r="S38" s="1504">
        <f t="shared" si="12"/>
        <v>100</v>
      </c>
      <c r="T38" s="1503" t="s">
        <v>8</v>
      </c>
      <c r="U38" s="1504">
        <f t="shared" si="13"/>
        <v>100</v>
      </c>
      <c r="V38" s="1503" t="s">
        <v>8</v>
      </c>
      <c r="W38" s="1504">
        <f t="shared" si="14"/>
        <v>100</v>
      </c>
      <c r="X38" s="1505"/>
      <c r="Y38" s="356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5" t="s">
        <v>544</v>
      </c>
      <c r="Q39" s="1507" t="str">
        <f t="shared" si="11"/>
        <v>物业管理</v>
      </c>
      <c r="R39" s="1508" t="s">
        <v>8</v>
      </c>
      <c r="S39" s="1509">
        <f t="shared" si="12"/>
        <v>100</v>
      </c>
      <c r="T39" s="1508" t="s">
        <v>8</v>
      </c>
      <c r="U39" s="1509">
        <f t="shared" si="13"/>
        <v>100</v>
      </c>
      <c r="V39" s="1508" t="s">
        <v>8</v>
      </c>
      <c r="W39" s="1509">
        <f t="shared" si="14"/>
        <v>100</v>
      </c>
      <c r="X39" s="1502"/>
      <c r="Y39" s="3565"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5"/>
      <c r="Q40" s="1507" t="str">
        <f t="shared" si="11"/>
        <v>市政基础设施</v>
      </c>
      <c r="R40" s="1508" t="s">
        <v>8</v>
      </c>
      <c r="S40" s="1509">
        <f t="shared" si="12"/>
        <v>100</v>
      </c>
      <c r="T40" s="1508" t="s">
        <v>8</v>
      </c>
      <c r="U40" s="1509">
        <f t="shared" si="13"/>
        <v>100</v>
      </c>
      <c r="V40" s="1508" t="s">
        <v>8</v>
      </c>
      <c r="W40" s="1509">
        <f t="shared" si="14"/>
        <v>100</v>
      </c>
      <c r="X40" s="1502"/>
      <c r="Y40" s="356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5"/>
      <c r="Q41" s="1507" t="str">
        <f t="shared" si="11"/>
        <v>层高</v>
      </c>
      <c r="R41" s="1508" t="s">
        <v>8</v>
      </c>
      <c r="S41" s="1509">
        <f t="shared" si="12"/>
        <v>100</v>
      </c>
      <c r="T41" s="1508" t="s">
        <v>8</v>
      </c>
      <c r="U41" s="1509">
        <f t="shared" si="13"/>
        <v>100</v>
      </c>
      <c r="V41" s="1508" t="s">
        <v>8</v>
      </c>
      <c r="W41" s="1509">
        <f t="shared" si="14"/>
        <v>100</v>
      </c>
      <c r="X41" s="1502"/>
      <c r="Y41" s="356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5"/>
      <c r="Q42" s="1536" t="str">
        <f t="shared" si="11"/>
        <v>单套建筑面积</v>
      </c>
      <c r="R42" s="1512" t="s">
        <v>8</v>
      </c>
      <c r="S42" s="1513">
        <f t="shared" si="12"/>
        <v>100</v>
      </c>
      <c r="T42" s="1512" t="s">
        <v>8</v>
      </c>
      <c r="U42" s="1513">
        <f t="shared" si="13"/>
        <v>100</v>
      </c>
      <c r="V42" s="1512" t="s">
        <v>8</v>
      </c>
      <c r="W42" s="1513">
        <f t="shared" si="14"/>
        <v>100</v>
      </c>
      <c r="X42" s="1514"/>
      <c r="Y42" s="356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5"/>
      <c r="Q43" s="1507" t="str">
        <f t="shared" si="11"/>
        <v>内部装修</v>
      </c>
      <c r="R43" s="1508" t="s">
        <v>8</v>
      </c>
      <c r="S43" s="1509">
        <f t="shared" si="12"/>
        <v>100</v>
      </c>
      <c r="T43" s="1508" t="s">
        <v>8</v>
      </c>
      <c r="U43" s="1509">
        <f t="shared" si="13"/>
        <v>100</v>
      </c>
      <c r="V43" s="1508" t="s">
        <v>8</v>
      </c>
      <c r="W43" s="1509">
        <f t="shared" si="14"/>
        <v>100</v>
      </c>
      <c r="X43" s="1502"/>
      <c r="Y43" s="356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5"/>
      <c r="Q44" s="1507" t="str">
        <f t="shared" si="11"/>
        <v>内部装修维护情况</v>
      </c>
      <c r="R44" s="1508" t="s">
        <v>8</v>
      </c>
      <c r="S44" s="1509">
        <f t="shared" si="12"/>
        <v>100</v>
      </c>
      <c r="T44" s="1508" t="s">
        <v>8</v>
      </c>
      <c r="U44" s="1509">
        <f t="shared" si="13"/>
        <v>100</v>
      </c>
      <c r="V44" s="1508" t="s">
        <v>8</v>
      </c>
      <c r="W44" s="1509">
        <f t="shared" si="14"/>
        <v>100</v>
      </c>
      <c r="X44" s="1502"/>
      <c r="Y44" s="356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5"/>
      <c r="Q45" s="1134">
        <f t="shared" si="11"/>
        <v>111</v>
      </c>
      <c r="R45" s="1503" t="s">
        <v>8</v>
      </c>
      <c r="S45" s="1504">
        <f t="shared" si="12"/>
        <v>100</v>
      </c>
      <c r="T45" s="1503" t="s">
        <v>8</v>
      </c>
      <c r="U45" s="1504">
        <f t="shared" si="13"/>
        <v>100</v>
      </c>
      <c r="V45" s="1503" t="s">
        <v>8</v>
      </c>
      <c r="W45" s="1504">
        <f t="shared" si="14"/>
        <v>100</v>
      </c>
      <c r="X45" s="1505"/>
      <c r="Y45" s="356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5"/>
      <c r="Q46" s="1507">
        <f t="shared" si="11"/>
        <v>111</v>
      </c>
      <c r="R46" s="1508" t="s">
        <v>8</v>
      </c>
      <c r="S46" s="1509">
        <f t="shared" si="12"/>
        <v>100</v>
      </c>
      <c r="T46" s="1508" t="s">
        <v>8</v>
      </c>
      <c r="U46" s="1509">
        <f t="shared" si="13"/>
        <v>100</v>
      </c>
      <c r="V46" s="1508" t="s">
        <v>8</v>
      </c>
      <c r="W46" s="1509">
        <f t="shared" si="14"/>
        <v>100</v>
      </c>
      <c r="X46" s="1502"/>
      <c r="Y46" s="356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7"/>
      <c r="Q47" s="1507">
        <f t="shared" si="11"/>
        <v>111</v>
      </c>
      <c r="R47" s="1508" t="s">
        <v>8</v>
      </c>
      <c r="S47" s="1509">
        <f t="shared" si="12"/>
        <v>100</v>
      </c>
      <c r="T47" s="1508" t="s">
        <v>8</v>
      </c>
      <c r="U47" s="1509">
        <f t="shared" si="13"/>
        <v>100</v>
      </c>
      <c r="V47" s="1508" t="s">
        <v>8</v>
      </c>
      <c r="W47" s="1509">
        <f t="shared" si="14"/>
        <v>100</v>
      </c>
      <c r="X47" s="1502"/>
      <c r="Y47" s="364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26" t="str">
        <f>A48</f>
        <v>成交单价（元/平方米）</v>
      </c>
      <c r="Q48" s="3528"/>
      <c r="R48" s="3646">
        <f>E48</f>
        <v>0</v>
      </c>
      <c r="S48" s="3646"/>
      <c r="T48" s="3646">
        <f>G48</f>
        <v>0</v>
      </c>
      <c r="U48" s="3646"/>
      <c r="V48" s="3646">
        <f>I48</f>
        <v>0</v>
      </c>
      <c r="W48" s="3646"/>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26" t="str">
        <f>A49</f>
        <v>比较价格（元/平方米）</v>
      </c>
      <c r="Q49" s="3528"/>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48" t="str">
        <f>A50</f>
        <v>估价对象XX用房的比较价格（楼面单价，元/平方米）</v>
      </c>
      <c r="Q50" s="3526"/>
      <c r="R50" s="3645" t="e">
        <f>IF(F1="售价",ROUND(IF(D49="简单平均",AVERAGE(R49:V49),R49*F49+T49*H49+V49*J49),0),ROUND(IF(D49="简单平均",AVERAGE(R49:V49),R49*F49+T49*H49+V49*J49),1))</f>
        <v>#DIV/0!</v>
      </c>
      <c r="S50" s="3645"/>
      <c r="T50" s="3645"/>
      <c r="U50" s="3645"/>
      <c r="V50" s="3645"/>
      <c r="W50" s="3645"/>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4" t="s">
        <v>516</v>
      </c>
      <c r="D4" s="3535"/>
      <c r="E4" s="3568" t="s">
        <v>517</v>
      </c>
      <c r="F4" s="3569"/>
      <c r="G4" s="3534" t="s">
        <v>518</v>
      </c>
      <c r="H4" s="3535"/>
      <c r="I4" s="3534" t="s">
        <v>519</v>
      </c>
      <c r="J4" s="3535"/>
      <c r="K4" s="508" t="s">
        <v>520</v>
      </c>
      <c r="L4" s="2015"/>
      <c r="M4" s="2016"/>
      <c r="N4" s="2016"/>
      <c r="O4" s="2016"/>
      <c r="P4" s="3536" t="s">
        <v>521</v>
      </c>
      <c r="Q4" s="3537"/>
      <c r="R4" s="3542" t="s">
        <v>517</v>
      </c>
      <c r="S4" s="3543"/>
      <c r="T4" s="3542" t="s">
        <v>518</v>
      </c>
      <c r="U4" s="3543"/>
      <c r="V4" s="3529" t="s">
        <v>519</v>
      </c>
      <c r="W4" s="3529"/>
      <c r="X4" s="1502"/>
      <c r="Y4" s="3542" t="s">
        <v>521</v>
      </c>
      <c r="Z4" s="3543"/>
      <c r="AA4" s="3531" t="s">
        <v>517</v>
      </c>
      <c r="AB4" s="3532" t="s">
        <v>518</v>
      </c>
      <c r="AC4" s="3531" t="s">
        <v>519</v>
      </c>
    </row>
    <row r="5" spans="1:29" ht="15">
      <c r="A5" s="509"/>
      <c r="B5" s="510"/>
      <c r="C5" s="3550" t="s">
        <v>2898</v>
      </c>
      <c r="D5" s="3551"/>
      <c r="E5" s="3570" t="s">
        <v>2899</v>
      </c>
      <c r="F5" s="3571"/>
      <c r="G5" s="3550" t="s">
        <v>2900</v>
      </c>
      <c r="H5" s="3551"/>
      <c r="I5" s="3550" t="s">
        <v>2901</v>
      </c>
      <c r="J5" s="3551"/>
      <c r="K5" s="508"/>
      <c r="L5" s="2015"/>
      <c r="M5" s="2016"/>
      <c r="N5" s="2016"/>
      <c r="O5" s="2016"/>
      <c r="P5" s="3538"/>
      <c r="Q5" s="3539"/>
      <c r="R5" s="3544"/>
      <c r="S5" s="3545"/>
      <c r="T5" s="3544"/>
      <c r="U5" s="3545"/>
      <c r="V5" s="3529"/>
      <c r="W5" s="3529"/>
      <c r="X5" s="1502"/>
      <c r="Y5" s="3544"/>
      <c r="Z5" s="3545"/>
      <c r="AA5" s="3532"/>
      <c r="AB5" s="3532"/>
      <c r="AC5" s="3532"/>
    </row>
    <row r="6" spans="1:29" ht="15.75" thickBot="1">
      <c r="A6" s="511"/>
      <c r="B6" s="512"/>
      <c r="C6" s="3548" t="s">
        <v>2902</v>
      </c>
      <c r="D6" s="3549"/>
      <c r="E6" s="3566" t="s">
        <v>2902</v>
      </c>
      <c r="F6" s="3567"/>
      <c r="G6" s="3548" t="s">
        <v>2902</v>
      </c>
      <c r="H6" s="3549"/>
      <c r="I6" s="3548" t="s">
        <v>2902</v>
      </c>
      <c r="J6" s="3549"/>
      <c r="K6" s="508" t="s">
        <v>522</v>
      </c>
      <c r="L6" s="2015"/>
      <c r="M6" s="2016"/>
      <c r="N6" s="2016"/>
      <c r="O6" s="2016"/>
      <c r="P6" s="3540"/>
      <c r="Q6" s="3541"/>
      <c r="R6" s="3544"/>
      <c r="S6" s="3545"/>
      <c r="T6" s="3546"/>
      <c r="U6" s="3547"/>
      <c r="V6" s="3529"/>
      <c r="W6" s="3529"/>
      <c r="X6" s="1502"/>
      <c r="Y6" s="3546"/>
      <c r="Z6" s="3547"/>
      <c r="AA6" s="3533"/>
      <c r="AB6" s="3533"/>
      <c r="AC6" s="3533"/>
    </row>
    <row r="7" spans="1:29" s="1203" customFormat="1" ht="15.75" thickBot="1">
      <c r="A7" s="2629"/>
      <c r="B7" s="2636" t="s">
        <v>523</v>
      </c>
      <c r="C7" s="513">
        <f>'数据-取费表'!B2</f>
        <v>44201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9" t="s">
        <v>524</v>
      </c>
      <c r="Q7" s="3561"/>
      <c r="R7" s="1503" t="s">
        <v>8</v>
      </c>
      <c r="S7" s="1504">
        <f t="shared" ref="S7:S15" si="0">F7</f>
        <v>0</v>
      </c>
      <c r="T7" s="1503" t="s">
        <v>8</v>
      </c>
      <c r="U7" s="1504">
        <f t="shared" ref="U7:U15" si="1">H7</f>
        <v>0</v>
      </c>
      <c r="V7" s="1503" t="s">
        <v>8</v>
      </c>
      <c r="W7" s="1504">
        <f t="shared" ref="W7:W15"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9" t="s">
        <v>527</v>
      </c>
      <c r="Q8" s="3560"/>
      <c r="R8" s="1503" t="s">
        <v>8</v>
      </c>
      <c r="S8" s="1504">
        <f t="shared" si="0"/>
        <v>0</v>
      </c>
      <c r="T8" s="1503" t="s">
        <v>8</v>
      </c>
      <c r="U8" s="1504">
        <f t="shared" si="1"/>
        <v>0</v>
      </c>
      <c r="V8" s="1503" t="s">
        <v>8</v>
      </c>
      <c r="W8" s="1504">
        <f t="shared" si="2"/>
        <v>0</v>
      </c>
      <c r="X8" s="1505"/>
      <c r="Y8" s="3559" t="s">
        <v>527</v>
      </c>
      <c r="Z8" s="3560"/>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8" t="s">
        <v>529</v>
      </c>
      <c r="Q9" s="1134" t="str">
        <f t="shared" ref="Q9:Q15" si="6">B9</f>
        <v>用途</v>
      </c>
      <c r="R9" s="1503" t="s">
        <v>8</v>
      </c>
      <c r="S9" s="1504">
        <f t="shared" si="0"/>
        <v>100</v>
      </c>
      <c r="T9" s="1503" t="s">
        <v>8</v>
      </c>
      <c r="U9" s="1504">
        <f t="shared" si="1"/>
        <v>100</v>
      </c>
      <c r="V9" s="1503" t="s">
        <v>8</v>
      </c>
      <c r="W9" s="1504">
        <f t="shared" si="2"/>
        <v>100</v>
      </c>
      <c r="X9" s="1505"/>
      <c r="Y9" s="347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8"/>
      <c r="Q11" s="1134" t="str">
        <f t="shared" si="6"/>
        <v>容积率</v>
      </c>
      <c r="R11" s="1503" t="s">
        <v>8</v>
      </c>
      <c r="S11" s="1504" t="e">
        <f t="shared" si="0"/>
        <v>#N/A</v>
      </c>
      <c r="T11" s="1503" t="s">
        <v>8</v>
      </c>
      <c r="U11" s="1504" t="e">
        <f t="shared" si="1"/>
        <v>#N/A</v>
      </c>
      <c r="V11" s="1503" t="s">
        <v>8</v>
      </c>
      <c r="W11" s="1504" t="e">
        <f t="shared" si="2"/>
        <v>#N/A</v>
      </c>
      <c r="X11" s="1505"/>
      <c r="Y11" s="347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28"/>
      <c r="Q12" s="1134">
        <f t="shared" si="6"/>
        <v>111</v>
      </c>
      <c r="R12" s="1503" t="s">
        <v>8</v>
      </c>
      <c r="S12" s="1504">
        <f t="shared" si="0"/>
        <v>100</v>
      </c>
      <c r="T12" s="1503" t="s">
        <v>8</v>
      </c>
      <c r="U12" s="1504">
        <f t="shared" si="1"/>
        <v>100</v>
      </c>
      <c r="V12" s="1503" t="s">
        <v>8</v>
      </c>
      <c r="W12" s="1504">
        <f t="shared" si="2"/>
        <v>100</v>
      </c>
      <c r="X12" s="1505"/>
      <c r="Y12" s="3474"/>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28"/>
      <c r="Q13" s="1134">
        <f t="shared" si="6"/>
        <v>111</v>
      </c>
      <c r="R13" s="1503" t="s">
        <v>8</v>
      </c>
      <c r="S13" s="1504">
        <f t="shared" si="0"/>
        <v>100</v>
      </c>
      <c r="T13" s="1503" t="s">
        <v>8</v>
      </c>
      <c r="U13" s="1504">
        <f t="shared" si="1"/>
        <v>100</v>
      </c>
      <c r="V13" s="1503" t="s">
        <v>8</v>
      </c>
      <c r="W13" s="1504">
        <f t="shared" si="2"/>
        <v>100</v>
      </c>
      <c r="X13" s="1505"/>
      <c r="Y13" s="3474"/>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28"/>
      <c r="Q14" s="1134">
        <f t="shared" si="6"/>
        <v>111</v>
      </c>
      <c r="R14" s="1503" t="s">
        <v>8</v>
      </c>
      <c r="S14" s="1504">
        <f t="shared" si="0"/>
        <v>100</v>
      </c>
      <c r="T14" s="1503" t="s">
        <v>8</v>
      </c>
      <c r="U14" s="1504">
        <f t="shared" si="1"/>
        <v>100</v>
      </c>
      <c r="V14" s="1503" t="s">
        <v>8</v>
      </c>
      <c r="W14" s="1504">
        <f t="shared" si="2"/>
        <v>100</v>
      </c>
      <c r="X14" s="1505"/>
      <c r="Y14" s="3474"/>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62" t="s">
        <v>534</v>
      </c>
      <c r="Q15" s="1507" t="str">
        <f t="shared" si="6"/>
        <v>产业集聚程度</v>
      </c>
      <c r="R15" s="1508" t="s">
        <v>8</v>
      </c>
      <c r="S15" s="1509">
        <f t="shared" si="0"/>
        <v>100</v>
      </c>
      <c r="T15" s="1508" t="s">
        <v>8</v>
      </c>
      <c r="U15" s="1509">
        <f t="shared" si="1"/>
        <v>100</v>
      </c>
      <c r="V15" s="1508" t="s">
        <v>8</v>
      </c>
      <c r="W15" s="1509">
        <f t="shared" si="2"/>
        <v>100</v>
      </c>
      <c r="X15" s="1502"/>
      <c r="Y15" s="356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63"/>
      <c r="Q16" s="1507"/>
      <c r="R16" s="1508"/>
      <c r="S16" s="1509"/>
      <c r="T16" s="1508"/>
      <c r="U16" s="1509"/>
      <c r="V16" s="1508"/>
      <c r="W16" s="1509"/>
      <c r="X16" s="1502"/>
      <c r="Y16" s="3563"/>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63"/>
      <c r="Q17" s="1507" t="str">
        <f>B17</f>
        <v>交通便捷度</v>
      </c>
      <c r="R17" s="1508" t="s">
        <v>8</v>
      </c>
      <c r="S17" s="1509">
        <f>F17</f>
        <v>100</v>
      </c>
      <c r="T17" s="1508" t="s">
        <v>8</v>
      </c>
      <c r="U17" s="1509">
        <f>H17</f>
        <v>100</v>
      </c>
      <c r="V17" s="1508" t="s">
        <v>8</v>
      </c>
      <c r="W17" s="1509">
        <f>J17</f>
        <v>100</v>
      </c>
      <c r="X17" s="1502"/>
      <c r="Y17" s="356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63"/>
      <c r="Q18" s="1507"/>
      <c r="R18" s="1508"/>
      <c r="S18" s="1509"/>
      <c r="T18" s="1508"/>
      <c r="U18" s="1509"/>
      <c r="V18" s="1508"/>
      <c r="W18" s="1509"/>
      <c r="X18" s="1502"/>
      <c r="Y18" s="3563"/>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63"/>
      <c r="Q19" s="1507" t="str">
        <f>B19</f>
        <v>公共配套设施</v>
      </c>
      <c r="R19" s="1508" t="s">
        <v>8</v>
      </c>
      <c r="S19" s="1509">
        <f>F19</f>
        <v>100</v>
      </c>
      <c r="T19" s="1508" t="s">
        <v>8</v>
      </c>
      <c r="U19" s="1509">
        <f>H19</f>
        <v>100</v>
      </c>
      <c r="V19" s="1508" t="s">
        <v>8</v>
      </c>
      <c r="W19" s="1509">
        <f>J19</f>
        <v>100</v>
      </c>
      <c r="X19" s="1502"/>
      <c r="Y19" s="356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63"/>
      <c r="Q20" s="1507"/>
      <c r="R20" s="1508"/>
      <c r="S20" s="1509"/>
      <c r="T20" s="1508"/>
      <c r="U20" s="1509"/>
      <c r="V20" s="1508"/>
      <c r="W20" s="1509"/>
      <c r="X20" s="1502"/>
      <c r="Y20" s="3563"/>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63"/>
      <c r="Q21" s="2429" t="str">
        <f>B21</f>
        <v>基础设施水平</v>
      </c>
      <c r="R21" s="1508" t="s">
        <v>8</v>
      </c>
      <c r="S21" s="1509">
        <f>F21</f>
        <v>100</v>
      </c>
      <c r="T21" s="1508" t="s">
        <v>8</v>
      </c>
      <c r="U21" s="1509">
        <f>H21</f>
        <v>100</v>
      </c>
      <c r="V21" s="1508" t="s">
        <v>8</v>
      </c>
      <c r="W21" s="1509">
        <f>J21</f>
        <v>100</v>
      </c>
      <c r="X21" s="2431"/>
      <c r="Y21" s="3563"/>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63"/>
      <c r="Q22" s="2429"/>
      <c r="R22" s="1508"/>
      <c r="S22" s="1509"/>
      <c r="T22" s="1508"/>
      <c r="U22" s="1509"/>
      <c r="V22" s="1508"/>
      <c r="W22" s="1509"/>
      <c r="X22" s="2431"/>
      <c r="Y22" s="3563"/>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63"/>
      <c r="Q23" s="1507" t="str">
        <f>B23</f>
        <v>环境质量</v>
      </c>
      <c r="R23" s="1508" t="s">
        <v>8</v>
      </c>
      <c r="S23" s="1509">
        <f>F23</f>
        <v>100</v>
      </c>
      <c r="T23" s="1508" t="s">
        <v>8</v>
      </c>
      <c r="U23" s="1509">
        <f>H23</f>
        <v>100</v>
      </c>
      <c r="V23" s="1508" t="s">
        <v>8</v>
      </c>
      <c r="W23" s="1509">
        <f>J23</f>
        <v>100</v>
      </c>
      <c r="X23" s="1502"/>
      <c r="Y23" s="356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63"/>
      <c r="Q24" s="1507"/>
      <c r="R24" s="1508"/>
      <c r="S24" s="1509"/>
      <c r="T24" s="1508"/>
      <c r="U24" s="1509"/>
      <c r="V24" s="1508"/>
      <c r="W24" s="1509"/>
      <c r="X24" s="1502"/>
      <c r="Y24" s="356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3"/>
      <c r="Q25" s="1507">
        <f>B25</f>
        <v>111</v>
      </c>
      <c r="R25" s="1508" t="s">
        <v>8</v>
      </c>
      <c r="S25" s="1509">
        <f>F25</f>
        <v>100</v>
      </c>
      <c r="T25" s="1508" t="s">
        <v>8</v>
      </c>
      <c r="U25" s="1509">
        <f>H25</f>
        <v>100</v>
      </c>
      <c r="V25" s="1508" t="s">
        <v>8</v>
      </c>
      <c r="W25" s="1509">
        <f>J25</f>
        <v>100</v>
      </c>
      <c r="X25" s="1502"/>
      <c r="Y25" s="356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3"/>
      <c r="Q26" s="1507">
        <f t="shared" ref="Q26:Q40" si="11">B26</f>
        <v>111</v>
      </c>
      <c r="R26" s="1508" t="s">
        <v>8</v>
      </c>
      <c r="S26" s="1509">
        <f>F26</f>
        <v>100</v>
      </c>
      <c r="T26" s="1508" t="s">
        <v>8</v>
      </c>
      <c r="U26" s="1509">
        <f>H26</f>
        <v>100</v>
      </c>
      <c r="V26" s="1508" t="s">
        <v>8</v>
      </c>
      <c r="W26" s="1509">
        <f>J26</f>
        <v>100</v>
      </c>
      <c r="X26" s="1502"/>
      <c r="Y26" s="356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3"/>
      <c r="Q27" s="1134">
        <f t="shared" si="11"/>
        <v>111</v>
      </c>
      <c r="R27" s="1503" t="s">
        <v>8</v>
      </c>
      <c r="S27" s="1504">
        <f>F27</f>
        <v>100</v>
      </c>
      <c r="T27" s="1503" t="s">
        <v>8</v>
      </c>
      <c r="U27" s="1504">
        <f>H27</f>
        <v>100</v>
      </c>
      <c r="V27" s="1503" t="s">
        <v>8</v>
      </c>
      <c r="W27" s="1504">
        <f>J27</f>
        <v>100</v>
      </c>
      <c r="X27" s="1505"/>
      <c r="Y27" s="356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63"/>
      <c r="Q28" s="1507">
        <f t="shared" si="11"/>
        <v>111</v>
      </c>
      <c r="R28" s="1508" t="s">
        <v>8</v>
      </c>
      <c r="S28" s="1509">
        <f t="shared" ref="S28:S40" si="12">F28</f>
        <v>100</v>
      </c>
      <c r="T28" s="1508" t="s">
        <v>8</v>
      </c>
      <c r="U28" s="1509">
        <f t="shared" ref="U28:U40" si="13">H28</f>
        <v>100</v>
      </c>
      <c r="V28" s="1508" t="s">
        <v>8</v>
      </c>
      <c r="W28" s="1509">
        <f t="shared" ref="W28:W40" si="14">J28</f>
        <v>100</v>
      </c>
      <c r="X28" s="1502"/>
      <c r="Y28" s="3563"/>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64" t="s">
        <v>544</v>
      </c>
      <c r="Q29" s="1507" t="str">
        <f t="shared" si="11"/>
        <v>建筑类型</v>
      </c>
      <c r="R29" s="1508" t="s">
        <v>8</v>
      </c>
      <c r="S29" s="1509">
        <f t="shared" si="12"/>
        <v>100</v>
      </c>
      <c r="T29" s="1508" t="s">
        <v>8</v>
      </c>
      <c r="U29" s="1509">
        <f t="shared" si="13"/>
        <v>100</v>
      </c>
      <c r="V29" s="1508" t="s">
        <v>8</v>
      </c>
      <c r="W29" s="1509">
        <f t="shared" si="14"/>
        <v>100</v>
      </c>
      <c r="X29" s="1502"/>
      <c r="Y29" s="356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5"/>
      <c r="Q30" s="1536" t="str">
        <f t="shared" si="11"/>
        <v>项目建筑规模</v>
      </c>
      <c r="R30" s="1512" t="s">
        <v>8</v>
      </c>
      <c r="S30" s="1513" t="e">
        <f t="shared" si="12"/>
        <v>#N/A</v>
      </c>
      <c r="T30" s="1512" t="s">
        <v>8</v>
      </c>
      <c r="U30" s="1513" t="e">
        <f t="shared" si="13"/>
        <v>#N/A</v>
      </c>
      <c r="V30" s="1512" t="s">
        <v>8</v>
      </c>
      <c r="W30" s="1513" t="e">
        <f t="shared" si="14"/>
        <v>#N/A</v>
      </c>
      <c r="X30" s="1514"/>
      <c r="Y30" s="356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5"/>
      <c r="Q31" s="1507" t="str">
        <f t="shared" si="11"/>
        <v>建筑结构</v>
      </c>
      <c r="R31" s="1508" t="s">
        <v>8</v>
      </c>
      <c r="S31" s="1509">
        <f t="shared" si="12"/>
        <v>100</v>
      </c>
      <c r="T31" s="1508" t="s">
        <v>8</v>
      </c>
      <c r="U31" s="1509">
        <f t="shared" si="13"/>
        <v>100</v>
      </c>
      <c r="V31" s="1508" t="s">
        <v>8</v>
      </c>
      <c r="W31" s="1509">
        <f t="shared" si="14"/>
        <v>100</v>
      </c>
      <c r="X31" s="1502"/>
      <c r="Y31" s="356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5"/>
      <c r="Q32" s="1507" t="str">
        <f t="shared" si="11"/>
        <v>公共部分装修</v>
      </c>
      <c r="R32" s="1508" t="s">
        <v>8</v>
      </c>
      <c r="S32" s="1509">
        <f t="shared" si="12"/>
        <v>100</v>
      </c>
      <c r="T32" s="1508" t="s">
        <v>8</v>
      </c>
      <c r="U32" s="1509">
        <f t="shared" si="13"/>
        <v>100</v>
      </c>
      <c r="V32" s="1508" t="s">
        <v>8</v>
      </c>
      <c r="W32" s="1509">
        <f t="shared" si="14"/>
        <v>100</v>
      </c>
      <c r="X32" s="1502"/>
      <c r="Y32" s="356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65"/>
      <c r="Q33" s="1507" t="str">
        <f t="shared" si="11"/>
        <v>成新度</v>
      </c>
      <c r="R33" s="1508" t="s">
        <v>8</v>
      </c>
      <c r="S33" s="1509" t="e">
        <f t="shared" si="12"/>
        <v>#N/A</v>
      </c>
      <c r="T33" s="1508" t="s">
        <v>8</v>
      </c>
      <c r="U33" s="1509" t="e">
        <f t="shared" si="13"/>
        <v>#N/A</v>
      </c>
      <c r="V33" s="1508" t="s">
        <v>8</v>
      </c>
      <c r="W33" s="1509" t="e">
        <f t="shared" si="14"/>
        <v>#N/A</v>
      </c>
      <c r="X33" s="1502"/>
      <c r="Y33" s="356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5"/>
      <c r="Q34" s="1134" t="str">
        <f t="shared" si="11"/>
        <v>物业管理</v>
      </c>
      <c r="R34" s="1503" t="s">
        <v>8</v>
      </c>
      <c r="S34" s="1504">
        <f t="shared" si="12"/>
        <v>100</v>
      </c>
      <c r="T34" s="1503" t="s">
        <v>8</v>
      </c>
      <c r="U34" s="1504">
        <f t="shared" si="13"/>
        <v>100</v>
      </c>
      <c r="V34" s="1503" t="s">
        <v>8</v>
      </c>
      <c r="W34" s="1504">
        <f t="shared" si="14"/>
        <v>100</v>
      </c>
      <c r="X34" s="1505"/>
      <c r="Y34" s="3565"/>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5" t="s">
        <v>544</v>
      </c>
      <c r="Q35" s="1507" t="str">
        <f t="shared" si="11"/>
        <v>市政基础设施</v>
      </c>
      <c r="R35" s="1508" t="s">
        <v>8</v>
      </c>
      <c r="S35" s="1509">
        <f t="shared" si="12"/>
        <v>100</v>
      </c>
      <c r="T35" s="1508" t="s">
        <v>8</v>
      </c>
      <c r="U35" s="1509">
        <f t="shared" si="13"/>
        <v>100</v>
      </c>
      <c r="V35" s="1508" t="s">
        <v>8</v>
      </c>
      <c r="W35" s="1509">
        <f t="shared" si="14"/>
        <v>100</v>
      </c>
      <c r="X35" s="1502"/>
      <c r="Y35" s="356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5"/>
      <c r="Q36" s="1507" t="str">
        <f t="shared" si="11"/>
        <v>内部装修</v>
      </c>
      <c r="R36" s="1508" t="s">
        <v>8</v>
      </c>
      <c r="S36" s="1509">
        <f t="shared" si="12"/>
        <v>100</v>
      </c>
      <c r="T36" s="1508" t="s">
        <v>8</v>
      </c>
      <c r="U36" s="1509">
        <f t="shared" si="13"/>
        <v>100</v>
      </c>
      <c r="V36" s="1508" t="s">
        <v>8</v>
      </c>
      <c r="W36" s="1509">
        <f t="shared" si="14"/>
        <v>100</v>
      </c>
      <c r="X36" s="1502"/>
      <c r="Y36" s="356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5"/>
      <c r="Q37" s="1507" t="str">
        <f t="shared" si="11"/>
        <v>内部装修状况</v>
      </c>
      <c r="R37" s="1508" t="s">
        <v>8</v>
      </c>
      <c r="S37" s="1509">
        <f t="shared" si="12"/>
        <v>100</v>
      </c>
      <c r="T37" s="1508" t="s">
        <v>8</v>
      </c>
      <c r="U37" s="1509">
        <f t="shared" si="13"/>
        <v>100</v>
      </c>
      <c r="V37" s="1508" t="s">
        <v>8</v>
      </c>
      <c r="W37" s="1509">
        <f t="shared" si="14"/>
        <v>100</v>
      </c>
      <c r="X37" s="1502"/>
      <c r="Y37" s="356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65"/>
      <c r="Q38" s="1536">
        <f t="shared" si="11"/>
        <v>111</v>
      </c>
      <c r="R38" s="1512" t="s">
        <v>8</v>
      </c>
      <c r="S38" s="1513">
        <f t="shared" si="12"/>
        <v>100</v>
      </c>
      <c r="T38" s="1512" t="s">
        <v>8</v>
      </c>
      <c r="U38" s="1513">
        <f t="shared" si="13"/>
        <v>100</v>
      </c>
      <c r="V38" s="1512" t="s">
        <v>8</v>
      </c>
      <c r="W38" s="1513">
        <f t="shared" si="14"/>
        <v>100</v>
      </c>
      <c r="X38" s="1514"/>
      <c r="Y38" s="356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65"/>
      <c r="Q39" s="1507">
        <f t="shared" si="11"/>
        <v>111</v>
      </c>
      <c r="R39" s="1508" t="s">
        <v>8</v>
      </c>
      <c r="S39" s="1509">
        <f t="shared" si="12"/>
        <v>100</v>
      </c>
      <c r="T39" s="1508" t="s">
        <v>8</v>
      </c>
      <c r="U39" s="1509">
        <f t="shared" si="13"/>
        <v>100</v>
      </c>
      <c r="V39" s="1508" t="s">
        <v>8</v>
      </c>
      <c r="W39" s="1509">
        <f t="shared" si="14"/>
        <v>100</v>
      </c>
      <c r="X39" s="1502"/>
      <c r="Y39" s="356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47"/>
      <c r="Q40" s="1507">
        <f t="shared" si="11"/>
        <v>111</v>
      </c>
      <c r="R40" s="1508" t="s">
        <v>8</v>
      </c>
      <c r="S40" s="1509">
        <f t="shared" si="12"/>
        <v>100</v>
      </c>
      <c r="T40" s="1508" t="s">
        <v>8</v>
      </c>
      <c r="U40" s="1509">
        <f t="shared" si="13"/>
        <v>100</v>
      </c>
      <c r="V40" s="1508" t="s">
        <v>8</v>
      </c>
      <c r="W40" s="1509">
        <f t="shared" si="14"/>
        <v>100</v>
      </c>
      <c r="X40" s="1502"/>
      <c r="Y40" s="364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28" t="str">
        <f>A41</f>
        <v>成交单价（元/平方米）</v>
      </c>
      <c r="Q41" s="3528"/>
      <c r="R41" s="3646">
        <f>E41</f>
        <v>0</v>
      </c>
      <c r="S41" s="3646"/>
      <c r="T41" s="3646">
        <f>G41</f>
        <v>0</v>
      </c>
      <c r="U41" s="3646"/>
      <c r="V41" s="3646">
        <f>I41</f>
        <v>0</v>
      </c>
      <c r="W41" s="3646"/>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28" t="str">
        <f>A42</f>
        <v>比较价格（元/平方米）</v>
      </c>
      <c r="Q42" s="3528"/>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25" t="str">
        <f>A43</f>
        <v>估价对象XX用房的比较价格（楼面单价，元/平方米）</v>
      </c>
      <c r="Q43" s="3526"/>
      <c r="R43" s="3645" t="e">
        <f>IF(F1="售价",ROUND(IF(D42="简单平均",AVERAGE(R42:V42),R42*F42+T42*H42+V42*J42),0),ROUND(IF(D42="简单平均",AVERAGE(R42:V42),R42*F42+T42*H42+V42*J42),1))</f>
        <v>#DIV/0!</v>
      </c>
      <c r="S43" s="3645"/>
      <c r="T43" s="3645"/>
      <c r="U43" s="3645"/>
      <c r="V43" s="3645"/>
      <c r="W43" s="3645"/>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4" t="s">
        <v>792</v>
      </c>
      <c r="D4" s="3535"/>
      <c r="E4" s="3534" t="s">
        <v>793</v>
      </c>
      <c r="F4" s="3535"/>
      <c r="G4" s="3534" t="s">
        <v>794</v>
      </c>
      <c r="H4" s="3535"/>
      <c r="I4" s="3534" t="s">
        <v>795</v>
      </c>
      <c r="J4" s="3535"/>
      <c r="K4" s="508" t="s">
        <v>796</v>
      </c>
      <c r="L4" s="2015"/>
      <c r="M4" s="2016"/>
      <c r="N4" s="2016"/>
      <c r="O4" s="2016"/>
      <c r="P4" s="3536" t="s">
        <v>797</v>
      </c>
      <c r="Q4" s="3537"/>
      <c r="R4" s="3542" t="s">
        <v>793</v>
      </c>
      <c r="S4" s="3543"/>
      <c r="T4" s="3542" t="s">
        <v>794</v>
      </c>
      <c r="U4" s="3543"/>
      <c r="V4" s="3529" t="s">
        <v>795</v>
      </c>
      <c r="W4" s="3529"/>
      <c r="X4" s="1502"/>
      <c r="Y4" s="3542" t="s">
        <v>797</v>
      </c>
      <c r="Z4" s="3543"/>
      <c r="AA4" s="3531" t="s">
        <v>793</v>
      </c>
      <c r="AB4" s="3532" t="s">
        <v>794</v>
      </c>
      <c r="AC4" s="3531" t="s">
        <v>795</v>
      </c>
    </row>
    <row r="5" spans="1:29" ht="15">
      <c r="A5" s="509"/>
      <c r="B5" s="510"/>
      <c r="C5" s="3550" t="s">
        <v>2898</v>
      </c>
      <c r="D5" s="3551"/>
      <c r="E5" s="3550" t="s">
        <v>2899</v>
      </c>
      <c r="F5" s="3551"/>
      <c r="G5" s="3550" t="s">
        <v>2900</v>
      </c>
      <c r="H5" s="3551"/>
      <c r="I5" s="3550" t="s">
        <v>2901</v>
      </c>
      <c r="J5" s="3551"/>
      <c r="K5" s="508"/>
      <c r="L5" s="2015"/>
      <c r="M5" s="2016"/>
      <c r="N5" s="2016"/>
      <c r="O5" s="2016"/>
      <c r="P5" s="3538"/>
      <c r="Q5" s="3539"/>
      <c r="R5" s="3544"/>
      <c r="S5" s="3545"/>
      <c r="T5" s="3544"/>
      <c r="U5" s="3545"/>
      <c r="V5" s="3529"/>
      <c r="W5" s="3529"/>
      <c r="X5" s="1502"/>
      <c r="Y5" s="3544"/>
      <c r="Z5" s="3545"/>
      <c r="AA5" s="3532"/>
      <c r="AB5" s="3532"/>
      <c r="AC5" s="3532"/>
    </row>
    <row r="6" spans="1:29" ht="15.75" thickBot="1">
      <c r="A6" s="511"/>
      <c r="B6" s="512"/>
      <c r="C6" s="3548" t="s">
        <v>2902</v>
      </c>
      <c r="D6" s="3549"/>
      <c r="E6" s="3552" t="s">
        <v>2902</v>
      </c>
      <c r="F6" s="3553"/>
      <c r="G6" s="3548" t="s">
        <v>2902</v>
      </c>
      <c r="H6" s="3549"/>
      <c r="I6" s="3548" t="s">
        <v>2902</v>
      </c>
      <c r="J6" s="3549"/>
      <c r="K6" s="508" t="s">
        <v>522</v>
      </c>
      <c r="L6" s="2015"/>
      <c r="M6" s="2016"/>
      <c r="N6" s="2016"/>
      <c r="O6" s="2016"/>
      <c r="P6" s="3540"/>
      <c r="Q6" s="3541"/>
      <c r="R6" s="3544"/>
      <c r="S6" s="3545"/>
      <c r="T6" s="3546"/>
      <c r="U6" s="3547"/>
      <c r="V6" s="3529"/>
      <c r="W6" s="3529"/>
      <c r="X6" s="1502"/>
      <c r="Y6" s="3546"/>
      <c r="Z6" s="3547"/>
      <c r="AA6" s="3533"/>
      <c r="AB6" s="3533"/>
      <c r="AC6" s="3533"/>
    </row>
    <row r="7" spans="1:29" s="1203" customFormat="1" ht="15.75" thickBot="1">
      <c r="A7" s="2629"/>
      <c r="B7" s="2636" t="s">
        <v>523</v>
      </c>
      <c r="C7" s="513">
        <f>'数据-取费表'!B2</f>
        <v>44201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9" t="s">
        <v>524</v>
      </c>
      <c r="Q7" s="3561"/>
      <c r="R7" s="1503" t="s">
        <v>8</v>
      </c>
      <c r="S7" s="1504">
        <f t="shared" ref="S7:S14" si="0">F7</f>
        <v>0</v>
      </c>
      <c r="T7" s="1503" t="s">
        <v>8</v>
      </c>
      <c r="U7" s="1504">
        <f t="shared" ref="U7:U14" si="1">H7</f>
        <v>0</v>
      </c>
      <c r="V7" s="1503" t="s">
        <v>8</v>
      </c>
      <c r="W7" s="1504">
        <f t="shared" ref="W7:W14"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9" t="s">
        <v>527</v>
      </c>
      <c r="Q8" s="3560"/>
      <c r="R8" s="1503" t="s">
        <v>8</v>
      </c>
      <c r="S8" s="1504">
        <f t="shared" si="0"/>
        <v>0</v>
      </c>
      <c r="T8" s="1503" t="s">
        <v>8</v>
      </c>
      <c r="U8" s="1504">
        <f t="shared" si="1"/>
        <v>0</v>
      </c>
      <c r="V8" s="1503" t="s">
        <v>8</v>
      </c>
      <c r="W8" s="1504">
        <f t="shared" si="2"/>
        <v>0</v>
      </c>
      <c r="X8" s="1505"/>
      <c r="Y8" s="3559" t="s">
        <v>527</v>
      </c>
      <c r="Z8" s="3560"/>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8" t="s">
        <v>529</v>
      </c>
      <c r="Q9" s="1134" t="str">
        <f t="shared" ref="Q9:Q14" si="6">B9</f>
        <v>用途</v>
      </c>
      <c r="R9" s="1503" t="s">
        <v>8</v>
      </c>
      <c r="S9" s="1504">
        <f t="shared" si="0"/>
        <v>100</v>
      </c>
      <c r="T9" s="1503" t="s">
        <v>8</v>
      </c>
      <c r="U9" s="1504">
        <f t="shared" si="1"/>
        <v>100</v>
      </c>
      <c r="V9" s="1503" t="s">
        <v>8</v>
      </c>
      <c r="W9" s="1504">
        <f t="shared" si="2"/>
        <v>100</v>
      </c>
      <c r="X9" s="1505"/>
      <c r="Y9" s="347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8"/>
      <c r="Q11" s="1134">
        <f t="shared" si="6"/>
        <v>111</v>
      </c>
      <c r="R11" s="1503" t="s">
        <v>8</v>
      </c>
      <c r="S11" s="1504">
        <f t="shared" si="0"/>
        <v>100</v>
      </c>
      <c r="T11" s="1503" t="s">
        <v>8</v>
      </c>
      <c r="U11" s="1504">
        <f t="shared" si="1"/>
        <v>100</v>
      </c>
      <c r="V11" s="1503" t="s">
        <v>8</v>
      </c>
      <c r="W11" s="1504">
        <f t="shared" si="2"/>
        <v>100</v>
      </c>
      <c r="X11" s="1505"/>
      <c r="Y11" s="3474"/>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8"/>
      <c r="Q12" s="1134">
        <f t="shared" si="6"/>
        <v>111</v>
      </c>
      <c r="R12" s="1503" t="s">
        <v>8</v>
      </c>
      <c r="S12" s="1504">
        <f t="shared" si="0"/>
        <v>100</v>
      </c>
      <c r="T12" s="1503" t="s">
        <v>8</v>
      </c>
      <c r="U12" s="1504">
        <f t="shared" si="1"/>
        <v>100</v>
      </c>
      <c r="V12" s="1503" t="s">
        <v>8</v>
      </c>
      <c r="W12" s="1504">
        <f t="shared" si="2"/>
        <v>100</v>
      </c>
      <c r="X12" s="1505"/>
      <c r="Y12" s="3474"/>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8"/>
      <c r="Q13" s="1134">
        <f t="shared" si="6"/>
        <v>111</v>
      </c>
      <c r="R13" s="1503" t="s">
        <v>8</v>
      </c>
      <c r="S13" s="1504">
        <f t="shared" si="0"/>
        <v>100</v>
      </c>
      <c r="T13" s="1503" t="s">
        <v>8</v>
      </c>
      <c r="U13" s="1504">
        <f t="shared" si="1"/>
        <v>100</v>
      </c>
      <c r="V13" s="1503" t="s">
        <v>8</v>
      </c>
      <c r="W13" s="1504">
        <f t="shared" si="2"/>
        <v>100</v>
      </c>
      <c r="X13" s="1505"/>
      <c r="Y13" s="3474"/>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62" t="s">
        <v>534</v>
      </c>
      <c r="Q14" s="1507" t="str">
        <f t="shared" si="6"/>
        <v>交通便捷度</v>
      </c>
      <c r="R14" s="1508" t="s">
        <v>8</v>
      </c>
      <c r="S14" s="1509">
        <f t="shared" si="0"/>
        <v>100</v>
      </c>
      <c r="T14" s="1508" t="s">
        <v>8</v>
      </c>
      <c r="U14" s="1509">
        <f t="shared" si="1"/>
        <v>100</v>
      </c>
      <c r="V14" s="1508" t="s">
        <v>8</v>
      </c>
      <c r="W14" s="1509">
        <f t="shared" si="2"/>
        <v>100</v>
      </c>
      <c r="X14" s="1502"/>
      <c r="Y14" s="356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63"/>
      <c r="Q15" s="1507"/>
      <c r="R15" s="1508"/>
      <c r="S15" s="1509"/>
      <c r="T15" s="1508"/>
      <c r="U15" s="1509"/>
      <c r="V15" s="1508"/>
      <c r="W15" s="1509"/>
      <c r="X15" s="1502"/>
      <c r="Y15" s="3563"/>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63"/>
      <c r="Q16" s="1507" t="str">
        <f>B16</f>
        <v>公共配套设施</v>
      </c>
      <c r="R16" s="1508" t="s">
        <v>8</v>
      </c>
      <c r="S16" s="1509">
        <f>F16</f>
        <v>100</v>
      </c>
      <c r="T16" s="1508" t="s">
        <v>8</v>
      </c>
      <c r="U16" s="1509">
        <f>H16</f>
        <v>100</v>
      </c>
      <c r="V16" s="1508" t="s">
        <v>8</v>
      </c>
      <c r="W16" s="1509">
        <f>J16</f>
        <v>100</v>
      </c>
      <c r="X16" s="1502"/>
      <c r="Y16" s="356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63"/>
      <c r="Q17" s="1507"/>
      <c r="R17" s="1508"/>
      <c r="S17" s="1509"/>
      <c r="T17" s="1508"/>
      <c r="U17" s="1509"/>
      <c r="V17" s="1508"/>
      <c r="W17" s="1509"/>
      <c r="X17" s="1502"/>
      <c r="Y17" s="3563"/>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63"/>
      <c r="Q18" s="2429" t="str">
        <f>B18</f>
        <v>基础设施水平</v>
      </c>
      <c r="R18" s="1508" t="s">
        <v>8</v>
      </c>
      <c r="S18" s="1509">
        <f>F18</f>
        <v>100</v>
      </c>
      <c r="T18" s="1508" t="s">
        <v>8</v>
      </c>
      <c r="U18" s="1509">
        <f>H18</f>
        <v>100</v>
      </c>
      <c r="V18" s="1508" t="s">
        <v>8</v>
      </c>
      <c r="W18" s="1509">
        <f>J18</f>
        <v>100</v>
      </c>
      <c r="X18" s="2431"/>
      <c r="Y18" s="3563"/>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63"/>
      <c r="Q19" s="2429"/>
      <c r="R19" s="1508"/>
      <c r="S19" s="1509"/>
      <c r="T19" s="1508"/>
      <c r="U19" s="1509"/>
      <c r="V19" s="1508"/>
      <c r="W19" s="1509"/>
      <c r="X19" s="2431"/>
      <c r="Y19" s="3563"/>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63"/>
      <c r="Q20" s="1507" t="str">
        <f>B20</f>
        <v>自然及人文环境</v>
      </c>
      <c r="R20" s="1508" t="s">
        <v>8</v>
      </c>
      <c r="S20" s="1509">
        <f>F20</f>
        <v>100</v>
      </c>
      <c r="T20" s="1508" t="s">
        <v>8</v>
      </c>
      <c r="U20" s="1509">
        <f>H20</f>
        <v>100</v>
      </c>
      <c r="V20" s="1508" t="s">
        <v>8</v>
      </c>
      <c r="W20" s="1509">
        <f>J20</f>
        <v>100</v>
      </c>
      <c r="X20" s="1502"/>
      <c r="Y20" s="356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63"/>
      <c r="Q21" s="1507"/>
      <c r="R21" s="1508"/>
      <c r="S21" s="1509"/>
      <c r="T21" s="1508"/>
      <c r="U21" s="1509"/>
      <c r="V21" s="1508"/>
      <c r="W21" s="1509"/>
      <c r="X21" s="1502"/>
      <c r="Y21" s="356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3"/>
      <c r="Q22" s="1507" t="str">
        <f>B22</f>
        <v>楼层</v>
      </c>
      <c r="R22" s="1508" t="s">
        <v>8</v>
      </c>
      <c r="S22" s="1509">
        <f>F22</f>
        <v>100</v>
      </c>
      <c r="T22" s="1508" t="s">
        <v>8</v>
      </c>
      <c r="U22" s="1509">
        <f>H22</f>
        <v>100</v>
      </c>
      <c r="V22" s="1508" t="s">
        <v>8</v>
      </c>
      <c r="W22" s="1509">
        <f>J22</f>
        <v>100</v>
      </c>
      <c r="X22" s="1502"/>
      <c r="Y22" s="356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3"/>
      <c r="Q23" s="1507">
        <f>B23</f>
        <v>111</v>
      </c>
      <c r="R23" s="1508" t="s">
        <v>8</v>
      </c>
      <c r="S23" s="1509">
        <f>F23</f>
        <v>100</v>
      </c>
      <c r="T23" s="1508" t="s">
        <v>8</v>
      </c>
      <c r="U23" s="1509">
        <f>H23</f>
        <v>100</v>
      </c>
      <c r="V23" s="1508" t="s">
        <v>8</v>
      </c>
      <c r="W23" s="1509">
        <f>J23</f>
        <v>100</v>
      </c>
      <c r="X23" s="1502"/>
      <c r="Y23" s="356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3"/>
      <c r="Q24" s="1507">
        <f t="shared" ref="Q24:Q36" si="11">B24</f>
        <v>111</v>
      </c>
      <c r="R24" s="1508" t="s">
        <v>8</v>
      </c>
      <c r="S24" s="1509">
        <f>F24</f>
        <v>100</v>
      </c>
      <c r="T24" s="1508" t="s">
        <v>8</v>
      </c>
      <c r="U24" s="1509">
        <f>H24</f>
        <v>100</v>
      </c>
      <c r="V24" s="1508" t="s">
        <v>8</v>
      </c>
      <c r="W24" s="1509">
        <f>J24</f>
        <v>100</v>
      </c>
      <c r="X24" s="1502"/>
      <c r="Y24" s="356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63"/>
      <c r="Q25" s="1134">
        <f t="shared" si="11"/>
        <v>111</v>
      </c>
      <c r="R25" s="1503" t="s">
        <v>8</v>
      </c>
      <c r="S25" s="1504">
        <f>F25</f>
        <v>100</v>
      </c>
      <c r="T25" s="1503" t="s">
        <v>8</v>
      </c>
      <c r="U25" s="1504">
        <f>H25</f>
        <v>100</v>
      </c>
      <c r="V25" s="1503" t="s">
        <v>8</v>
      </c>
      <c r="W25" s="1504">
        <f>J25</f>
        <v>100</v>
      </c>
      <c r="X25" s="1505"/>
      <c r="Y25" s="3563"/>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6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65"/>
      <c r="Q27" s="1536" t="str">
        <f t="shared" si="11"/>
        <v>项目停车位配比</v>
      </c>
      <c r="R27" s="1512" t="s">
        <v>8</v>
      </c>
      <c r="S27" s="1513">
        <f t="shared" si="12"/>
        <v>100</v>
      </c>
      <c r="T27" s="1512" t="s">
        <v>8</v>
      </c>
      <c r="U27" s="1513">
        <f t="shared" si="13"/>
        <v>100</v>
      </c>
      <c r="V27" s="1512" t="s">
        <v>8</v>
      </c>
      <c r="W27" s="1513">
        <f t="shared" si="14"/>
        <v>100</v>
      </c>
      <c r="X27" s="1514"/>
      <c r="Y27" s="356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5"/>
      <c r="Q28" s="1507" t="str">
        <f t="shared" si="11"/>
        <v>公共部分装修</v>
      </c>
      <c r="R28" s="1508" t="s">
        <v>8</v>
      </c>
      <c r="S28" s="1509">
        <f t="shared" si="12"/>
        <v>100</v>
      </c>
      <c r="T28" s="1508" t="s">
        <v>8</v>
      </c>
      <c r="U28" s="1509">
        <f t="shared" si="13"/>
        <v>100</v>
      </c>
      <c r="V28" s="1508" t="s">
        <v>8</v>
      </c>
      <c r="W28" s="1509">
        <f t="shared" si="14"/>
        <v>100</v>
      </c>
      <c r="X28" s="1502"/>
      <c r="Y28" s="356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65"/>
      <c r="Q29" s="1507" t="str">
        <f t="shared" si="11"/>
        <v>成新率</v>
      </c>
      <c r="R29" s="1508" t="s">
        <v>8</v>
      </c>
      <c r="S29" s="1509" t="e">
        <f t="shared" si="12"/>
        <v>#N/A</v>
      </c>
      <c r="T29" s="1508" t="s">
        <v>8</v>
      </c>
      <c r="U29" s="1509" t="e">
        <f t="shared" si="13"/>
        <v>#N/A</v>
      </c>
      <c r="V29" s="1508" t="s">
        <v>8</v>
      </c>
      <c r="W29" s="1509" t="e">
        <f t="shared" si="14"/>
        <v>#N/A</v>
      </c>
      <c r="X29" s="1502"/>
      <c r="Y29" s="356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65"/>
      <c r="Q30" s="1507" t="str">
        <f t="shared" si="11"/>
        <v>物业等级</v>
      </c>
      <c r="R30" s="1508" t="s">
        <v>8</v>
      </c>
      <c r="S30" s="1509">
        <f t="shared" si="12"/>
        <v>100</v>
      </c>
      <c r="T30" s="1508" t="s">
        <v>8</v>
      </c>
      <c r="U30" s="1509">
        <f t="shared" si="13"/>
        <v>100</v>
      </c>
      <c r="V30" s="1508" t="s">
        <v>8</v>
      </c>
      <c r="W30" s="1509">
        <f t="shared" si="14"/>
        <v>100</v>
      </c>
      <c r="X30" s="1502"/>
      <c r="Y30" s="356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65"/>
      <c r="Q31" s="1134" t="str">
        <f t="shared" si="11"/>
        <v>停车位面积</v>
      </c>
      <c r="R31" s="1503" t="s">
        <v>8</v>
      </c>
      <c r="S31" s="1504" t="e">
        <f t="shared" si="12"/>
        <v>#N/A</v>
      </c>
      <c r="T31" s="1503" t="s">
        <v>8</v>
      </c>
      <c r="U31" s="1504" t="e">
        <f t="shared" si="13"/>
        <v>#N/A</v>
      </c>
      <c r="V31" s="1503" t="s">
        <v>8</v>
      </c>
      <c r="W31" s="1504" t="e">
        <f t="shared" si="14"/>
        <v>#N/A</v>
      </c>
      <c r="X31" s="1505"/>
      <c r="Y31" s="356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5" t="s">
        <v>544</v>
      </c>
      <c r="Q32" s="1507" t="str">
        <f t="shared" si="11"/>
        <v>车位类型</v>
      </c>
      <c r="R32" s="1508" t="s">
        <v>8</v>
      </c>
      <c r="S32" s="1509">
        <f t="shared" si="12"/>
        <v>100</v>
      </c>
      <c r="T32" s="1508" t="s">
        <v>8</v>
      </c>
      <c r="U32" s="1509">
        <f t="shared" si="13"/>
        <v>100</v>
      </c>
      <c r="V32" s="1508" t="s">
        <v>8</v>
      </c>
      <c r="W32" s="1509">
        <f t="shared" si="14"/>
        <v>100</v>
      </c>
      <c r="X32" s="1502"/>
      <c r="Y32" s="356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5"/>
      <c r="Q33" s="1507" t="str">
        <f t="shared" si="11"/>
        <v>是否直接入户</v>
      </c>
      <c r="R33" s="1508" t="s">
        <v>8</v>
      </c>
      <c r="S33" s="1509">
        <f t="shared" si="12"/>
        <v>100</v>
      </c>
      <c r="T33" s="1508" t="s">
        <v>8</v>
      </c>
      <c r="U33" s="1509">
        <f t="shared" si="13"/>
        <v>100</v>
      </c>
      <c r="V33" s="1508" t="s">
        <v>8</v>
      </c>
      <c r="W33" s="1509">
        <f t="shared" si="14"/>
        <v>100</v>
      </c>
      <c r="X33" s="1502"/>
      <c r="Y33" s="356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5"/>
      <c r="Q34" s="1507">
        <f t="shared" si="11"/>
        <v>111</v>
      </c>
      <c r="R34" s="1508" t="s">
        <v>8</v>
      </c>
      <c r="S34" s="1509">
        <f t="shared" si="12"/>
        <v>100</v>
      </c>
      <c r="T34" s="1508" t="s">
        <v>8</v>
      </c>
      <c r="U34" s="1509">
        <f t="shared" si="13"/>
        <v>100</v>
      </c>
      <c r="V34" s="1508" t="s">
        <v>8</v>
      </c>
      <c r="W34" s="1509">
        <f t="shared" si="14"/>
        <v>100</v>
      </c>
      <c r="X34" s="1502"/>
      <c r="Y34" s="356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5"/>
      <c r="Q35" s="1536">
        <f t="shared" si="11"/>
        <v>111</v>
      </c>
      <c r="R35" s="1512" t="s">
        <v>8</v>
      </c>
      <c r="S35" s="1513">
        <f t="shared" si="12"/>
        <v>100</v>
      </c>
      <c r="T35" s="1512" t="s">
        <v>8</v>
      </c>
      <c r="U35" s="1513">
        <f t="shared" si="13"/>
        <v>100</v>
      </c>
      <c r="V35" s="1512" t="s">
        <v>8</v>
      </c>
      <c r="W35" s="1513">
        <f t="shared" si="14"/>
        <v>100</v>
      </c>
      <c r="X35" s="1514"/>
      <c r="Y35" s="356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5"/>
      <c r="Q36" s="1507">
        <f t="shared" si="11"/>
        <v>111</v>
      </c>
      <c r="R36" s="1508" t="s">
        <v>8</v>
      </c>
      <c r="S36" s="1509">
        <f t="shared" si="12"/>
        <v>100</v>
      </c>
      <c r="T36" s="1508" t="s">
        <v>8</v>
      </c>
      <c r="U36" s="1509">
        <f t="shared" si="13"/>
        <v>100</v>
      </c>
      <c r="V36" s="1508" t="s">
        <v>8</v>
      </c>
      <c r="W36" s="1509">
        <f t="shared" si="14"/>
        <v>100</v>
      </c>
      <c r="X36" s="1502"/>
      <c r="Y36" s="3565"/>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28" t="str">
        <f>A37</f>
        <v>成交单价</v>
      </c>
      <c r="Q37" s="3528"/>
      <c r="R37" s="3646">
        <f>E37</f>
        <v>0</v>
      </c>
      <c r="S37" s="3646"/>
      <c r="T37" s="3646">
        <f>G37</f>
        <v>0</v>
      </c>
      <c r="U37" s="3646"/>
      <c r="V37" s="3646">
        <f>I37</f>
        <v>0</v>
      </c>
      <c r="W37" s="3646"/>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28" t="str">
        <f>A38</f>
        <v>比较价格（元/平方米）</v>
      </c>
      <c r="Q38" s="3528"/>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25" t="str">
        <f>A39</f>
        <v>估价对象XX用房的比较价格（楼面单价，元/平方米）</v>
      </c>
      <c r="Q39" s="3526"/>
      <c r="R39" s="3645" t="e">
        <f>IF(F1="售价",ROUND(IF(D38="简单平均",AVERAGE(R38:W38),R38*F38+T38*H38+V38*J38),0),ROUND(IF(D38="简单平均",AVERAGE(R38:V38),R38*F38+T38*H38+V38*J38),1))</f>
        <v>#DIV/0!</v>
      </c>
      <c r="S39" s="3645"/>
      <c r="T39" s="3645"/>
      <c r="U39" s="3645"/>
      <c r="V39" s="3645"/>
      <c r="W39" s="3645"/>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4" t="s">
        <v>792</v>
      </c>
      <c r="D4" s="3535"/>
      <c r="E4" s="3568" t="s">
        <v>793</v>
      </c>
      <c r="F4" s="3569"/>
      <c r="G4" s="3534" t="s">
        <v>794</v>
      </c>
      <c r="H4" s="3535"/>
      <c r="I4" s="3534" t="s">
        <v>795</v>
      </c>
      <c r="J4" s="3535"/>
      <c r="K4" s="508" t="s">
        <v>796</v>
      </c>
      <c r="L4" s="2015"/>
      <c r="M4" s="2016"/>
      <c r="N4" s="2016"/>
      <c r="O4" s="2016"/>
      <c r="P4" s="3536" t="s">
        <v>797</v>
      </c>
      <c r="Q4" s="3537"/>
      <c r="R4" s="3542" t="s">
        <v>793</v>
      </c>
      <c r="S4" s="3543"/>
      <c r="T4" s="3542" t="s">
        <v>794</v>
      </c>
      <c r="U4" s="3543"/>
      <c r="V4" s="3529" t="s">
        <v>795</v>
      </c>
      <c r="W4" s="3529"/>
      <c r="X4" s="1502"/>
      <c r="Y4" s="3542" t="s">
        <v>797</v>
      </c>
      <c r="Z4" s="3543"/>
      <c r="AA4" s="3531" t="s">
        <v>793</v>
      </c>
      <c r="AB4" s="3532" t="s">
        <v>794</v>
      </c>
      <c r="AC4" s="3531" t="s">
        <v>795</v>
      </c>
    </row>
    <row r="5" spans="1:29" ht="15">
      <c r="A5" s="509"/>
      <c r="B5" s="510"/>
      <c r="C5" s="3550" t="s">
        <v>2898</v>
      </c>
      <c r="D5" s="3551"/>
      <c r="E5" s="3570" t="s">
        <v>2899</v>
      </c>
      <c r="F5" s="3571"/>
      <c r="G5" s="3550" t="s">
        <v>2900</v>
      </c>
      <c r="H5" s="3551"/>
      <c r="I5" s="3550" t="s">
        <v>2901</v>
      </c>
      <c r="J5" s="3551"/>
      <c r="K5" s="508"/>
      <c r="L5" s="2015"/>
      <c r="M5" s="2016"/>
      <c r="N5" s="2016"/>
      <c r="O5" s="2016"/>
      <c r="P5" s="3538"/>
      <c r="Q5" s="3539"/>
      <c r="R5" s="3544"/>
      <c r="S5" s="3545"/>
      <c r="T5" s="3544"/>
      <c r="U5" s="3545"/>
      <c r="V5" s="3529"/>
      <c r="W5" s="3529"/>
      <c r="X5" s="1502"/>
      <c r="Y5" s="3544"/>
      <c r="Z5" s="3545"/>
      <c r="AA5" s="3532"/>
      <c r="AB5" s="3532"/>
      <c r="AC5" s="3532"/>
    </row>
    <row r="6" spans="1:29" ht="15.75" thickBot="1">
      <c r="A6" s="511"/>
      <c r="B6" s="512"/>
      <c r="C6" s="3548" t="s">
        <v>2902</v>
      </c>
      <c r="D6" s="3549"/>
      <c r="E6" s="3566" t="s">
        <v>2902</v>
      </c>
      <c r="F6" s="3567"/>
      <c r="G6" s="3548" t="s">
        <v>2902</v>
      </c>
      <c r="H6" s="3549"/>
      <c r="I6" s="3548" t="s">
        <v>2902</v>
      </c>
      <c r="J6" s="3549"/>
      <c r="K6" s="508" t="s">
        <v>522</v>
      </c>
      <c r="L6" s="2015"/>
      <c r="M6" s="2016"/>
      <c r="N6" s="2016"/>
      <c r="O6" s="2016"/>
      <c r="P6" s="3540"/>
      <c r="Q6" s="3541"/>
      <c r="R6" s="3544"/>
      <c r="S6" s="3545"/>
      <c r="T6" s="3546"/>
      <c r="U6" s="3547"/>
      <c r="V6" s="3529"/>
      <c r="W6" s="3529"/>
      <c r="X6" s="1502"/>
      <c r="Y6" s="3546"/>
      <c r="Z6" s="3547"/>
      <c r="AA6" s="3533"/>
      <c r="AB6" s="3533"/>
      <c r="AC6" s="3533"/>
    </row>
    <row r="7" spans="1:29" s="1203" customFormat="1" ht="15.75" thickBot="1">
      <c r="A7" s="2629"/>
      <c r="B7" s="2636" t="s">
        <v>523</v>
      </c>
      <c r="C7" s="513">
        <f>'数据-取费表'!B2</f>
        <v>44201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9" t="s">
        <v>524</v>
      </c>
      <c r="Q7" s="3561"/>
      <c r="R7" s="1503" t="s">
        <v>8</v>
      </c>
      <c r="S7" s="1504">
        <f t="shared" ref="S7:S14" si="0">F7</f>
        <v>0</v>
      </c>
      <c r="T7" s="1503" t="s">
        <v>8</v>
      </c>
      <c r="U7" s="1504">
        <f t="shared" ref="U7:U14" si="1">H7</f>
        <v>0</v>
      </c>
      <c r="V7" s="1503" t="s">
        <v>8</v>
      </c>
      <c r="W7" s="1504">
        <f t="shared" ref="W7:W14" si="2">J7</f>
        <v>0</v>
      </c>
      <c r="X7" s="1505"/>
      <c r="Y7" s="3559" t="s">
        <v>524</v>
      </c>
      <c r="Z7" s="356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9" t="s">
        <v>527</v>
      </c>
      <c r="Q8" s="3560"/>
      <c r="R8" s="1503" t="s">
        <v>8</v>
      </c>
      <c r="S8" s="1504">
        <f t="shared" si="0"/>
        <v>0</v>
      </c>
      <c r="T8" s="1503" t="s">
        <v>8</v>
      </c>
      <c r="U8" s="1504">
        <f t="shared" si="1"/>
        <v>0</v>
      </c>
      <c r="V8" s="1503" t="s">
        <v>8</v>
      </c>
      <c r="W8" s="1504">
        <f t="shared" si="2"/>
        <v>0</v>
      </c>
      <c r="X8" s="1505"/>
      <c r="Y8" s="3559" t="s">
        <v>527</v>
      </c>
      <c r="Z8" s="3560"/>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8" t="s">
        <v>529</v>
      </c>
      <c r="Q9" s="1134" t="str">
        <f t="shared" ref="Q9:Q14" si="6">B9</f>
        <v>用途</v>
      </c>
      <c r="R9" s="1503" t="s">
        <v>8</v>
      </c>
      <c r="S9" s="1504">
        <f t="shared" si="0"/>
        <v>100</v>
      </c>
      <c r="T9" s="1503" t="s">
        <v>8</v>
      </c>
      <c r="U9" s="1504">
        <f t="shared" si="1"/>
        <v>100</v>
      </c>
      <c r="V9" s="1503" t="s">
        <v>8</v>
      </c>
      <c r="W9" s="1504">
        <f t="shared" si="2"/>
        <v>100</v>
      </c>
      <c r="X9" s="1505"/>
      <c r="Y9" s="347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8"/>
      <c r="Q10" s="1134" t="str">
        <f t="shared" si="6"/>
        <v>土地使用年限（年）</v>
      </c>
      <c r="R10" s="1503" t="s">
        <v>8</v>
      </c>
      <c r="S10" s="1504">
        <f t="shared" si="0"/>
        <v>100</v>
      </c>
      <c r="T10" s="1503" t="s">
        <v>8</v>
      </c>
      <c r="U10" s="1504">
        <f t="shared" si="1"/>
        <v>100</v>
      </c>
      <c r="V10" s="1503" t="s">
        <v>8</v>
      </c>
      <c r="W10" s="1504">
        <f t="shared" si="2"/>
        <v>100</v>
      </c>
      <c r="X10" s="1505"/>
      <c r="Y10" s="3474"/>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28"/>
      <c r="Q11" s="1134">
        <f t="shared" si="6"/>
        <v>111</v>
      </c>
      <c r="R11" s="1503" t="s">
        <v>8</v>
      </c>
      <c r="S11" s="1504">
        <f t="shared" si="0"/>
        <v>100</v>
      </c>
      <c r="T11" s="1503" t="s">
        <v>8</v>
      </c>
      <c r="U11" s="1504">
        <f t="shared" si="1"/>
        <v>100</v>
      </c>
      <c r="V11" s="1503" t="s">
        <v>8</v>
      </c>
      <c r="W11" s="1504">
        <f t="shared" si="2"/>
        <v>100</v>
      </c>
      <c r="X11" s="1505"/>
      <c r="Y11" s="3474"/>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28"/>
      <c r="Q12" s="1134">
        <f t="shared" si="6"/>
        <v>111</v>
      </c>
      <c r="R12" s="1503" t="s">
        <v>8</v>
      </c>
      <c r="S12" s="1504">
        <f t="shared" si="0"/>
        <v>100</v>
      </c>
      <c r="T12" s="1503" t="s">
        <v>8</v>
      </c>
      <c r="U12" s="1504">
        <f t="shared" si="1"/>
        <v>100</v>
      </c>
      <c r="V12" s="1503" t="s">
        <v>8</v>
      </c>
      <c r="W12" s="1504">
        <f t="shared" si="2"/>
        <v>100</v>
      </c>
      <c r="X12" s="1505"/>
      <c r="Y12" s="3474"/>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28"/>
      <c r="Q13" s="1134">
        <f t="shared" si="6"/>
        <v>111</v>
      </c>
      <c r="R13" s="1503" t="s">
        <v>8</v>
      </c>
      <c r="S13" s="1504">
        <f t="shared" si="0"/>
        <v>100</v>
      </c>
      <c r="T13" s="1503" t="s">
        <v>8</v>
      </c>
      <c r="U13" s="1504">
        <f t="shared" si="1"/>
        <v>100</v>
      </c>
      <c r="V13" s="1503" t="s">
        <v>8</v>
      </c>
      <c r="W13" s="1504">
        <f t="shared" si="2"/>
        <v>100</v>
      </c>
      <c r="X13" s="1505"/>
      <c r="Y13" s="3474"/>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62" t="s">
        <v>534</v>
      </c>
      <c r="Q14" s="1507" t="str">
        <f t="shared" si="6"/>
        <v>交通便捷度</v>
      </c>
      <c r="R14" s="1508" t="s">
        <v>8</v>
      </c>
      <c r="S14" s="1509">
        <f t="shared" si="0"/>
        <v>100</v>
      </c>
      <c r="T14" s="1508" t="s">
        <v>8</v>
      </c>
      <c r="U14" s="1509">
        <f t="shared" si="1"/>
        <v>100</v>
      </c>
      <c r="V14" s="1508" t="s">
        <v>8</v>
      </c>
      <c r="W14" s="1509">
        <f t="shared" si="2"/>
        <v>100</v>
      </c>
      <c r="X14" s="1502"/>
      <c r="Y14" s="356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63"/>
      <c r="Q15" s="1507"/>
      <c r="R15" s="1508"/>
      <c r="S15" s="1509"/>
      <c r="T15" s="1508"/>
      <c r="U15" s="1509"/>
      <c r="V15" s="1508"/>
      <c r="W15" s="1509"/>
      <c r="X15" s="1502"/>
      <c r="Y15" s="3563"/>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63"/>
      <c r="Q16" s="1507" t="str">
        <f>B16</f>
        <v>公共配套设施</v>
      </c>
      <c r="R16" s="1508" t="s">
        <v>8</v>
      </c>
      <c r="S16" s="1509">
        <f>F16</f>
        <v>100</v>
      </c>
      <c r="T16" s="1508" t="s">
        <v>8</v>
      </c>
      <c r="U16" s="1509">
        <f>H16</f>
        <v>100</v>
      </c>
      <c r="V16" s="1508" t="s">
        <v>8</v>
      </c>
      <c r="W16" s="1509">
        <f>J16</f>
        <v>100</v>
      </c>
      <c r="X16" s="1502"/>
      <c r="Y16" s="356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63"/>
      <c r="Q17" s="1507"/>
      <c r="R17" s="1508"/>
      <c r="S17" s="1509"/>
      <c r="T17" s="1508"/>
      <c r="U17" s="1509"/>
      <c r="V17" s="1508"/>
      <c r="W17" s="1509"/>
      <c r="X17" s="1502"/>
      <c r="Y17" s="3563"/>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63"/>
      <c r="Q18" s="2429" t="str">
        <f>B18</f>
        <v>基础设施水平</v>
      </c>
      <c r="R18" s="1508" t="s">
        <v>8</v>
      </c>
      <c r="S18" s="1509">
        <f>F18</f>
        <v>100</v>
      </c>
      <c r="T18" s="1508" t="s">
        <v>8</v>
      </c>
      <c r="U18" s="1509">
        <f>H18</f>
        <v>100</v>
      </c>
      <c r="V18" s="1508" t="s">
        <v>8</v>
      </c>
      <c r="W18" s="1509">
        <f>J18</f>
        <v>100</v>
      </c>
      <c r="X18" s="2431"/>
      <c r="Y18" s="3563"/>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63"/>
      <c r="Q19" s="2429"/>
      <c r="R19" s="1508"/>
      <c r="S19" s="1509"/>
      <c r="T19" s="1508"/>
      <c r="U19" s="1509"/>
      <c r="V19" s="1508"/>
      <c r="W19" s="1509"/>
      <c r="X19" s="2431"/>
      <c r="Y19" s="3563"/>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63"/>
      <c r="Q20" s="1507" t="str">
        <f>B20</f>
        <v>自然及人文环境</v>
      </c>
      <c r="R20" s="1508" t="s">
        <v>8</v>
      </c>
      <c r="S20" s="1509">
        <f>F20</f>
        <v>100</v>
      </c>
      <c r="T20" s="1508" t="s">
        <v>8</v>
      </c>
      <c r="U20" s="1509">
        <f>H20</f>
        <v>100</v>
      </c>
      <c r="V20" s="1508" t="s">
        <v>8</v>
      </c>
      <c r="W20" s="1509">
        <f>J20</f>
        <v>100</v>
      </c>
      <c r="X20" s="1502"/>
      <c r="Y20" s="356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63"/>
      <c r="Q21" s="1507"/>
      <c r="R21" s="1508"/>
      <c r="S21" s="1509"/>
      <c r="T21" s="1508"/>
      <c r="U21" s="1509"/>
      <c r="V21" s="1508"/>
      <c r="W21" s="1509"/>
      <c r="X21" s="1502"/>
      <c r="Y21" s="356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3"/>
      <c r="Q22" s="1507" t="str">
        <f>B22</f>
        <v>楼层</v>
      </c>
      <c r="R22" s="1508" t="s">
        <v>8</v>
      </c>
      <c r="S22" s="1509">
        <f>F22</f>
        <v>100</v>
      </c>
      <c r="T22" s="1508" t="s">
        <v>8</v>
      </c>
      <c r="U22" s="1509">
        <f>H22</f>
        <v>100</v>
      </c>
      <c r="V22" s="1508" t="s">
        <v>8</v>
      </c>
      <c r="W22" s="1509">
        <f>J22</f>
        <v>100</v>
      </c>
      <c r="X22" s="1502"/>
      <c r="Y22" s="356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3"/>
      <c r="Q23" s="1507">
        <f>B23</f>
        <v>111</v>
      </c>
      <c r="R23" s="1508" t="s">
        <v>8</v>
      </c>
      <c r="S23" s="1509">
        <f>F23</f>
        <v>100</v>
      </c>
      <c r="T23" s="1508" t="s">
        <v>8</v>
      </c>
      <c r="U23" s="1509">
        <f>H23</f>
        <v>100</v>
      </c>
      <c r="V23" s="1508" t="s">
        <v>8</v>
      </c>
      <c r="W23" s="1509">
        <f>J23</f>
        <v>100</v>
      </c>
      <c r="X23" s="1502"/>
      <c r="Y23" s="356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3"/>
      <c r="Q24" s="1507">
        <f t="shared" ref="Q24:Q34" si="11">B24</f>
        <v>111</v>
      </c>
      <c r="R24" s="1508" t="s">
        <v>8</v>
      </c>
      <c r="S24" s="1509">
        <f>F24</f>
        <v>100</v>
      </c>
      <c r="T24" s="1508" t="s">
        <v>8</v>
      </c>
      <c r="U24" s="1509">
        <f>H24</f>
        <v>100</v>
      </c>
      <c r="V24" s="1508" t="s">
        <v>8</v>
      </c>
      <c r="W24" s="1509">
        <f>J24</f>
        <v>100</v>
      </c>
      <c r="X24" s="1502"/>
      <c r="Y24" s="356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63"/>
      <c r="Q25" s="1134">
        <f t="shared" si="11"/>
        <v>111</v>
      </c>
      <c r="R25" s="1503" t="s">
        <v>8</v>
      </c>
      <c r="S25" s="1504">
        <f>F25</f>
        <v>100</v>
      </c>
      <c r="T25" s="1503" t="s">
        <v>8</v>
      </c>
      <c r="U25" s="1504">
        <f>H25</f>
        <v>100</v>
      </c>
      <c r="V25" s="1503" t="s">
        <v>8</v>
      </c>
      <c r="W25" s="1504">
        <f>J25</f>
        <v>100</v>
      </c>
      <c r="X25" s="1505"/>
      <c r="Y25" s="3563"/>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6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6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65"/>
      <c r="Q27" s="1536" t="str">
        <f t="shared" si="11"/>
        <v>成新率</v>
      </c>
      <c r="R27" s="1512" t="s">
        <v>8</v>
      </c>
      <c r="S27" s="1513" t="e">
        <f t="shared" si="12"/>
        <v>#N/A</v>
      </c>
      <c r="T27" s="1512" t="s">
        <v>8</v>
      </c>
      <c r="U27" s="1513" t="e">
        <f t="shared" si="13"/>
        <v>#N/A</v>
      </c>
      <c r="V27" s="1512" t="s">
        <v>8</v>
      </c>
      <c r="W27" s="1513" t="e">
        <f t="shared" si="14"/>
        <v>#N/A</v>
      </c>
      <c r="X27" s="1514"/>
      <c r="Y27" s="356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5"/>
      <c r="Q28" s="1507" t="str">
        <f t="shared" si="11"/>
        <v>物业等级</v>
      </c>
      <c r="R28" s="1508" t="s">
        <v>8</v>
      </c>
      <c r="S28" s="1509">
        <f t="shared" si="12"/>
        <v>100</v>
      </c>
      <c r="T28" s="1508" t="s">
        <v>8</v>
      </c>
      <c r="U28" s="1509">
        <f t="shared" si="13"/>
        <v>100</v>
      </c>
      <c r="V28" s="1508" t="s">
        <v>8</v>
      </c>
      <c r="W28" s="1509">
        <f t="shared" si="14"/>
        <v>100</v>
      </c>
      <c r="X28" s="1502"/>
      <c r="Y28" s="356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65"/>
      <c r="Q29" s="1507" t="str">
        <f t="shared" si="11"/>
        <v>有无电梯</v>
      </c>
      <c r="R29" s="1508" t="s">
        <v>8</v>
      </c>
      <c r="S29" s="1509">
        <f t="shared" si="12"/>
        <v>100</v>
      </c>
      <c r="T29" s="1508" t="s">
        <v>8</v>
      </c>
      <c r="U29" s="1509">
        <f t="shared" si="13"/>
        <v>100</v>
      </c>
      <c r="V29" s="1508" t="s">
        <v>8</v>
      </c>
      <c r="W29" s="1509">
        <f t="shared" si="14"/>
        <v>100</v>
      </c>
      <c r="X29" s="1502"/>
      <c r="Y29" s="356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65"/>
      <c r="Q30" s="1507" t="str">
        <f t="shared" si="11"/>
        <v>建筑面积</v>
      </c>
      <c r="R30" s="1508" t="s">
        <v>8</v>
      </c>
      <c r="S30" s="1509" t="e">
        <f t="shared" si="12"/>
        <v>#N/A</v>
      </c>
      <c r="T30" s="1508" t="s">
        <v>8</v>
      </c>
      <c r="U30" s="1509" t="e">
        <f t="shared" si="13"/>
        <v>#N/A</v>
      </c>
      <c r="V30" s="1508" t="s">
        <v>8</v>
      </c>
      <c r="W30" s="1509" t="e">
        <f t="shared" si="14"/>
        <v>#N/A</v>
      </c>
      <c r="X30" s="1502"/>
      <c r="Y30" s="356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65"/>
      <c r="Q31" s="1134" t="str">
        <f t="shared" si="11"/>
        <v>是否封闭</v>
      </c>
      <c r="R31" s="1503" t="s">
        <v>8</v>
      </c>
      <c r="S31" s="1504">
        <f t="shared" si="12"/>
        <v>100</v>
      </c>
      <c r="T31" s="1503" t="s">
        <v>8</v>
      </c>
      <c r="U31" s="1504">
        <f t="shared" si="13"/>
        <v>100</v>
      </c>
      <c r="V31" s="1503" t="s">
        <v>8</v>
      </c>
      <c r="W31" s="1504">
        <f t="shared" si="14"/>
        <v>100</v>
      </c>
      <c r="X31" s="1505"/>
      <c r="Y31" s="356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65" t="s">
        <v>544</v>
      </c>
      <c r="Q32" s="1507">
        <f t="shared" si="11"/>
        <v>111</v>
      </c>
      <c r="R32" s="1508" t="s">
        <v>8</v>
      </c>
      <c r="S32" s="1509">
        <f t="shared" si="12"/>
        <v>100</v>
      </c>
      <c r="T32" s="1508" t="s">
        <v>8</v>
      </c>
      <c r="U32" s="1509">
        <f t="shared" si="13"/>
        <v>100</v>
      </c>
      <c r="V32" s="1508" t="s">
        <v>8</v>
      </c>
      <c r="W32" s="1509">
        <f t="shared" si="14"/>
        <v>100</v>
      </c>
      <c r="X32" s="1502"/>
      <c r="Y32" s="356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65"/>
      <c r="Q33" s="1507">
        <f t="shared" si="11"/>
        <v>111</v>
      </c>
      <c r="R33" s="1508" t="s">
        <v>8</v>
      </c>
      <c r="S33" s="1509">
        <f t="shared" si="12"/>
        <v>100</v>
      </c>
      <c r="T33" s="1508" t="s">
        <v>8</v>
      </c>
      <c r="U33" s="1509">
        <f t="shared" si="13"/>
        <v>100</v>
      </c>
      <c r="V33" s="1508" t="s">
        <v>8</v>
      </c>
      <c r="W33" s="1509">
        <f t="shared" si="14"/>
        <v>100</v>
      </c>
      <c r="X33" s="1502"/>
      <c r="Y33" s="356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65"/>
      <c r="Q34" s="1507">
        <f t="shared" si="11"/>
        <v>111</v>
      </c>
      <c r="R34" s="1508" t="s">
        <v>8</v>
      </c>
      <c r="S34" s="1509">
        <f t="shared" si="12"/>
        <v>100</v>
      </c>
      <c r="T34" s="1508" t="s">
        <v>8</v>
      </c>
      <c r="U34" s="1509">
        <f t="shared" si="13"/>
        <v>100</v>
      </c>
      <c r="V34" s="1508" t="s">
        <v>8</v>
      </c>
      <c r="W34" s="1509">
        <f t="shared" si="14"/>
        <v>100</v>
      </c>
      <c r="X34" s="1502"/>
      <c r="Y34" s="3565"/>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28" t="str">
        <f>A35</f>
        <v>成交单价（元/平方米）</v>
      </c>
      <c r="Q35" s="3528"/>
      <c r="R35" s="3646">
        <f>E35</f>
        <v>0</v>
      </c>
      <c r="S35" s="3646"/>
      <c r="T35" s="3646">
        <f>G35</f>
        <v>0</v>
      </c>
      <c r="U35" s="3646"/>
      <c r="V35" s="3646">
        <f>I35</f>
        <v>0</v>
      </c>
      <c r="W35" s="3646"/>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28" t="str">
        <f>A36</f>
        <v>比较价格（元/平方米）</v>
      </c>
      <c r="Q36" s="3528"/>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25" t="str">
        <f>A37</f>
        <v>估价对象XX用房的比较价格（楼面单价，元/平方米）</v>
      </c>
      <c r="Q37" s="3526"/>
      <c r="R37" s="3645" t="e">
        <f>IF(F1="售价",ROUND(IF(D36="简单平均",AVERAGE(R36:W36),R36*F36+T36*H36+V36*J36),0),ROUND(IF(D36="简单平均",AVERAGE(R36:V36),R36*F36+T36*H36+V36*J36),1))</f>
        <v>#DIV/0!</v>
      </c>
      <c r="S37" s="3645"/>
      <c r="T37" s="3645"/>
      <c r="U37" s="3645"/>
      <c r="V37" s="3645"/>
      <c r="W37" s="3645"/>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55" t="s">
        <v>2292</v>
      </c>
      <c r="D1" s="3656"/>
      <c r="E1" s="3656"/>
      <c r="F1" s="3656"/>
      <c r="G1" s="3656"/>
      <c r="H1" s="3656"/>
      <c r="I1" s="3656"/>
      <c r="J1" s="3656"/>
      <c r="K1" s="3656"/>
      <c r="L1" s="3656"/>
      <c r="M1" s="3656"/>
      <c r="N1" s="3656"/>
      <c r="O1" s="3656"/>
      <c r="P1" s="3656"/>
      <c r="Q1" s="3656"/>
      <c r="R1" s="3656"/>
      <c r="S1" s="3657"/>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52" t="s">
        <v>20</v>
      </c>
      <c r="D22" s="3653"/>
      <c r="E22" s="3653"/>
      <c r="F22" s="3653"/>
      <c r="G22" s="3653"/>
      <c r="H22" s="3653"/>
      <c r="I22" s="3653"/>
      <c r="J22" s="3653"/>
      <c r="K22" s="3653"/>
      <c r="L22" s="3653"/>
      <c r="M22" s="3653"/>
      <c r="N22" s="3653"/>
      <c r="O22" s="3653"/>
      <c r="P22" s="3653"/>
      <c r="Q22" s="3654"/>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2021年1月5日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3" activePane="bottomRight" state="frozen"/>
      <selection pane="topRight" activeCell="E1" sqref="E1"/>
      <selection pane="bottomLeft" activeCell="A3" sqref="A3"/>
      <selection pane="bottomRight" activeCell="J75" sqref="J75"/>
    </sheetView>
  </sheetViews>
  <sheetFormatPr defaultColWidth="9" defaultRowHeight="13.5"/>
  <cols>
    <col min="1" max="3" width="9.25" style="3307" bestFit="1" customWidth="1"/>
    <col min="4" max="9" width="9" style="3307"/>
    <col min="10" max="10" width="20.125" style="3307" customWidth="1"/>
    <col min="11" max="13" width="9.25" style="3307" bestFit="1" customWidth="1"/>
    <col min="14" max="14" width="11.5" style="3307" customWidth="1"/>
    <col min="15" max="15" width="60.625" style="3307" customWidth="1"/>
    <col min="16" max="18" width="9" style="3307"/>
    <col min="19" max="19" width="9.5" style="3307" bestFit="1" customWidth="1"/>
    <col min="20" max="20" width="10.5" style="3307" bestFit="1" customWidth="1"/>
    <col min="21" max="21" width="9.25" style="3307" bestFit="1" customWidth="1"/>
    <col min="22" max="22" width="9.75" style="3307" bestFit="1" customWidth="1"/>
    <col min="23" max="24" width="9.25" style="3307" bestFit="1" customWidth="1"/>
    <col min="25" max="16384" width="9" style="3307"/>
  </cols>
  <sheetData>
    <row r="1" spans="1:27" s="3298" customFormat="1" ht="24.75" customHeight="1">
      <c r="A1" s="3658" t="s">
        <v>3012</v>
      </c>
      <c r="B1" s="3658"/>
      <c r="C1" s="3658"/>
      <c r="D1" s="3658"/>
      <c r="E1" s="3658"/>
      <c r="F1" s="3658"/>
      <c r="G1" s="3658"/>
      <c r="H1" s="3658"/>
      <c r="I1" s="3658"/>
      <c r="J1" s="3658"/>
      <c r="K1" s="3296"/>
      <c r="L1" s="3296"/>
      <c r="M1" s="3296"/>
      <c r="N1" s="3296"/>
      <c r="O1" s="3296"/>
      <c r="P1" s="3296"/>
      <c r="Q1" s="3296"/>
      <c r="R1" s="3296"/>
      <c r="S1" s="3296"/>
      <c r="T1" s="3296"/>
      <c r="U1" s="3283"/>
      <c r="V1" s="3297"/>
    </row>
    <row r="2" spans="1:27" s="3299"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6"/>
    </row>
    <row r="3" spans="1:27" s="3302"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0" t="s">
        <v>3048</v>
      </c>
      <c r="R3" s="3300" t="s">
        <v>3048</v>
      </c>
      <c r="S3" s="3300">
        <v>25996.07</v>
      </c>
      <c r="T3" s="3300">
        <v>111569.81</v>
      </c>
      <c r="U3" s="3300">
        <v>3078.5</v>
      </c>
      <c r="V3" s="3295">
        <v>1918.6299999999999</v>
      </c>
      <c r="W3" s="3294">
        <v>362.57</v>
      </c>
      <c r="X3" s="3289">
        <v>1556.06</v>
      </c>
      <c r="Y3" s="3301"/>
      <c r="Z3" s="3301"/>
      <c r="AA3" s="3301"/>
    </row>
    <row r="4" spans="1:27" s="3302"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3071</v>
      </c>
      <c r="P4" s="3287" t="s">
        <v>3047</v>
      </c>
      <c r="Q4" s="3300" t="s">
        <v>3048</v>
      </c>
      <c r="R4" s="3300" t="s">
        <v>3048</v>
      </c>
      <c r="S4" s="3281">
        <v>27680.83</v>
      </c>
      <c r="T4" s="3281">
        <v>141032.19</v>
      </c>
      <c r="U4" s="3303"/>
      <c r="V4" s="3304">
        <v>1370.32</v>
      </c>
      <c r="W4" s="3305">
        <v>224.83</v>
      </c>
      <c r="X4" s="3290">
        <v>1145.49</v>
      </c>
      <c r="Y4" s="3301"/>
      <c r="Z4" s="3301"/>
      <c r="AA4" s="3301"/>
    </row>
    <row r="5" spans="1:27" s="3302"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5">
        <v>1349.43</v>
      </c>
      <c r="W5" s="3306">
        <v>239.73</v>
      </c>
      <c r="X5" s="3306">
        <v>1109.7</v>
      </c>
      <c r="Y5" s="3301"/>
      <c r="Z5" s="3301" t="s">
        <v>3059</v>
      </c>
      <c r="AA5" s="3301"/>
    </row>
    <row r="6" spans="1:27" s="3346" customFormat="1" ht="121.5">
      <c r="A6" s="3341">
        <v>2018</v>
      </c>
      <c r="B6" s="3341">
        <v>3</v>
      </c>
      <c r="C6" s="3342">
        <v>3</v>
      </c>
      <c r="D6" s="3342" t="s">
        <v>3039</v>
      </c>
      <c r="E6" s="3342" t="s">
        <v>3040</v>
      </c>
      <c r="F6" s="3342" t="s">
        <v>3136</v>
      </c>
      <c r="G6" s="3342" t="s">
        <v>3050</v>
      </c>
      <c r="H6" s="3342" t="s">
        <v>3043</v>
      </c>
      <c r="I6" s="3342" t="s">
        <v>3060</v>
      </c>
      <c r="J6" s="3342" t="s">
        <v>3061</v>
      </c>
      <c r="K6" s="3342" t="s">
        <v>3056</v>
      </c>
      <c r="L6" s="3342">
        <v>8.11</v>
      </c>
      <c r="M6" s="3342">
        <v>11.36</v>
      </c>
      <c r="N6" s="3342">
        <v>51100.98</v>
      </c>
      <c r="O6" s="3343" t="s">
        <v>3137</v>
      </c>
      <c r="P6" s="3342" t="s">
        <v>3062</v>
      </c>
      <c r="Q6" s="3290" t="s">
        <v>3048</v>
      </c>
      <c r="R6" s="3344" t="s">
        <v>3058</v>
      </c>
      <c r="S6" s="3305">
        <v>78903.5</v>
      </c>
      <c r="T6" s="3344">
        <v>365234.84</v>
      </c>
      <c r="U6" s="3305"/>
      <c r="V6" s="3304">
        <v>1349.43</v>
      </c>
      <c r="W6" s="3282">
        <v>239.73</v>
      </c>
      <c r="X6" s="3282">
        <v>1109.7</v>
      </c>
      <c r="Y6" s="3345"/>
      <c r="Z6" s="3345"/>
      <c r="AA6" s="3345"/>
    </row>
    <row r="7" spans="1:27" s="3346" customFormat="1" ht="261" customHeight="1">
      <c r="A7" s="3341">
        <v>2018</v>
      </c>
      <c r="B7" s="3341">
        <v>4</v>
      </c>
      <c r="C7" s="3342">
        <v>2</v>
      </c>
      <c r="D7" s="3342" t="s">
        <v>3063</v>
      </c>
      <c r="E7" s="3342" t="s">
        <v>3040</v>
      </c>
      <c r="F7" s="3342" t="s">
        <v>3144</v>
      </c>
      <c r="G7" s="3342" t="s">
        <v>3042</v>
      </c>
      <c r="H7" s="3342" t="s">
        <v>3043</v>
      </c>
      <c r="I7" s="3342" t="s">
        <v>3064</v>
      </c>
      <c r="J7" s="3342" t="s">
        <v>3065</v>
      </c>
      <c r="K7" s="3342">
        <v>71.7</v>
      </c>
      <c r="L7" s="3342">
        <v>24.94</v>
      </c>
      <c r="M7" s="3342">
        <v>25.09</v>
      </c>
      <c r="N7" s="3342">
        <v>111324.76</v>
      </c>
      <c r="O7" s="3343" t="s">
        <v>3138</v>
      </c>
      <c r="P7" s="3342" t="s">
        <v>3066</v>
      </c>
      <c r="Q7" s="3290" t="s">
        <v>3048</v>
      </c>
      <c r="R7" s="3304" t="s">
        <v>3048</v>
      </c>
      <c r="S7" s="3305">
        <v>25804.77</v>
      </c>
      <c r="T7" s="3305">
        <v>108567.45</v>
      </c>
      <c r="U7" s="3347"/>
      <c r="V7" s="3304">
        <v>1874.09</v>
      </c>
      <c r="W7" s="3305">
        <v>359.9</v>
      </c>
      <c r="X7" s="3290">
        <v>1514.19</v>
      </c>
      <c r="Y7" s="3347"/>
      <c r="Z7" s="3347"/>
      <c r="AA7" s="3345"/>
    </row>
    <row r="8" spans="1:27" s="3346" customFormat="1" ht="189">
      <c r="A8" s="3341">
        <v>2019</v>
      </c>
      <c r="B8" s="3341">
        <v>2</v>
      </c>
      <c r="C8" s="3342">
        <v>4</v>
      </c>
      <c r="D8" s="3342" t="s">
        <v>3063</v>
      </c>
      <c r="E8" s="3342" t="s">
        <v>3040</v>
      </c>
      <c r="F8" s="3342" t="s">
        <v>3139</v>
      </c>
      <c r="G8" s="3342" t="s">
        <v>3050</v>
      </c>
      <c r="H8" s="3342" t="s">
        <v>3043</v>
      </c>
      <c r="I8" s="3342" t="s">
        <v>3067</v>
      </c>
      <c r="J8" s="3342" t="s">
        <v>3068</v>
      </c>
      <c r="K8" s="3342" t="s">
        <v>3069</v>
      </c>
      <c r="L8" s="3342">
        <v>11.35</v>
      </c>
      <c r="M8" s="3342">
        <v>16.91</v>
      </c>
      <c r="N8" s="3342">
        <v>76095</v>
      </c>
      <c r="O8" s="3343" t="s">
        <v>3143</v>
      </c>
      <c r="P8" s="3342" t="s">
        <v>3070</v>
      </c>
      <c r="Q8" s="3290" t="s">
        <v>3048</v>
      </c>
      <c r="R8" s="3344" t="s">
        <v>3058</v>
      </c>
      <c r="S8" s="3305">
        <v>78903.5</v>
      </c>
      <c r="T8" s="3344">
        <v>365234.84</v>
      </c>
      <c r="U8" s="3305"/>
      <c r="V8" s="3304">
        <v>1349.43</v>
      </c>
      <c r="W8" s="3282">
        <v>239.73</v>
      </c>
      <c r="X8" s="3282">
        <v>1109.7</v>
      </c>
      <c r="Y8" s="3345"/>
      <c r="Z8" s="3345"/>
      <c r="AA8" s="3345"/>
    </row>
    <row r="9" spans="1:27" s="3298" customFormat="1" ht="11.25">
      <c r="A9" s="3299"/>
      <c r="B9" s="3299"/>
      <c r="C9" s="3299"/>
      <c r="K9" s="3299"/>
      <c r="L9" s="3299"/>
      <c r="M9" s="3299"/>
      <c r="N9" s="3299"/>
      <c r="O9" s="3299"/>
      <c r="P9" s="3299"/>
      <c r="Q9" s="3299"/>
      <c r="R9" s="3299"/>
      <c r="S9" s="3299"/>
      <c r="T9" s="3299"/>
      <c r="U9" s="3299"/>
    </row>
    <row r="10" spans="1:27" s="3298" customFormat="1" ht="11.25">
      <c r="A10" s="3299"/>
      <c r="B10" s="3299"/>
      <c r="C10" s="3299"/>
      <c r="K10" s="3299"/>
      <c r="L10" s="3299"/>
      <c r="M10" s="3299"/>
      <c r="N10" s="3299"/>
      <c r="O10" s="3299"/>
      <c r="P10" s="3299"/>
      <c r="Q10" s="3299"/>
      <c r="R10" s="3299"/>
      <c r="S10" s="3299"/>
      <c r="T10" s="3299"/>
      <c r="U10" s="3299"/>
      <c r="V10" s="3298">
        <f>ROUND(AVERAGE(V6:V8),1)</f>
        <v>1524.3</v>
      </c>
    </row>
    <row r="11" spans="1:27" s="3298" customFormat="1" ht="11.25">
      <c r="A11" s="3299"/>
      <c r="B11" s="3299"/>
      <c r="C11" s="3299"/>
      <c r="K11" s="3299"/>
      <c r="L11" s="3299"/>
      <c r="M11" s="3299"/>
      <c r="N11" s="3299"/>
      <c r="O11" s="3299"/>
      <c r="P11" s="3299"/>
      <c r="Q11" s="3299"/>
      <c r="R11" s="3299"/>
      <c r="S11" s="3299"/>
      <c r="T11" s="3299"/>
      <c r="U11" s="3299"/>
    </row>
    <row r="12" spans="1:27" s="3298" customFormat="1" ht="11.25">
      <c r="A12" s="3299"/>
      <c r="B12" s="3299"/>
      <c r="C12" s="3299"/>
      <c r="K12" s="3299"/>
      <c r="L12" s="3299"/>
      <c r="M12" s="3299"/>
      <c r="N12" s="3299"/>
      <c r="O12" s="3299"/>
      <c r="P12" s="3299"/>
      <c r="Q12" s="3299"/>
      <c r="R12" s="3299"/>
      <c r="S12" s="3299"/>
      <c r="T12" s="3299"/>
      <c r="U12" s="3299"/>
    </row>
    <row r="13" spans="1:27" s="3298" customFormat="1" ht="11.25">
      <c r="A13" s="3299"/>
      <c r="B13" s="3299"/>
      <c r="C13" s="3299"/>
      <c r="K13" s="3299"/>
      <c r="L13" s="3299"/>
      <c r="M13" s="3299"/>
      <c r="N13" s="3299"/>
      <c r="O13" s="3299"/>
      <c r="P13" s="3299"/>
      <c r="Q13" s="3299"/>
      <c r="R13" s="3299"/>
      <c r="S13" s="3299"/>
      <c r="T13" s="3299"/>
      <c r="U13" s="3299"/>
    </row>
    <row r="14" spans="1:27" s="3298" customFormat="1" ht="11.25">
      <c r="A14" s="3299"/>
      <c r="B14" s="3299"/>
      <c r="C14" s="3299"/>
      <c r="K14" s="3299"/>
      <c r="L14" s="3299"/>
      <c r="M14" s="3299"/>
      <c r="N14" s="3299"/>
      <c r="O14" s="3299"/>
      <c r="P14" s="3299"/>
      <c r="Q14" s="3299"/>
      <c r="R14" s="3299"/>
      <c r="S14" s="3299"/>
      <c r="T14" s="3299"/>
      <c r="U14" s="3299"/>
    </row>
    <row r="15" spans="1:27" s="3298" customFormat="1" ht="11.25">
      <c r="A15" s="3299"/>
      <c r="B15" s="3299"/>
      <c r="C15" s="3299"/>
      <c r="K15" s="3299"/>
      <c r="L15" s="3299"/>
      <c r="M15" s="3299"/>
      <c r="N15" s="3299"/>
      <c r="O15" s="3299"/>
      <c r="P15" s="3299"/>
      <c r="Q15" s="3299"/>
      <c r="R15" s="3299"/>
      <c r="S15" s="3299"/>
      <c r="T15" s="3299"/>
      <c r="U15" s="3299"/>
    </row>
    <row r="16" spans="1:27" s="3298" customFormat="1" ht="11.25">
      <c r="A16" s="3299"/>
      <c r="B16" s="3299"/>
      <c r="C16" s="3299"/>
      <c r="K16" s="3299"/>
      <c r="L16" s="3299"/>
      <c r="M16" s="3299"/>
      <c r="N16" s="3299"/>
      <c r="O16" s="3299"/>
      <c r="P16" s="3299"/>
      <c r="Q16" s="3299"/>
      <c r="R16" s="3299"/>
      <c r="S16" s="3299"/>
      <c r="T16" s="3299"/>
      <c r="U16" s="3299"/>
    </row>
    <row r="17" spans="1:21" s="3298" customFormat="1" ht="11.25">
      <c r="A17" s="3299"/>
      <c r="B17" s="3299"/>
      <c r="C17" s="3299"/>
      <c r="K17" s="3299"/>
      <c r="L17" s="3299"/>
      <c r="M17" s="3299"/>
      <c r="N17" s="3299"/>
      <c r="O17" s="3299"/>
      <c r="P17" s="3299"/>
      <c r="Q17" s="3299"/>
      <c r="R17" s="3299"/>
      <c r="S17" s="3299"/>
      <c r="T17" s="3299"/>
      <c r="U17" s="3299"/>
    </row>
    <row r="18" spans="1:21" s="3298" customFormat="1" ht="11.25">
      <c r="A18" s="3299"/>
      <c r="B18" s="3299"/>
      <c r="C18" s="3299"/>
      <c r="K18" s="3299"/>
      <c r="L18" s="3299"/>
      <c r="M18" s="3299"/>
      <c r="N18" s="3299"/>
      <c r="O18" s="3299"/>
      <c r="P18" s="3299"/>
      <c r="Q18" s="3299"/>
      <c r="R18" s="3299"/>
      <c r="S18" s="3299"/>
      <c r="T18" s="3299"/>
      <c r="U18" s="3299"/>
    </row>
  </sheetData>
  <mergeCells count="1">
    <mergeCell ref="A1:J1"/>
  </mergeCells>
  <phoneticPr fontId="229"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tabSelected="1" workbookViewId="0">
      <selection activeCell="F15" sqref="F15"/>
    </sheetView>
  </sheetViews>
  <sheetFormatPr defaultColWidth="9" defaultRowHeight="13.5"/>
  <cols>
    <col min="1" max="1" width="9" style="2"/>
    <col min="2" max="2" width="31.25" style="2" customWidth="1"/>
    <col min="3" max="3" width="20.875" style="2" customWidth="1"/>
    <col min="4" max="5" width="9" style="2"/>
    <col min="6" max="6" width="36.25" style="2" customWidth="1"/>
    <col min="7" max="16384" width="9" style="2"/>
  </cols>
  <sheetData>
    <row r="1" spans="1:6">
      <c r="A1" s="3659" t="s">
        <v>3087</v>
      </c>
      <c r="B1" s="3659"/>
      <c r="C1" s="3659"/>
      <c r="D1" s="3317"/>
      <c r="E1" s="3317"/>
      <c r="F1" s="3317"/>
    </row>
    <row r="2" spans="1:6">
      <c r="A2" s="3316" t="s">
        <v>2360</v>
      </c>
      <c r="B2" s="3316" t="s">
        <v>3018</v>
      </c>
      <c r="C2" s="3316" t="s">
        <v>3088</v>
      </c>
      <c r="D2" s="3317"/>
      <c r="E2" s="3317"/>
      <c r="F2" s="3317"/>
    </row>
    <row r="3" spans="1:6">
      <c r="A3" s="3315">
        <v>1</v>
      </c>
      <c r="B3" s="3316" t="s">
        <v>3098</v>
      </c>
      <c r="C3" s="3670">
        <f ca="1">ROUND(结果表!G20*'数据-汇总表'!D3/10000,4)</f>
        <v>6665.0457999999999</v>
      </c>
      <c r="D3" s="3317"/>
      <c r="E3" s="3317"/>
      <c r="F3" s="3317"/>
    </row>
    <row r="4" spans="1:6">
      <c r="A4" s="3315">
        <v>2</v>
      </c>
      <c r="B4" s="3316" t="s">
        <v>3089</v>
      </c>
      <c r="C4" s="3314">
        <f>[1]Sheet1!$F$5/10000</f>
        <v>147.80761788000001</v>
      </c>
      <c r="D4" s="3317"/>
      <c r="E4" s="3317"/>
      <c r="F4" s="3317"/>
    </row>
    <row r="5" spans="1:6">
      <c r="A5" s="3315">
        <v>3</v>
      </c>
      <c r="B5" s="3316" t="s">
        <v>3090</v>
      </c>
      <c r="C5" s="3314">
        <v>72.767099999999999</v>
      </c>
      <c r="D5" s="3317"/>
      <c r="E5" s="3317"/>
      <c r="F5" s="3317"/>
    </row>
    <row r="6" spans="1:6">
      <c r="A6" s="3315">
        <v>4</v>
      </c>
      <c r="B6" s="3316" t="s">
        <v>3091</v>
      </c>
      <c r="C6" s="3313">
        <v>0</v>
      </c>
      <c r="D6" s="3317"/>
      <c r="E6" s="3317"/>
      <c r="F6" s="3317"/>
    </row>
    <row r="7" spans="1:6">
      <c r="A7" s="3315">
        <v>5</v>
      </c>
      <c r="B7" s="3315" t="s">
        <v>3092</v>
      </c>
      <c r="C7" s="3313">
        <v>0</v>
      </c>
      <c r="D7" s="3317"/>
      <c r="E7" s="3317"/>
      <c r="F7" s="3317"/>
    </row>
    <row r="8" spans="1:6" ht="27">
      <c r="A8" s="3315">
        <v>6</v>
      </c>
      <c r="B8" s="3315" t="s">
        <v>3093</v>
      </c>
      <c r="C8" s="3313">
        <v>0</v>
      </c>
      <c r="D8" s="3317"/>
      <c r="E8" s="3317"/>
      <c r="F8" s="3317"/>
    </row>
    <row r="9" spans="1:6" ht="81">
      <c r="A9" s="3315">
        <v>7</v>
      </c>
      <c r="B9" s="3315" t="s">
        <v>3094</v>
      </c>
      <c r="C9" s="3314">
        <f>50*[1]Sheet1!$D$5/10000</f>
        <v>5.2984999999999989</v>
      </c>
      <c r="D9" s="3317"/>
      <c r="E9" s="3317"/>
      <c r="F9" s="3317" t="s">
        <v>3095</v>
      </c>
    </row>
    <row r="10" spans="1:6">
      <c r="A10" s="3660" t="s">
        <v>24</v>
      </c>
      <c r="B10" s="3660"/>
      <c r="C10" s="3314">
        <f ca="1">SUM(C3:C9)</f>
        <v>6890.91901788</v>
      </c>
      <c r="D10" s="3317"/>
      <c r="E10" s="3317"/>
      <c r="F10" s="3317"/>
    </row>
    <row r="11" spans="1:6">
      <c r="A11" s="3660" t="s">
        <v>3096</v>
      </c>
      <c r="B11" s="3660"/>
      <c r="C11" s="3315">
        <f ca="1">ROUND(C10*10000/'数据-基础表'!A3,0)</f>
        <v>1536</v>
      </c>
    </row>
    <row r="12" spans="1:6">
      <c r="A12" s="3660" t="s">
        <v>3097</v>
      </c>
      <c r="B12" s="3660"/>
      <c r="C12" s="3315">
        <f ca="1">ROUND(C11/15,0)</f>
        <v>102</v>
      </c>
    </row>
  </sheetData>
  <mergeCells count="4">
    <mergeCell ref="A1:C1"/>
    <mergeCell ref="A10:B10"/>
    <mergeCell ref="A11:B11"/>
    <mergeCell ref="A12:B12"/>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topLeftCell="B1" workbookViewId="0">
      <selection activeCell="N21" sqref="N21:N22"/>
    </sheetView>
  </sheetViews>
  <sheetFormatPr defaultColWidth="9" defaultRowHeight="13.5"/>
  <cols>
    <col min="1" max="1" width="35" style="3318" customWidth="1"/>
    <col min="2" max="4" width="9" style="3318"/>
    <col min="5" max="5" width="6.375" style="3318" customWidth="1"/>
    <col min="6" max="6" width="9" style="3318"/>
    <col min="7" max="7" width="12.25" style="3318" customWidth="1"/>
    <col min="8" max="8" width="14.625" style="3318" customWidth="1"/>
    <col min="9" max="9" width="13.375" style="3318" customWidth="1"/>
    <col min="10" max="11" width="9" style="3318"/>
    <col min="12" max="12" width="11.375" style="3318" customWidth="1"/>
    <col min="13" max="13" width="12.25" style="3318" customWidth="1"/>
    <col min="14" max="14" width="9" style="3318"/>
    <col min="15" max="15" width="12.75" style="3318" bestFit="1" customWidth="1"/>
    <col min="16" max="16384" width="9" style="3318"/>
  </cols>
  <sheetData>
    <row r="1" spans="1:15" ht="27">
      <c r="A1" s="3319" t="s">
        <v>3099</v>
      </c>
      <c r="B1" s="3319" t="s">
        <v>3100</v>
      </c>
      <c r="C1" s="3319" t="s">
        <v>3101</v>
      </c>
      <c r="D1" s="3319" t="s">
        <v>3102</v>
      </c>
      <c r="E1" s="3319" t="s">
        <v>2021</v>
      </c>
      <c r="F1" s="3319" t="s">
        <v>3103</v>
      </c>
      <c r="G1" s="3319" t="s">
        <v>3104</v>
      </c>
      <c r="H1" s="3319" t="s">
        <v>3105</v>
      </c>
      <c r="I1" s="3319" t="s">
        <v>3106</v>
      </c>
      <c r="J1" s="3319" t="s">
        <v>3107</v>
      </c>
      <c r="K1" s="3319" t="s">
        <v>3108</v>
      </c>
      <c r="L1" s="3319" t="s">
        <v>3109</v>
      </c>
      <c r="M1" s="3320" t="s">
        <v>3121</v>
      </c>
      <c r="N1" s="3320" t="s">
        <v>3122</v>
      </c>
      <c r="O1" s="3320" t="s">
        <v>3123</v>
      </c>
    </row>
    <row r="2" spans="1:15" ht="27">
      <c r="A2" s="3319" t="s">
        <v>3110</v>
      </c>
      <c r="B2" s="3319" t="s">
        <v>3111</v>
      </c>
      <c r="C2" s="3319">
        <v>30231.14</v>
      </c>
      <c r="D2" s="3319">
        <v>30231.14</v>
      </c>
      <c r="E2" s="3319" t="s">
        <v>3112</v>
      </c>
      <c r="F2" s="3319" t="s">
        <v>3113</v>
      </c>
      <c r="G2" s="3319" t="s">
        <v>3114</v>
      </c>
      <c r="H2" s="3319" t="s">
        <v>3115</v>
      </c>
      <c r="I2" s="3319" t="s">
        <v>3115</v>
      </c>
      <c r="J2" s="3319">
        <v>2817.03</v>
      </c>
      <c r="K2" s="3319">
        <v>2817.03</v>
      </c>
      <c r="L2" s="3319">
        <v>931.83</v>
      </c>
      <c r="M2" s="3319">
        <v>2421</v>
      </c>
      <c r="N2" s="3319">
        <f>K2-M2</f>
        <v>396.0300000000002</v>
      </c>
      <c r="O2" s="3319">
        <f>ROUND(N2/K2,2)</f>
        <v>0.14000000000000001</v>
      </c>
    </row>
    <row r="3" spans="1:15" ht="27">
      <c r="A3" s="3319" t="s">
        <v>3116</v>
      </c>
      <c r="B3" s="3319" t="s">
        <v>3111</v>
      </c>
      <c r="C3" s="3319">
        <v>34616.870000000003</v>
      </c>
      <c r="D3" s="3319">
        <v>34616.870000000003</v>
      </c>
      <c r="E3" s="3319">
        <v>1</v>
      </c>
      <c r="F3" s="3319" t="s">
        <v>3113</v>
      </c>
      <c r="G3" s="3319" t="s">
        <v>3111</v>
      </c>
      <c r="H3" s="3319" t="s">
        <v>3117</v>
      </c>
      <c r="I3" s="3319" t="s">
        <v>3117</v>
      </c>
      <c r="J3" s="3319">
        <v>3408.23</v>
      </c>
      <c r="K3" s="3319">
        <v>3408.23</v>
      </c>
      <c r="L3" s="3319">
        <v>984.55</v>
      </c>
      <c r="M3" s="3319">
        <v>2951.3</v>
      </c>
      <c r="N3" s="3319">
        <f>K3-M3</f>
        <v>456.92999999999984</v>
      </c>
      <c r="O3" s="3319">
        <f>ROUND(N3/K3,2)</f>
        <v>0.13</v>
      </c>
    </row>
    <row r="4" spans="1:15" ht="27">
      <c r="A4" s="3319" t="s">
        <v>3118</v>
      </c>
      <c r="B4" s="3319" t="s">
        <v>3111</v>
      </c>
      <c r="C4" s="3319">
        <v>17333.330000000002</v>
      </c>
      <c r="D4" s="3319">
        <v>17333</v>
      </c>
      <c r="E4" s="3319">
        <v>1</v>
      </c>
      <c r="F4" s="3319" t="s">
        <v>3113</v>
      </c>
      <c r="G4" s="3319" t="s">
        <v>972</v>
      </c>
      <c r="H4" s="3319" t="s">
        <v>3119</v>
      </c>
      <c r="I4" s="3319" t="s">
        <v>3119</v>
      </c>
      <c r="J4" s="3319">
        <v>1659.75</v>
      </c>
      <c r="K4" s="3319">
        <v>1659.75</v>
      </c>
      <c r="L4" s="3319">
        <v>957.57</v>
      </c>
      <c r="M4" s="3319"/>
      <c r="N4" s="3319"/>
      <c r="O4" s="3319"/>
    </row>
    <row r="5" spans="1:15" ht="27">
      <c r="A5" s="3319" t="s">
        <v>3120</v>
      </c>
      <c r="B5" s="3319" t="s">
        <v>3111</v>
      </c>
      <c r="C5" s="3319">
        <v>17333.330000000002</v>
      </c>
      <c r="D5" s="3319">
        <v>17333</v>
      </c>
      <c r="E5" s="3319">
        <v>1</v>
      </c>
      <c r="F5" s="3319" t="s">
        <v>3113</v>
      </c>
      <c r="G5" s="3319" t="s">
        <v>972</v>
      </c>
      <c r="H5" s="3319" t="s">
        <v>3119</v>
      </c>
      <c r="I5" s="3319" t="s">
        <v>3119</v>
      </c>
      <c r="J5" s="3319">
        <v>1658.01</v>
      </c>
      <c r="K5" s="3319">
        <v>1658.01</v>
      </c>
      <c r="L5" s="3319">
        <v>956.57</v>
      </c>
      <c r="M5" s="3319"/>
      <c r="N5" s="3319"/>
      <c r="O5" s="3319"/>
    </row>
    <row r="20" spans="2:14" ht="14.25" thickBot="1"/>
    <row r="21" spans="2:14" ht="33.75" customHeight="1" thickTop="1">
      <c r="B21" s="3666" t="s">
        <v>2360</v>
      </c>
      <c r="C21" s="3668" t="s">
        <v>2019</v>
      </c>
      <c r="D21" s="3322" t="s">
        <v>2916</v>
      </c>
      <c r="E21" s="3668" t="s">
        <v>3125</v>
      </c>
      <c r="F21" s="3668" t="s">
        <v>3021</v>
      </c>
      <c r="G21" s="3668" t="s">
        <v>2021</v>
      </c>
      <c r="H21" s="3668" t="s">
        <v>3106</v>
      </c>
      <c r="I21" s="3322" t="s">
        <v>3126</v>
      </c>
      <c r="J21" s="3668" t="s">
        <v>3128</v>
      </c>
      <c r="K21" s="3668" t="s">
        <v>3129</v>
      </c>
      <c r="L21" s="3668" t="s">
        <v>3130</v>
      </c>
      <c r="M21" s="3668" t="s">
        <v>3131</v>
      </c>
      <c r="N21" s="3661" t="s">
        <v>3132</v>
      </c>
    </row>
    <row r="22" spans="2:14" ht="14.25" thickBot="1">
      <c r="B22" s="3667"/>
      <c r="C22" s="3669"/>
      <c r="D22" s="3323" t="s">
        <v>3124</v>
      </c>
      <c r="E22" s="3669"/>
      <c r="F22" s="3669"/>
      <c r="G22" s="3669"/>
      <c r="H22" s="3669"/>
      <c r="I22" s="3324" t="s">
        <v>3127</v>
      </c>
      <c r="J22" s="3669"/>
      <c r="K22" s="3669"/>
      <c r="L22" s="3669"/>
      <c r="M22" s="3669"/>
      <c r="N22" s="3662"/>
    </row>
    <row r="23" spans="2:14" ht="72.75" thickTop="1">
      <c r="B23" s="3325">
        <v>1</v>
      </c>
      <c r="C23" s="3326" t="s">
        <v>3110</v>
      </c>
      <c r="D23" s="3327">
        <v>30231.138999999999</v>
      </c>
      <c r="E23" s="3327">
        <v>30231.138999999999</v>
      </c>
      <c r="F23" s="3327" t="s">
        <v>3133</v>
      </c>
      <c r="G23" s="3327">
        <v>1</v>
      </c>
      <c r="H23" s="3328">
        <v>43878</v>
      </c>
      <c r="I23" s="3327">
        <v>2817.03</v>
      </c>
      <c r="J23" s="3327">
        <v>2421</v>
      </c>
      <c r="K23" s="3327">
        <v>396.03</v>
      </c>
      <c r="L23" s="3327">
        <v>932</v>
      </c>
      <c r="M23" s="3327">
        <v>932</v>
      </c>
      <c r="N23" s="3329">
        <v>0.14000000000000001</v>
      </c>
    </row>
    <row r="24" spans="2:14" ht="60">
      <c r="B24" s="3330">
        <v>2</v>
      </c>
      <c r="C24" s="3331" t="s">
        <v>3134</v>
      </c>
      <c r="D24" s="3332">
        <v>34616.870999999999</v>
      </c>
      <c r="E24" s="3332">
        <v>34616.870999999999</v>
      </c>
      <c r="F24" s="3331" t="s">
        <v>972</v>
      </c>
      <c r="G24" s="3332">
        <v>1</v>
      </c>
      <c r="H24" s="3333">
        <v>43797</v>
      </c>
      <c r="I24" s="3332">
        <v>3408.24</v>
      </c>
      <c r="J24" s="3332">
        <v>2951.3</v>
      </c>
      <c r="K24" s="3332">
        <v>456.94</v>
      </c>
      <c r="L24" s="3332">
        <v>985</v>
      </c>
      <c r="M24" s="3332">
        <v>985</v>
      </c>
      <c r="N24" s="3334">
        <v>0.13</v>
      </c>
    </row>
    <row r="25" spans="2:14" ht="72">
      <c r="B25" s="3335">
        <v>3</v>
      </c>
      <c r="C25" s="3336" t="s">
        <v>3120</v>
      </c>
      <c r="D25" s="3337">
        <v>17333</v>
      </c>
      <c r="E25" s="3337">
        <v>17333.332999999999</v>
      </c>
      <c r="F25" s="3336" t="s">
        <v>972</v>
      </c>
      <c r="G25" s="3337">
        <v>1</v>
      </c>
      <c r="H25" s="3338">
        <v>43468</v>
      </c>
      <c r="I25" s="3337">
        <v>1658.02</v>
      </c>
      <c r="J25" s="3337">
        <v>1477.76</v>
      </c>
      <c r="K25" s="3337">
        <v>180.26</v>
      </c>
      <c r="L25" s="3337">
        <v>957</v>
      </c>
      <c r="M25" s="3337">
        <v>957</v>
      </c>
      <c r="N25" s="3339">
        <v>0.11</v>
      </c>
    </row>
    <row r="26" spans="2:14" ht="72">
      <c r="B26" s="3330">
        <v>4</v>
      </c>
      <c r="C26" s="3331" t="s">
        <v>3118</v>
      </c>
      <c r="D26" s="3332">
        <v>17333</v>
      </c>
      <c r="E26" s="3332">
        <v>17333.332999999999</v>
      </c>
      <c r="F26" s="3331" t="s">
        <v>972</v>
      </c>
      <c r="G26" s="3332">
        <v>1</v>
      </c>
      <c r="H26" s="3333">
        <v>43468</v>
      </c>
      <c r="I26" s="3332">
        <v>1659.76</v>
      </c>
      <c r="J26" s="3332">
        <v>1477.76</v>
      </c>
      <c r="K26" s="3332">
        <v>182</v>
      </c>
      <c r="L26" s="3332">
        <v>958</v>
      </c>
      <c r="M26" s="3332">
        <v>958</v>
      </c>
      <c r="N26" s="3334">
        <v>0.11</v>
      </c>
    </row>
    <row r="27" spans="2:14" ht="14.25" thickBot="1">
      <c r="B27" s="3663" t="s">
        <v>3135</v>
      </c>
      <c r="C27" s="3664"/>
      <c r="D27" s="3664"/>
      <c r="E27" s="3664"/>
      <c r="F27" s="3664"/>
      <c r="G27" s="3664"/>
      <c r="H27" s="3664"/>
      <c r="I27" s="3664"/>
      <c r="J27" s="3664"/>
      <c r="K27" s="3664"/>
      <c r="L27" s="3664"/>
      <c r="M27" s="3665"/>
      <c r="N27" s="3340">
        <v>0.1225</v>
      </c>
    </row>
    <row r="28" spans="2:14" ht="14.25" thickTop="1"/>
  </sheetData>
  <mergeCells count="12">
    <mergeCell ref="N21:N22"/>
    <mergeCell ref="B27:M27"/>
    <mergeCell ref="B21:B22"/>
    <mergeCell ref="C21:C22"/>
    <mergeCell ref="E21:E22"/>
    <mergeCell ref="F21:F22"/>
    <mergeCell ref="G21:G22"/>
    <mergeCell ref="H21:H22"/>
    <mergeCell ref="J21:J22"/>
    <mergeCell ref="K21:K22"/>
    <mergeCell ref="L21:L22"/>
    <mergeCell ref="M21:M22"/>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7" t="s">
        <v>2027</v>
      </c>
      <c r="B1" s="3357"/>
      <c r="C1" s="3357"/>
      <c r="D1" s="3357"/>
      <c r="E1" s="3357"/>
      <c r="F1" s="3357"/>
      <c r="G1" s="3357"/>
      <c r="H1" s="3357"/>
      <c r="I1" s="3357"/>
      <c r="J1" s="3357"/>
      <c r="K1" s="3357"/>
      <c r="L1" s="3357"/>
      <c r="M1" s="3357"/>
      <c r="N1" s="3357"/>
      <c r="O1" s="3357"/>
      <c r="P1" s="3357"/>
      <c r="Q1" s="3357"/>
      <c r="R1" s="3357"/>
    </row>
    <row r="2" spans="1:18">
      <c r="A2" s="1722" t="s">
        <v>2029</v>
      </c>
      <c r="B2" s="1722"/>
      <c r="C2" s="1722"/>
      <c r="D2" s="1722"/>
      <c r="E2" s="1722"/>
      <c r="F2" s="1722"/>
      <c r="G2" s="1722"/>
      <c r="H2" s="1722"/>
      <c r="I2" s="1723"/>
      <c r="J2" s="1723"/>
      <c r="K2" s="1724" t="str">
        <f>"估价期日："&amp;TEXT(项目基本情况!D3,"yyyy年m月d日;;")</f>
        <v>估价期日：2021年1月5日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8" t="s">
        <v>2018</v>
      </c>
      <c r="B3" s="3358" t="s">
        <v>2712</v>
      </c>
      <c r="C3" s="3359" t="s">
        <v>2019</v>
      </c>
      <c r="D3" s="3358" t="s">
        <v>2716</v>
      </c>
      <c r="E3" s="3353" t="s">
        <v>2020</v>
      </c>
      <c r="F3" s="3353"/>
      <c r="G3" s="3353"/>
      <c r="H3" s="3353" t="s">
        <v>2021</v>
      </c>
      <c r="I3" s="3353"/>
      <c r="J3" s="3353"/>
      <c r="K3" s="3359" t="s">
        <v>2022</v>
      </c>
      <c r="L3" s="3359" t="s">
        <v>2023</v>
      </c>
      <c r="M3" s="3358" t="s">
        <v>2713</v>
      </c>
      <c r="N3" s="3360" t="str">
        <f>"（分摊）"&amp;项目基本情况!B16&amp;"国有建设用地使用权面积/㎡"</f>
        <v>（分摊）出让国有建设用地使用权面积/㎡</v>
      </c>
      <c r="O3" s="3358" t="s">
        <v>2052</v>
      </c>
      <c r="P3" s="3359" t="s">
        <v>2032</v>
      </c>
      <c r="Q3" s="3359" t="s">
        <v>2053</v>
      </c>
      <c r="R3" s="3359" t="s">
        <v>2024</v>
      </c>
    </row>
    <row r="4" spans="1:18" ht="36.75" customHeight="1">
      <c r="A4" s="3358"/>
      <c r="B4" s="3358"/>
      <c r="C4" s="3359"/>
      <c r="D4" s="3358"/>
      <c r="E4" s="2491" t="s">
        <v>2031</v>
      </c>
      <c r="F4" s="2491" t="s">
        <v>2725</v>
      </c>
      <c r="G4" s="2491" t="s">
        <v>2025</v>
      </c>
      <c r="H4" s="2491" t="s">
        <v>2026</v>
      </c>
      <c r="I4" s="2491" t="s">
        <v>2726</v>
      </c>
      <c r="J4" s="2491" t="s">
        <v>2025</v>
      </c>
      <c r="K4" s="3359"/>
      <c r="L4" s="3359"/>
      <c r="M4" s="3358"/>
      <c r="N4" s="3360"/>
      <c r="O4" s="3358"/>
      <c r="P4" s="3359"/>
      <c r="Q4" s="3359"/>
      <c r="R4" s="335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1486</v>
      </c>
      <c r="Q5" s="1725">
        <f ca="1">结果表!D42</f>
        <v>1486</v>
      </c>
      <c r="R5" s="1726">
        <f ca="1">结果表!C42</f>
        <v>6666</v>
      </c>
    </row>
    <row r="6" spans="1:18">
      <c r="A6" s="3354" t="str">
        <f>IF(项目基本情况!B9="市场价格","——","抵押价格")</f>
        <v>——</v>
      </c>
      <c r="B6" s="3355"/>
      <c r="C6" s="3355"/>
      <c r="D6" s="3355"/>
      <c r="E6" s="3355"/>
      <c r="F6" s="3355"/>
      <c r="G6" s="3355"/>
      <c r="H6" s="3355"/>
      <c r="I6" s="3355"/>
      <c r="J6" s="3355"/>
      <c r="K6" s="3355"/>
      <c r="L6" s="3355"/>
      <c r="M6" s="3355"/>
      <c r="N6" s="3355"/>
      <c r="O6" s="3355"/>
      <c r="P6" s="3355"/>
      <c r="Q6" s="3356"/>
      <c r="R6" s="1727" t="str">
        <f>结果表!O39</f>
        <v>——</v>
      </c>
    </row>
    <row r="7" spans="1:18">
      <c r="A7" s="3354" t="str">
        <f>IF(项目基本情况!B9="市场价格","——",IF(项目基本情况!E8="已注销及未注销","抵押担保权已注销时的抵押价格","——"))</f>
        <v>——</v>
      </c>
      <c r="B7" s="3355"/>
      <c r="C7" s="3355"/>
      <c r="D7" s="3355"/>
      <c r="E7" s="3355"/>
      <c r="F7" s="3355"/>
      <c r="G7" s="3355"/>
      <c r="H7" s="3355"/>
      <c r="I7" s="3355"/>
      <c r="J7" s="3355"/>
      <c r="K7" s="3355"/>
      <c r="L7" s="3355"/>
      <c r="M7" s="3355"/>
      <c r="N7" s="3355"/>
      <c r="O7" s="3355"/>
      <c r="P7" s="3355"/>
      <c r="Q7" s="3356"/>
      <c r="R7" s="1727" t="str">
        <f>结果表!O40</f>
        <v>——</v>
      </c>
    </row>
    <row r="8" spans="1:18">
      <c r="A8" s="3354" t="str">
        <f>IF(项目基本情况!B9="市场价格","——",项目基本情况!E9)</f>
        <v>——</v>
      </c>
      <c r="B8" s="3355"/>
      <c r="C8" s="3355"/>
      <c r="D8" s="3355"/>
      <c r="E8" s="3355"/>
      <c r="F8" s="3355"/>
      <c r="G8" s="3355"/>
      <c r="H8" s="3355"/>
      <c r="I8" s="3355"/>
      <c r="J8" s="3355"/>
      <c r="K8" s="3355"/>
      <c r="L8" s="3355"/>
      <c r="M8" s="3355"/>
      <c r="N8" s="3355"/>
      <c r="O8" s="3355"/>
      <c r="P8" s="3355"/>
      <c r="Q8" s="335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62" t="s">
        <v>2054</v>
      </c>
      <c r="B1" s="3362"/>
      <c r="C1" s="3362"/>
      <c r="D1" s="3362"/>
    </row>
    <row r="2" spans="1:4" ht="47.25" customHeight="1">
      <c r="A2" s="3363" t="str">
        <f>"1.权利限制："&amp;项目基本情况!L24&amp;"未设定租赁等其他他项权利。"</f>
        <v>1.权利限制：根据估价对象《不动产权证书》原件、《国有土地使用权》复印件，截至估价期日，估价对象抵押权未见登记。未设定租赁等其他他项权利。</v>
      </c>
      <c r="B2" s="3363"/>
      <c r="C2" s="3363"/>
      <c r="D2" s="3363"/>
    </row>
    <row r="3" spans="1:4" ht="48" customHeight="1">
      <c r="A3" s="33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62"/>
      <c r="C3" s="3362"/>
      <c r="D3" s="3362"/>
    </row>
    <row r="4" spans="1:4" ht="36.75" customHeight="1">
      <c r="A4" s="3362" t="str">
        <f>"3.估价规划限制条件：详见"&amp;项目基本情况!E21&amp;"。"</f>
        <v>3.估价规划限制条件：详见《建设工程规划许可证》[]、《出让合同》[]。</v>
      </c>
      <c r="B4" s="3362"/>
      <c r="C4" s="3362"/>
      <c r="D4" s="3362"/>
    </row>
    <row r="5" spans="1:4">
      <c r="A5" s="3361" t="s">
        <v>2055</v>
      </c>
      <c r="B5" s="3361"/>
      <c r="C5" s="3361"/>
      <c r="D5" s="3361"/>
    </row>
    <row r="6" spans="1:4">
      <c r="A6" s="3362" t="s">
        <v>2033</v>
      </c>
      <c r="B6" s="3362"/>
      <c r="C6" s="3362"/>
      <c r="D6" s="3362"/>
    </row>
    <row r="7" spans="1:4" ht="33" customHeight="1">
      <c r="A7" s="3362" t="s">
        <v>2556</v>
      </c>
      <c r="B7" s="3362"/>
      <c r="C7" s="3362"/>
      <c r="D7" s="3362"/>
    </row>
    <row r="8" spans="1:4" ht="32.25" customHeight="1">
      <c r="A8" s="33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62"/>
      <c r="C8" s="3362"/>
      <c r="D8" s="3362"/>
    </row>
    <row r="9" spans="1:4" ht="33.75" customHeight="1">
      <c r="A9" s="3362" t="str">
        <f>IF(项目基本情况!B8="抵押","3.抵押双方在办理抵押登记手续时，应使用本公司出具的正式《土地估价报告》，特提请报告使用者注意。","——")</f>
        <v>——</v>
      </c>
      <c r="B9" s="3362"/>
      <c r="C9" s="3362"/>
      <c r="D9" s="3362"/>
    </row>
    <row r="10" spans="1:4">
      <c r="A10" s="3362" t="str">
        <f>IF(项目基本情况!B8="抵押","4.估价师所知悉的法定优先受偿款情况为：","——")</f>
        <v>——</v>
      </c>
      <c r="B10" s="3362"/>
      <c r="C10" s="3362"/>
      <c r="D10" s="3362"/>
    </row>
    <row r="11" spans="1:4" ht="37.5" customHeight="1">
      <c r="A11" s="3364" t="str">
        <f>IF(项目基本情况!B8="抵押","（1）"&amp;CONCATENATE(项目基本情况!L24,项目基本情况!L25,项目基本情况!L26),"——")</f>
        <v>——</v>
      </c>
      <c r="B11" s="3364"/>
      <c r="C11" s="3364"/>
      <c r="D11" s="3364"/>
    </row>
    <row r="12" spans="1:4" ht="168" customHeight="1">
      <c r="A12" s="3361" t="s">
        <v>2057</v>
      </c>
      <c r="B12" s="3361"/>
      <c r="C12" s="3361"/>
      <c r="D12" s="3361"/>
    </row>
    <row r="13" spans="1:4">
      <c r="A13" s="3365" t="s">
        <v>2727</v>
      </c>
      <c r="B13" s="3365"/>
      <c r="C13" s="3365"/>
      <c r="D13" s="3365"/>
    </row>
    <row r="14" spans="1:4">
      <c r="A14" s="3364" t="str">
        <f>IF(项目基本情况!B8="抵押","综上，"&amp;结果表!K47,"——")</f>
        <v>——</v>
      </c>
      <c r="B14" s="3364"/>
      <c r="C14" s="3364"/>
      <c r="D14" s="3364"/>
    </row>
    <row r="15" spans="1:4" ht="58.5" customHeight="1">
      <c r="A15" s="33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62"/>
      <c r="C15" s="3362"/>
      <c r="D15" s="3362"/>
    </row>
    <row r="16" spans="1:4" ht="70.5" customHeight="1">
      <c r="A16" s="33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62"/>
      <c r="C16" s="3362"/>
      <c r="D16" s="3362"/>
    </row>
    <row r="17" spans="1:4">
      <c r="A17" s="3362" t="s">
        <v>2683</v>
      </c>
      <c r="B17" s="3362"/>
      <c r="C17" s="3362"/>
      <c r="D17" s="3362"/>
    </row>
    <row r="18" spans="1:4">
      <c r="A18" s="3362" t="s">
        <v>2675</v>
      </c>
      <c r="B18" s="3362"/>
      <c r="C18" s="3362"/>
      <c r="D18" s="336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62" t="s">
        <v>2680</v>
      </c>
      <c r="B23" s="3362"/>
      <c r="C23" s="3362"/>
      <c r="D23" s="336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73" t="s">
        <v>53</v>
      </c>
      <c r="B15" s="3374" t="s">
        <v>838</v>
      </c>
      <c r="C15" s="3370"/>
    </row>
    <row r="16" spans="1:7" ht="14.25">
      <c r="A16" s="3373"/>
      <c r="B16" s="3371" t="s">
        <v>54</v>
      </c>
      <c r="C16" s="1155" t="s">
        <v>53</v>
      </c>
    </row>
    <row r="17" spans="1:3" ht="14.25">
      <c r="A17" s="3373"/>
      <c r="B17" s="3371"/>
      <c r="C17" s="1155" t="s">
        <v>55</v>
      </c>
    </row>
    <row r="18" spans="1:3" ht="14.25">
      <c r="A18" s="3373"/>
      <c r="B18" s="3371"/>
      <c r="C18" s="1155" t="s">
        <v>56</v>
      </c>
    </row>
    <row r="19" spans="1:3" ht="14.25">
      <c r="A19" s="3373"/>
      <c r="B19" s="3369" t="s">
        <v>57</v>
      </c>
      <c r="C19" s="3370"/>
    </row>
    <row r="20" spans="1:3" ht="14.25">
      <c r="A20" s="1156" t="s">
        <v>58</v>
      </c>
      <c r="B20" s="1157"/>
      <c r="C20" s="1158"/>
    </row>
    <row r="21" spans="1:3" ht="14.25">
      <c r="A21" s="3372" t="s">
        <v>59</v>
      </c>
      <c r="B21" s="3369" t="s">
        <v>60</v>
      </c>
      <c r="C21" s="3370"/>
    </row>
    <row r="22" spans="1:3" ht="14.25">
      <c r="A22" s="3372"/>
      <c r="B22" s="3369" t="s">
        <v>61</v>
      </c>
      <c r="C22" s="3370"/>
    </row>
    <row r="23" spans="1:3" ht="14.25">
      <c r="A23" s="3372"/>
      <c r="B23" s="3369" t="s">
        <v>62</v>
      </c>
      <c r="C23" s="3370"/>
    </row>
    <row r="24" spans="1:3" ht="14.25">
      <c r="A24" s="3372"/>
      <c r="B24" s="3375" t="s">
        <v>63</v>
      </c>
      <c r="C24" s="1159" t="s">
        <v>829</v>
      </c>
    </row>
    <row r="25" spans="1:3" ht="14.25">
      <c r="A25" s="3372"/>
      <c r="B25" s="3376"/>
      <c r="C25" s="1159" t="s">
        <v>830</v>
      </c>
    </row>
    <row r="26" spans="1:3" ht="14.25">
      <c r="A26" s="3372"/>
      <c r="B26" s="3376"/>
      <c r="C26" s="1159" t="s">
        <v>831</v>
      </c>
    </row>
    <row r="27" spans="1:3" ht="14.25">
      <c r="A27" s="3372"/>
      <c r="B27" s="3376"/>
      <c r="C27" s="1159" t="s">
        <v>832</v>
      </c>
    </row>
    <row r="28" spans="1:3" ht="14.25">
      <c r="A28" s="3372"/>
      <c r="B28" s="3376"/>
      <c r="C28" s="1159" t="s">
        <v>833</v>
      </c>
    </row>
    <row r="29" spans="1:3" ht="14.25">
      <c r="A29" s="3372"/>
      <c r="B29" s="3376"/>
      <c r="C29" s="1159" t="s">
        <v>834</v>
      </c>
    </row>
    <row r="30" spans="1:3" ht="14.25">
      <c r="A30" s="3372"/>
      <c r="B30" s="3376"/>
      <c r="C30" s="1159" t="s">
        <v>835</v>
      </c>
    </row>
    <row r="31" spans="1:3" ht="14.25">
      <c r="A31" s="3372"/>
      <c r="B31" s="3376"/>
      <c r="C31" s="1159" t="s">
        <v>836</v>
      </c>
    </row>
    <row r="32" spans="1:3" ht="14.25">
      <c r="A32" s="3372"/>
      <c r="B32" s="3376"/>
      <c r="C32" s="1159" t="s">
        <v>1637</v>
      </c>
    </row>
    <row r="33" spans="1:3" ht="14.25">
      <c r="A33" s="3372"/>
      <c r="B33" s="3366" t="s">
        <v>1643</v>
      </c>
      <c r="C33" s="1159" t="s">
        <v>1638</v>
      </c>
    </row>
    <row r="34" spans="1:3" ht="14.25">
      <c r="A34" s="3372"/>
      <c r="B34" s="3367"/>
      <c r="C34" s="1164" t="s">
        <v>1639</v>
      </c>
    </row>
    <row r="35" spans="1:3" ht="14.25">
      <c r="A35" s="3372"/>
      <c r="B35" s="3367"/>
      <c r="C35" s="1165" t="s">
        <v>1640</v>
      </c>
    </row>
    <row r="36" spans="1:3" ht="14.25">
      <c r="A36" s="3372"/>
      <c r="B36" s="3367"/>
      <c r="C36" s="1165" t="s">
        <v>1641</v>
      </c>
    </row>
    <row r="37" spans="1:3" ht="14.25">
      <c r="A37" s="3372"/>
      <c r="B37" s="336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44316</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80" t="s">
        <v>1915</v>
      </c>
      <c r="B17" s="3381"/>
      <c r="C17" s="3381"/>
      <c r="D17" s="3381"/>
      <c r="E17" s="3381"/>
      <c r="F17" s="3381"/>
      <c r="G17" s="3034"/>
    </row>
    <row r="18" spans="1:7" ht="20.25" customHeight="1">
      <c r="A18" s="3377" t="s">
        <v>1916</v>
      </c>
      <c r="B18" s="3377"/>
      <c r="C18" s="3378"/>
      <c r="D18" s="3379" t="s">
        <v>1917</v>
      </c>
      <c r="E18" s="3377"/>
      <c r="F18" s="3377"/>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82"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5日，在规划利用条件下、设定土地开发程度为红线外“七通”、宗地内场地，设定用途为，剩余土地使用年限为的出让国有建设用地使用权价格。</v>
      </c>
      <c r="D53" s="1685"/>
      <c r="E53" s="1685"/>
    </row>
    <row r="54" spans="1:5">
      <c r="A54" s="3382"/>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82"/>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82"/>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82"/>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结果一览表</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2021-04-30T06:09:17Z</dcterms:modified>
</cp:coreProperties>
</file>